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Admin Server (from Logistech Internal Server)\0- Sales\2026 Pricing\"/>
    </mc:Choice>
  </mc:AlternateContent>
  <xr:revisionPtr revIDLastSave="0" documentId="8_{5D6F18D7-4AE5-49CD-BDBB-A60FA71D9447}" xr6:coauthVersionLast="47" xr6:coauthVersionMax="47" xr10:uidLastSave="{00000000-0000-0000-0000-000000000000}"/>
  <bookViews>
    <workbookView xWindow="3165" yWindow="660" windowWidth="26130" windowHeight="13065" firstSheet="13" activeTab="19" xr2:uid="{00000000-000D-0000-FFFF-FFFF00000000}"/>
  </bookViews>
  <sheets>
    <sheet name="1Day AM Base" sheetId="1" state="hidden" r:id="rId1"/>
    <sheet name="1Day Base" sheetId="2" state="hidden" r:id="rId2"/>
    <sheet name="2Day Base" sheetId="3" state="hidden" r:id="rId3"/>
    <sheet name="3Day Base" sheetId="4" state="hidden" r:id="rId4"/>
    <sheet name="Ground Base" sheetId="5" state="hidden" r:id="rId5"/>
    <sheet name="USPS_Pri_Int_Base" sheetId="6" state="hidden" r:id="rId6"/>
    <sheet name="F Intl Con Plus Base" sheetId="7" state="hidden" r:id="rId7"/>
    <sheet name="USPS Base" sheetId="8" state="hidden" r:id="rId8"/>
    <sheet name="Intl Economy Base" sheetId="9" state="hidden" r:id="rId9"/>
    <sheet name="Intl Priority" sheetId="10" state="hidden" r:id="rId10"/>
    <sheet name="FedEx Overnight Priority" sheetId="11" r:id="rId11"/>
    <sheet name="FedEx Standard Overnight" sheetId="12" r:id="rId12"/>
    <sheet name="FedEx 2Day" sheetId="13" r:id="rId13"/>
    <sheet name="FedEx 3Day" sheetId="14" r:id="rId14"/>
    <sheet name="FedEx Ground Economy" sheetId="15" r:id="rId15"/>
    <sheet name="FedEx Ground Commercial" sheetId="16" r:id="rId16"/>
    <sheet name="FedEx Ground Home Delivery" sheetId="17" r:id="rId17"/>
    <sheet name="Ground Econ and Inov Base" sheetId="18" state="hidden" r:id="rId18"/>
    <sheet name="DHL" sheetId="19" state="hidden" r:id="rId19"/>
    <sheet name="USPS Priority" sheetId="20" r:id="rId20"/>
    <sheet name="USPS Ground Advantage" sheetId="21" r:id="rId21"/>
    <sheet name="DHL Parcel Ground" sheetId="22" r:id="rId22"/>
    <sheet name="DHL Parcel Expedited" sheetId="23" r:id="rId23"/>
    <sheet name="DHL Parcel Expedited Max" sheetId="24" r:id="rId24"/>
    <sheet name="USPS Media Mail" sheetId="25" r:id="rId25"/>
    <sheet name="FedEx International Priority" sheetId="26" r:id="rId26"/>
    <sheet name="FedEx International Economy" sheetId="27" r:id="rId27"/>
    <sheet name="FedEx Intl Connect Plus" sheetId="28" r:id="rId28"/>
    <sheet name="USPS First Class Intl" sheetId="29" r:id="rId29"/>
    <sheet name="USPS_Pri_Intl" sheetId="30" r:id="rId30"/>
    <sheet name="Rating_Settings" sheetId="31" r:id="rId31"/>
  </sheets>
  <externalReferences>
    <externalReference r:id="rId32"/>
  </externalReferences>
  <definedNames>
    <definedName name="_Fill" localSheetId="16">[1]Express!#REF!</definedName>
    <definedName name="_Fill" localSheetId="24">[1]Express!#REF!</definedName>
    <definedName name="_Fill">[1]Express!#REF!</definedName>
    <definedName name="_Key1" localSheetId="14">#REF!</definedName>
    <definedName name="_Key1" localSheetId="19">#REF!</definedName>
    <definedName name="_Key1">#REF!</definedName>
    <definedName name="_Order1">255</definedName>
    <definedName name="_Sort" localSheetId="16">[1]Express!#REF!</definedName>
    <definedName name="_Sort" localSheetId="24">[1]Express!#REF!</definedName>
    <definedName name="_Sort">[1]Express!#REF!</definedName>
    <definedName name="DHL_FS">DHL!$A$2</definedName>
    <definedName name="Express_Intl_Residential_Fee">Rating_Settings!$B$15</definedName>
    <definedName name="ExpressFuelSurcharge">Rating_Settings!$B$7</definedName>
    <definedName name="ExpressIntResFeeWithFS">Rating_Settings!$C$15</definedName>
    <definedName name="ExpressResidentialFee">Rating_Settings!$B$14</definedName>
    <definedName name="ExpressResWithFS">Rating_Settings!$C$14</definedName>
    <definedName name="FedEx_Markup">Rating_Settings!$B$4</definedName>
    <definedName name="FedExExrpessEarnedDiscount">0.1</definedName>
    <definedName name="GroundAKHIDiscount">0.25</definedName>
    <definedName name="GroundCommDiscount01to05">0.46</definedName>
    <definedName name="GroundCommDiscount06to10">0.39</definedName>
    <definedName name="GroundCommDiscount11to20">0.42</definedName>
    <definedName name="GroundCommDiscount21to30">0.48</definedName>
    <definedName name="GroundCommDiscount31Up">0.48</definedName>
    <definedName name="GroundCommIncentive">0.1</definedName>
    <definedName name="GroundEconDiscount">0.14</definedName>
    <definedName name="GroundFuelSurcharge">Rating_Settings!$B$8</definedName>
    <definedName name="GroundMinAlaska">'Ground Base'!$J$3-0</definedName>
    <definedName name="GroundMinHawaii">'Ground Base'!$J$3-0</definedName>
    <definedName name="GroundResDiscount01to05">0.37</definedName>
    <definedName name="GroundResDiscount06to10">0.39</definedName>
    <definedName name="GroundResDiscount11to20">0.42</definedName>
    <definedName name="GroundResDiscount21to30">0.46</definedName>
    <definedName name="GroundResDiscount31Up">0.48</definedName>
    <definedName name="GroundResidentialFee">Rating_Settings!$B$13</definedName>
    <definedName name="GroundResIncentive">0.1</definedName>
    <definedName name="GroundResWithFS">Rating_Settings!$C$13</definedName>
    <definedName name="GroundStandardDiscount">0.47</definedName>
    <definedName name="GroundZone51Discount">0.5</definedName>
    <definedName name="GroundZone54Discount">0.565</definedName>
    <definedName name="IntEconomyDiscount">0.858</definedName>
    <definedName name="IntEoncomyIncentive">0</definedName>
    <definedName name="International_Fuel_Surcharge">Rating_Settings!$B$10</definedName>
    <definedName name="IntPriorityDiscount">0.858</definedName>
    <definedName name="IntPriorityIncentive">0</definedName>
    <definedName name="IntPuertoRicoDiscount">0.48</definedName>
    <definedName name="Mail_Innovations_Fuel_Surcharge">0.04</definedName>
    <definedName name="Mail_Innovations_Markup">0.1</definedName>
    <definedName name="MinBase1AMDay">'1Day AM Base'!$B$3-18.52</definedName>
    <definedName name="MinBase1Day">'1Day Base'!$B$3-17.31</definedName>
    <definedName name="MinBase2Day">'2Day Base'!$B$3-10.83</definedName>
    <definedName name="MinBase3Day">'3Day Base'!$B$3-8.43</definedName>
    <definedName name="MinBaseGround">'Ground Base'!$B$3-1.25</definedName>
    <definedName name="MinBaseIntAir">10</definedName>
    <definedName name="MinBaseIntEcon">10</definedName>
    <definedName name="MinBaseIntPlus">15</definedName>
    <definedName name="MinBaseSurePost">'Ground Econ and Inov Base'!$B$3-3.1</definedName>
    <definedName name="MinGroundZone51">'Ground Base'!$K$3-5.03</definedName>
    <definedName name="MinGroundZone54">'Ground Base'!$L$3-15.19</definedName>
    <definedName name="NextDayDiscount">0.65</definedName>
    <definedName name="OneDayDiscount">0.5</definedName>
    <definedName name="OverNightDiscount_11_to_20">0.58</definedName>
    <definedName name="OverNightDiscount_21_Up">0.6</definedName>
    <definedName name="OvernightDiscount1_to_10">0.57</definedName>
    <definedName name="PostalMarkup">Rating_Settings!$B$3</definedName>
    <definedName name="PuertoRicoDiscount">0.48</definedName>
    <definedName name="SurePostDiscount">0.7</definedName>
    <definedName name="SurePostFuelSurcharge">Rating_Settings!$B$9</definedName>
    <definedName name="ThreeDayDiscount">0.5</definedName>
    <definedName name="ThreeDayDiscount_1_10">0.47</definedName>
    <definedName name="ThreeDayDiscount_11_to_20">0.5</definedName>
    <definedName name="ThreeDayDiscount_21_Up">0.55</definedName>
    <definedName name="TwoDayDiscount">0.6</definedName>
    <definedName name="TwoDayDiscount_1_to_10">0.47</definedName>
    <definedName name="TwoDayDiscount_11_20">0.5</definedName>
    <definedName name="TwoDayDiscount_21_Up">0.55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6" roundtripDataChecksum="cYTruUoZYwXVdMP3v5IpiQRsnL6jBGsQDY7DF5u9pWY="/>
    </ext>
  </extLst>
</workbook>
</file>

<file path=xl/calcChain.xml><?xml version="1.0" encoding="utf-8"?>
<calcChain xmlns="http://schemas.openxmlformats.org/spreadsheetml/2006/main">
  <c r="C15" i="31" l="1"/>
  <c r="C14" i="31"/>
  <c r="C13" i="31"/>
  <c r="U75" i="30"/>
  <c r="T75" i="30"/>
  <c r="S75" i="30"/>
  <c r="R75" i="30"/>
  <c r="Q75" i="30"/>
  <c r="P75" i="30"/>
  <c r="O75" i="30"/>
  <c r="N75" i="30"/>
  <c r="M75" i="30"/>
  <c r="L75" i="30"/>
  <c r="K75" i="30"/>
  <c r="J75" i="30"/>
  <c r="I75" i="30"/>
  <c r="H75" i="30"/>
  <c r="G75" i="30"/>
  <c r="F75" i="30"/>
  <c r="E75" i="30"/>
  <c r="D75" i="30"/>
  <c r="C75" i="30"/>
  <c r="B75" i="30"/>
  <c r="U74" i="30"/>
  <c r="T74" i="30"/>
  <c r="S74" i="30"/>
  <c r="R74" i="30"/>
  <c r="Q74" i="30"/>
  <c r="P74" i="30"/>
  <c r="O74" i="30"/>
  <c r="N74" i="30"/>
  <c r="M74" i="30"/>
  <c r="L74" i="30"/>
  <c r="K74" i="30"/>
  <c r="J74" i="30"/>
  <c r="I74" i="30"/>
  <c r="H74" i="30"/>
  <c r="G74" i="30"/>
  <c r="F74" i="30"/>
  <c r="E74" i="30"/>
  <c r="D74" i="30"/>
  <c r="C74" i="30"/>
  <c r="B74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F72" i="30"/>
  <c r="E72" i="30"/>
  <c r="D72" i="30"/>
  <c r="C72" i="30"/>
  <c r="B72" i="30"/>
  <c r="U71" i="30"/>
  <c r="T71" i="30"/>
  <c r="S71" i="30"/>
  <c r="R71" i="30"/>
  <c r="Q71" i="30"/>
  <c r="P71" i="30"/>
  <c r="O71" i="30"/>
  <c r="N71" i="30"/>
  <c r="M71" i="30"/>
  <c r="L71" i="30"/>
  <c r="K71" i="30"/>
  <c r="J71" i="30"/>
  <c r="I71" i="30"/>
  <c r="H71" i="30"/>
  <c r="G71" i="30"/>
  <c r="F71" i="30"/>
  <c r="E71" i="30"/>
  <c r="D71" i="30"/>
  <c r="C71" i="30"/>
  <c r="B71" i="30"/>
  <c r="U70" i="30"/>
  <c r="T70" i="30"/>
  <c r="S70" i="30"/>
  <c r="R70" i="30"/>
  <c r="Q70" i="30"/>
  <c r="P70" i="30"/>
  <c r="O70" i="30"/>
  <c r="N70" i="30"/>
  <c r="M70" i="30"/>
  <c r="L70" i="30"/>
  <c r="K70" i="30"/>
  <c r="J70" i="30"/>
  <c r="I70" i="30"/>
  <c r="H70" i="30"/>
  <c r="G70" i="30"/>
  <c r="F70" i="30"/>
  <c r="E70" i="30"/>
  <c r="D70" i="30"/>
  <c r="C70" i="30"/>
  <c r="B70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F69" i="30"/>
  <c r="E69" i="30"/>
  <c r="D69" i="30"/>
  <c r="C69" i="30"/>
  <c r="B69" i="30"/>
  <c r="U68" i="30"/>
  <c r="T68" i="30"/>
  <c r="S68" i="30"/>
  <c r="R68" i="30"/>
  <c r="Q68" i="30"/>
  <c r="P68" i="30"/>
  <c r="O68" i="30"/>
  <c r="N68" i="30"/>
  <c r="M68" i="30"/>
  <c r="L68" i="30"/>
  <c r="K68" i="30"/>
  <c r="J68" i="30"/>
  <c r="I68" i="30"/>
  <c r="H68" i="30"/>
  <c r="G68" i="30"/>
  <c r="F68" i="30"/>
  <c r="E68" i="30"/>
  <c r="D68" i="30"/>
  <c r="C68" i="30"/>
  <c r="B68" i="30"/>
  <c r="U67" i="30"/>
  <c r="T67" i="30"/>
  <c r="S67" i="30"/>
  <c r="R67" i="30"/>
  <c r="Q67" i="30"/>
  <c r="P67" i="30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U66" i="30"/>
  <c r="T66" i="30"/>
  <c r="S66" i="30"/>
  <c r="R66" i="30"/>
  <c r="Q66" i="30"/>
  <c r="P66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B66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E65" i="30"/>
  <c r="D65" i="30"/>
  <c r="C65" i="30"/>
  <c r="B65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E63" i="30"/>
  <c r="D63" i="30"/>
  <c r="C63" i="30"/>
  <c r="B63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E62" i="30"/>
  <c r="D62" i="30"/>
  <c r="C62" i="30"/>
  <c r="B62" i="30"/>
  <c r="U61" i="30"/>
  <c r="T61" i="30"/>
  <c r="S61" i="30"/>
  <c r="R61" i="30"/>
  <c r="Q61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U60" i="30"/>
  <c r="T60" i="30"/>
  <c r="S60" i="30"/>
  <c r="R60" i="30"/>
  <c r="Q60" i="30"/>
  <c r="P60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B60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E59" i="30"/>
  <c r="D59" i="30"/>
  <c r="C59" i="30"/>
  <c r="B59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B57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B56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55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B54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B53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B52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B51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B50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B49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B48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B47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B46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B45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B44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B43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B42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B41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B40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B39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B38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B36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B35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B32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B30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B29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B28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B27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B26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B25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B24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B23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B22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B21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B20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B19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B18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B6" i="30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E7" i="29"/>
  <c r="D7" i="29"/>
  <c r="C7" i="29"/>
  <c r="B7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B6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Q90" i="27"/>
  <c r="Q89" i="27"/>
  <c r="Q88" i="27"/>
  <c r="Q87" i="27"/>
  <c r="Q86" i="27"/>
  <c r="Q85" i="27"/>
  <c r="Q84" i="27"/>
  <c r="Q83" i="27"/>
  <c r="Q82" i="27"/>
  <c r="Q81" i="27"/>
  <c r="Q80" i="27"/>
  <c r="Q79" i="27"/>
  <c r="Q78" i="27"/>
  <c r="Q77" i="27"/>
  <c r="Q76" i="27"/>
  <c r="Q75" i="27"/>
  <c r="Q74" i="27"/>
  <c r="Q73" i="27"/>
  <c r="Q72" i="27"/>
  <c r="Q71" i="27"/>
  <c r="Q70" i="27"/>
  <c r="Q69" i="27"/>
  <c r="Q68" i="27"/>
  <c r="Q67" i="27"/>
  <c r="Q66" i="27"/>
  <c r="Q65" i="27"/>
  <c r="Q64" i="27"/>
  <c r="Q63" i="27"/>
  <c r="Q62" i="27"/>
  <c r="Q61" i="27"/>
  <c r="Q60" i="27"/>
  <c r="Q59" i="27"/>
  <c r="Q58" i="27"/>
  <c r="Q57" i="27"/>
  <c r="Q56" i="27"/>
  <c r="Q55" i="27"/>
  <c r="Q54" i="27"/>
  <c r="Q53" i="27"/>
  <c r="Q52" i="27"/>
  <c r="Q51" i="27"/>
  <c r="Q50" i="27"/>
  <c r="Q49" i="27"/>
  <c r="Q48" i="27"/>
  <c r="Q47" i="27"/>
  <c r="Q46" i="27"/>
  <c r="Q45" i="27"/>
  <c r="Q44" i="27"/>
  <c r="Q43" i="27"/>
  <c r="Q42" i="27"/>
  <c r="Q41" i="27"/>
  <c r="Q40" i="27"/>
  <c r="Q39" i="27"/>
  <c r="Q38" i="27"/>
  <c r="Q37" i="27"/>
  <c r="Q36" i="27"/>
  <c r="Q35" i="27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Q13" i="27"/>
  <c r="Q12" i="27"/>
  <c r="Q11" i="27"/>
  <c r="Q10" i="27"/>
  <c r="Q9" i="27"/>
  <c r="Q8" i="27"/>
  <c r="Q7" i="27"/>
  <c r="Q6" i="27"/>
  <c r="E1" i="27"/>
  <c r="Q90" i="26"/>
  <c r="Q89" i="26"/>
  <c r="Q88" i="26"/>
  <c r="Q87" i="26"/>
  <c r="Q86" i="26"/>
  <c r="Q85" i="26"/>
  <c r="Q84" i="26"/>
  <c r="Q83" i="26"/>
  <c r="Q82" i="26"/>
  <c r="Q81" i="26"/>
  <c r="Q80" i="26"/>
  <c r="Q79" i="26"/>
  <c r="Q78" i="26"/>
  <c r="Q77" i="26"/>
  <c r="Q76" i="26"/>
  <c r="Q75" i="26"/>
  <c r="Q74" i="26"/>
  <c r="Q73" i="26"/>
  <c r="Q72" i="26"/>
  <c r="Q71" i="26"/>
  <c r="Q70" i="26"/>
  <c r="Q69" i="26"/>
  <c r="Q68" i="26"/>
  <c r="Q67" i="26"/>
  <c r="Q66" i="26"/>
  <c r="Q65" i="26"/>
  <c r="Q64" i="26"/>
  <c r="Q63" i="26"/>
  <c r="Q62" i="26"/>
  <c r="Q61" i="26"/>
  <c r="Q60" i="26"/>
  <c r="Q59" i="26"/>
  <c r="Q58" i="26"/>
  <c r="Q57" i="26"/>
  <c r="Q56" i="26"/>
  <c r="Q55" i="26"/>
  <c r="Q54" i="26"/>
  <c r="Q53" i="26"/>
  <c r="Q52" i="26"/>
  <c r="Q51" i="26"/>
  <c r="Q50" i="26"/>
  <c r="Q49" i="26"/>
  <c r="Q48" i="26"/>
  <c r="Q47" i="26"/>
  <c r="Q46" i="26"/>
  <c r="Q45" i="26"/>
  <c r="Q44" i="26"/>
  <c r="Q43" i="26"/>
  <c r="Q42" i="26"/>
  <c r="Q41" i="26"/>
  <c r="Q40" i="26"/>
  <c r="Q39" i="26"/>
  <c r="Q38" i="26"/>
  <c r="Q37" i="26"/>
  <c r="Q36" i="26"/>
  <c r="Q35" i="26"/>
  <c r="Q34" i="26"/>
  <c r="Q33" i="26"/>
  <c r="Q32" i="26"/>
  <c r="Q31" i="26"/>
  <c r="Q30" i="26"/>
  <c r="Q29" i="26"/>
  <c r="Q28" i="26"/>
  <c r="Q27" i="26"/>
  <c r="Q26" i="26"/>
  <c r="Q25" i="26"/>
  <c r="Q24" i="26"/>
  <c r="Q23" i="26"/>
  <c r="Q22" i="26"/>
  <c r="Q21" i="26"/>
  <c r="Q20" i="26"/>
  <c r="Q19" i="26"/>
  <c r="Q18" i="26"/>
  <c r="Q17" i="26"/>
  <c r="Q16" i="26"/>
  <c r="Q15" i="26"/>
  <c r="Q14" i="26"/>
  <c r="Q13" i="26"/>
  <c r="Q12" i="26"/>
  <c r="Q11" i="26"/>
  <c r="Q10" i="26"/>
  <c r="Q9" i="26"/>
  <c r="Q8" i="26"/>
  <c r="Q7" i="26"/>
  <c r="Q6" i="26"/>
  <c r="E1" i="26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5" i="25"/>
  <c r="B4" i="25"/>
  <c r="A47" i="24"/>
  <c r="A46" i="24"/>
  <c r="A45" i="24"/>
  <c r="A44" i="24"/>
  <c r="J43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K22" i="24"/>
  <c r="J22" i="24"/>
  <c r="I22" i="24"/>
  <c r="H22" i="24"/>
  <c r="G22" i="24"/>
  <c r="F22" i="24"/>
  <c r="E22" i="24"/>
  <c r="D22" i="24"/>
  <c r="C22" i="24"/>
  <c r="B22" i="24"/>
  <c r="A22" i="24"/>
  <c r="K21" i="24"/>
  <c r="J21" i="24"/>
  <c r="I21" i="24"/>
  <c r="H21" i="24"/>
  <c r="G21" i="24"/>
  <c r="F21" i="24"/>
  <c r="E21" i="24"/>
  <c r="D21" i="24"/>
  <c r="C21" i="24"/>
  <c r="B21" i="24"/>
  <c r="A21" i="24"/>
  <c r="K20" i="24"/>
  <c r="J20" i="24"/>
  <c r="I20" i="24"/>
  <c r="H20" i="24"/>
  <c r="G20" i="24"/>
  <c r="F20" i="24"/>
  <c r="E20" i="24"/>
  <c r="D20" i="24"/>
  <c r="C20" i="24"/>
  <c r="B20" i="24"/>
  <c r="A20" i="24"/>
  <c r="K19" i="24"/>
  <c r="J19" i="24"/>
  <c r="I19" i="24"/>
  <c r="H19" i="24"/>
  <c r="G19" i="24"/>
  <c r="F19" i="24"/>
  <c r="E19" i="24"/>
  <c r="D19" i="24"/>
  <c r="C19" i="24"/>
  <c r="B19" i="24"/>
  <c r="A19" i="24"/>
  <c r="K18" i="24"/>
  <c r="J18" i="24"/>
  <c r="I18" i="24"/>
  <c r="H18" i="24"/>
  <c r="G18" i="24"/>
  <c r="F18" i="24"/>
  <c r="E18" i="24"/>
  <c r="D18" i="24"/>
  <c r="C18" i="24"/>
  <c r="B18" i="24"/>
  <c r="A18" i="24"/>
  <c r="K17" i="24"/>
  <c r="J17" i="24"/>
  <c r="I17" i="24"/>
  <c r="H17" i="24"/>
  <c r="G17" i="24"/>
  <c r="F17" i="24"/>
  <c r="E17" i="24"/>
  <c r="D17" i="24"/>
  <c r="C17" i="24"/>
  <c r="B17" i="24"/>
  <c r="A17" i="24"/>
  <c r="K16" i="24"/>
  <c r="J16" i="24"/>
  <c r="I16" i="24"/>
  <c r="H16" i="24"/>
  <c r="G16" i="24"/>
  <c r="F16" i="24"/>
  <c r="E16" i="24"/>
  <c r="D16" i="24"/>
  <c r="C16" i="24"/>
  <c r="B16" i="24"/>
  <c r="A16" i="24"/>
  <c r="K15" i="24"/>
  <c r="J15" i="24"/>
  <c r="I15" i="24"/>
  <c r="H15" i="24"/>
  <c r="G15" i="24"/>
  <c r="F15" i="24"/>
  <c r="E15" i="24"/>
  <c r="D15" i="24"/>
  <c r="C15" i="24"/>
  <c r="B15" i="24"/>
  <c r="A15" i="24"/>
  <c r="K14" i="24"/>
  <c r="J14" i="24"/>
  <c r="I14" i="24"/>
  <c r="H14" i="24"/>
  <c r="G14" i="24"/>
  <c r="F14" i="24"/>
  <c r="E14" i="24"/>
  <c r="D14" i="24"/>
  <c r="C14" i="24"/>
  <c r="B14" i="24"/>
  <c r="A14" i="24"/>
  <c r="K13" i="24"/>
  <c r="J13" i="24"/>
  <c r="I13" i="24"/>
  <c r="H13" i="24"/>
  <c r="G13" i="24"/>
  <c r="F13" i="24"/>
  <c r="E13" i="24"/>
  <c r="D13" i="24"/>
  <c r="C13" i="24"/>
  <c r="B13" i="24"/>
  <c r="A13" i="24"/>
  <c r="K12" i="24"/>
  <c r="J12" i="24"/>
  <c r="I12" i="24"/>
  <c r="H12" i="24"/>
  <c r="G12" i="24"/>
  <c r="F12" i="24"/>
  <c r="E12" i="24"/>
  <c r="D12" i="24"/>
  <c r="C12" i="24"/>
  <c r="B12" i="24"/>
  <c r="A12" i="24"/>
  <c r="K11" i="24"/>
  <c r="J11" i="24"/>
  <c r="I11" i="24"/>
  <c r="H11" i="24"/>
  <c r="G11" i="24"/>
  <c r="F11" i="24"/>
  <c r="E11" i="24"/>
  <c r="D11" i="24"/>
  <c r="C11" i="24"/>
  <c r="B11" i="24"/>
  <c r="A11" i="24"/>
  <c r="K10" i="24"/>
  <c r="J10" i="24"/>
  <c r="I10" i="24"/>
  <c r="H10" i="24"/>
  <c r="G10" i="24"/>
  <c r="F10" i="24"/>
  <c r="E10" i="24"/>
  <c r="D10" i="24"/>
  <c r="C10" i="24"/>
  <c r="B10" i="24"/>
  <c r="A10" i="24"/>
  <c r="K9" i="24"/>
  <c r="J9" i="24"/>
  <c r="I9" i="24"/>
  <c r="H9" i="24"/>
  <c r="G9" i="24"/>
  <c r="F9" i="24"/>
  <c r="E9" i="24"/>
  <c r="D9" i="24"/>
  <c r="C9" i="24"/>
  <c r="B9" i="24"/>
  <c r="A9" i="24"/>
  <c r="K8" i="24"/>
  <c r="J8" i="24"/>
  <c r="I8" i="24"/>
  <c r="H8" i="24"/>
  <c r="G8" i="24"/>
  <c r="F8" i="24"/>
  <c r="E8" i="24"/>
  <c r="D8" i="24"/>
  <c r="C8" i="24"/>
  <c r="B8" i="24"/>
  <c r="A8" i="24"/>
  <c r="K7" i="24"/>
  <c r="J7" i="24"/>
  <c r="I7" i="24"/>
  <c r="H7" i="24"/>
  <c r="G7" i="24"/>
  <c r="F7" i="24"/>
  <c r="E7" i="24"/>
  <c r="D7" i="24"/>
  <c r="C7" i="24"/>
  <c r="B7" i="24"/>
  <c r="A7" i="24"/>
  <c r="K47" i="23"/>
  <c r="J47" i="23"/>
  <c r="I47" i="23"/>
  <c r="H47" i="23"/>
  <c r="G47" i="23"/>
  <c r="F47" i="23"/>
  <c r="E47" i="23"/>
  <c r="D47" i="23"/>
  <c r="C47" i="23"/>
  <c r="B47" i="23"/>
  <c r="A47" i="23"/>
  <c r="K46" i="23"/>
  <c r="J46" i="23"/>
  <c r="I46" i="23"/>
  <c r="H46" i="23"/>
  <c r="G46" i="23"/>
  <c r="F46" i="23"/>
  <c r="E46" i="23"/>
  <c r="D46" i="23"/>
  <c r="C46" i="23"/>
  <c r="B46" i="23"/>
  <c r="A46" i="23"/>
  <c r="K45" i="23"/>
  <c r="J45" i="23"/>
  <c r="I45" i="23"/>
  <c r="H45" i="23"/>
  <c r="G45" i="23"/>
  <c r="F45" i="23"/>
  <c r="E45" i="23"/>
  <c r="D45" i="23"/>
  <c r="C45" i="23"/>
  <c r="B45" i="23"/>
  <c r="A45" i="23"/>
  <c r="K44" i="23"/>
  <c r="J44" i="23"/>
  <c r="I44" i="23"/>
  <c r="H44" i="23"/>
  <c r="G44" i="23"/>
  <c r="F44" i="23"/>
  <c r="E44" i="23"/>
  <c r="D44" i="23"/>
  <c r="C44" i="23"/>
  <c r="B44" i="23"/>
  <c r="A44" i="23"/>
  <c r="K43" i="23"/>
  <c r="J43" i="23"/>
  <c r="I43" i="23"/>
  <c r="H43" i="23"/>
  <c r="G43" i="23"/>
  <c r="F43" i="23"/>
  <c r="E43" i="23"/>
  <c r="D43" i="23"/>
  <c r="C43" i="23"/>
  <c r="B43" i="23"/>
  <c r="A43" i="23"/>
  <c r="K42" i="23"/>
  <c r="J42" i="23"/>
  <c r="I42" i="23"/>
  <c r="H42" i="23"/>
  <c r="G42" i="23"/>
  <c r="F42" i="23"/>
  <c r="E42" i="23"/>
  <c r="D42" i="23"/>
  <c r="C42" i="23"/>
  <c r="B42" i="23"/>
  <c r="A42" i="23"/>
  <c r="K41" i="23"/>
  <c r="J41" i="23"/>
  <c r="I41" i="23"/>
  <c r="H41" i="23"/>
  <c r="G41" i="23"/>
  <c r="F41" i="23"/>
  <c r="E41" i="23"/>
  <c r="D41" i="23"/>
  <c r="C41" i="23"/>
  <c r="B41" i="23"/>
  <c r="A41" i="23"/>
  <c r="K40" i="23"/>
  <c r="J40" i="23"/>
  <c r="I40" i="23"/>
  <c r="H40" i="23"/>
  <c r="G40" i="23"/>
  <c r="F40" i="23"/>
  <c r="E40" i="23"/>
  <c r="D40" i="23"/>
  <c r="C40" i="23"/>
  <c r="B40" i="23"/>
  <c r="A40" i="23"/>
  <c r="K39" i="23"/>
  <c r="J39" i="23"/>
  <c r="I39" i="23"/>
  <c r="H39" i="23"/>
  <c r="G39" i="23"/>
  <c r="F39" i="23"/>
  <c r="E39" i="23"/>
  <c r="D39" i="23"/>
  <c r="C39" i="23"/>
  <c r="B39" i="23"/>
  <c r="A39" i="23"/>
  <c r="K38" i="23"/>
  <c r="J38" i="23"/>
  <c r="I38" i="23"/>
  <c r="H38" i="23"/>
  <c r="G38" i="23"/>
  <c r="F38" i="23"/>
  <c r="E38" i="23"/>
  <c r="D38" i="23"/>
  <c r="C38" i="23"/>
  <c r="B38" i="23"/>
  <c r="A38" i="23"/>
  <c r="K37" i="23"/>
  <c r="J37" i="23"/>
  <c r="I37" i="23"/>
  <c r="H37" i="23"/>
  <c r="G37" i="23"/>
  <c r="F37" i="23"/>
  <c r="E37" i="23"/>
  <c r="D37" i="23"/>
  <c r="C37" i="23"/>
  <c r="B37" i="23"/>
  <c r="A37" i="23"/>
  <c r="K36" i="23"/>
  <c r="J36" i="23"/>
  <c r="I36" i="23"/>
  <c r="H36" i="23"/>
  <c r="G36" i="23"/>
  <c r="F36" i="23"/>
  <c r="E36" i="23"/>
  <c r="D36" i="23"/>
  <c r="C36" i="23"/>
  <c r="B36" i="23"/>
  <c r="A36" i="23"/>
  <c r="K35" i="23"/>
  <c r="J35" i="23"/>
  <c r="I35" i="23"/>
  <c r="H35" i="23"/>
  <c r="G35" i="23"/>
  <c r="F35" i="23"/>
  <c r="E35" i="23"/>
  <c r="D35" i="23"/>
  <c r="C35" i="23"/>
  <c r="B35" i="23"/>
  <c r="A35" i="23"/>
  <c r="K34" i="23"/>
  <c r="J34" i="23"/>
  <c r="I34" i="23"/>
  <c r="H34" i="23"/>
  <c r="G34" i="23"/>
  <c r="F34" i="23"/>
  <c r="E34" i="23"/>
  <c r="D34" i="23"/>
  <c r="C34" i="23"/>
  <c r="B34" i="23"/>
  <c r="A34" i="23"/>
  <c r="K33" i="23"/>
  <c r="J33" i="23"/>
  <c r="I33" i="23"/>
  <c r="H33" i="23"/>
  <c r="G33" i="23"/>
  <c r="F33" i="23"/>
  <c r="E33" i="23"/>
  <c r="D33" i="23"/>
  <c r="C33" i="23"/>
  <c r="B33" i="23"/>
  <c r="A33" i="23"/>
  <c r="K32" i="23"/>
  <c r="J32" i="23"/>
  <c r="I32" i="23"/>
  <c r="H32" i="23"/>
  <c r="G32" i="23"/>
  <c r="F32" i="23"/>
  <c r="E32" i="23"/>
  <c r="D32" i="23"/>
  <c r="C32" i="23"/>
  <c r="B32" i="23"/>
  <c r="A32" i="23"/>
  <c r="K31" i="23"/>
  <c r="J31" i="23"/>
  <c r="I31" i="23"/>
  <c r="H31" i="23"/>
  <c r="G31" i="23"/>
  <c r="F31" i="23"/>
  <c r="E31" i="23"/>
  <c r="D31" i="23"/>
  <c r="C31" i="23"/>
  <c r="B31" i="23"/>
  <c r="A31" i="23"/>
  <c r="K30" i="23"/>
  <c r="J30" i="23"/>
  <c r="I30" i="23"/>
  <c r="H30" i="23"/>
  <c r="G30" i="23"/>
  <c r="F30" i="23"/>
  <c r="E30" i="23"/>
  <c r="D30" i="23"/>
  <c r="C30" i="23"/>
  <c r="B30" i="23"/>
  <c r="A30" i="23"/>
  <c r="K29" i="23"/>
  <c r="J29" i="23"/>
  <c r="I29" i="23"/>
  <c r="H29" i="23"/>
  <c r="G29" i="23"/>
  <c r="F29" i="23"/>
  <c r="E29" i="23"/>
  <c r="D29" i="23"/>
  <c r="C29" i="23"/>
  <c r="B29" i="23"/>
  <c r="A29" i="23"/>
  <c r="K28" i="23"/>
  <c r="J28" i="23"/>
  <c r="I28" i="23"/>
  <c r="H28" i="23"/>
  <c r="G28" i="23"/>
  <c r="F28" i="23"/>
  <c r="E28" i="23"/>
  <c r="D28" i="23"/>
  <c r="C28" i="23"/>
  <c r="B28" i="23"/>
  <c r="A28" i="23"/>
  <c r="K27" i="23"/>
  <c r="J27" i="23"/>
  <c r="I27" i="23"/>
  <c r="H27" i="23"/>
  <c r="G27" i="23"/>
  <c r="F27" i="23"/>
  <c r="E27" i="23"/>
  <c r="D27" i="23"/>
  <c r="C27" i="23"/>
  <c r="B27" i="23"/>
  <c r="A27" i="23"/>
  <c r="K26" i="23"/>
  <c r="J26" i="23"/>
  <c r="I26" i="23"/>
  <c r="H26" i="23"/>
  <c r="G26" i="23"/>
  <c r="F26" i="23"/>
  <c r="E26" i="23"/>
  <c r="D26" i="23"/>
  <c r="C26" i="23"/>
  <c r="B26" i="23"/>
  <c r="A26" i="23"/>
  <c r="K25" i="23"/>
  <c r="J25" i="23"/>
  <c r="I25" i="23"/>
  <c r="H25" i="23"/>
  <c r="G25" i="23"/>
  <c r="F25" i="23"/>
  <c r="E25" i="23"/>
  <c r="D25" i="23"/>
  <c r="C25" i="23"/>
  <c r="B25" i="23"/>
  <c r="A25" i="23"/>
  <c r="K24" i="23"/>
  <c r="J24" i="23"/>
  <c r="I24" i="23"/>
  <c r="H24" i="23"/>
  <c r="G24" i="23"/>
  <c r="F24" i="23"/>
  <c r="E24" i="23"/>
  <c r="D24" i="23"/>
  <c r="C24" i="23"/>
  <c r="B24" i="23"/>
  <c r="A24" i="23"/>
  <c r="K23" i="23"/>
  <c r="J23" i="23"/>
  <c r="I23" i="23"/>
  <c r="H23" i="23"/>
  <c r="G23" i="23"/>
  <c r="F23" i="23"/>
  <c r="E23" i="23"/>
  <c r="D23" i="23"/>
  <c r="C23" i="23"/>
  <c r="B23" i="23"/>
  <c r="A23" i="23"/>
  <c r="K22" i="23"/>
  <c r="J22" i="23"/>
  <c r="I22" i="23"/>
  <c r="H22" i="23"/>
  <c r="G22" i="23"/>
  <c r="F22" i="23"/>
  <c r="E22" i="23"/>
  <c r="D22" i="23"/>
  <c r="C22" i="23"/>
  <c r="B22" i="23"/>
  <c r="A22" i="23"/>
  <c r="K21" i="23"/>
  <c r="J21" i="23"/>
  <c r="I21" i="23"/>
  <c r="H21" i="23"/>
  <c r="G21" i="23"/>
  <c r="F21" i="23"/>
  <c r="E21" i="23"/>
  <c r="D21" i="23"/>
  <c r="C21" i="23"/>
  <c r="B21" i="23"/>
  <c r="A21" i="23"/>
  <c r="K20" i="23"/>
  <c r="J20" i="23"/>
  <c r="I20" i="23"/>
  <c r="H20" i="23"/>
  <c r="G20" i="23"/>
  <c r="F20" i="23"/>
  <c r="E20" i="23"/>
  <c r="D20" i="23"/>
  <c r="C20" i="23"/>
  <c r="B20" i="23"/>
  <c r="A20" i="23"/>
  <c r="K19" i="23"/>
  <c r="J19" i="23"/>
  <c r="I19" i="23"/>
  <c r="H19" i="23"/>
  <c r="G19" i="23"/>
  <c r="F19" i="23"/>
  <c r="E19" i="23"/>
  <c r="D19" i="23"/>
  <c r="C19" i="23"/>
  <c r="B19" i="23"/>
  <c r="A19" i="23"/>
  <c r="K18" i="23"/>
  <c r="J18" i="23"/>
  <c r="I18" i="23"/>
  <c r="H18" i="23"/>
  <c r="G18" i="23"/>
  <c r="F18" i="23"/>
  <c r="E18" i="23"/>
  <c r="D18" i="23"/>
  <c r="C18" i="23"/>
  <c r="B18" i="23"/>
  <c r="A18" i="23"/>
  <c r="K17" i="23"/>
  <c r="J17" i="23"/>
  <c r="I17" i="23"/>
  <c r="H17" i="23"/>
  <c r="G17" i="23"/>
  <c r="F17" i="23"/>
  <c r="E17" i="23"/>
  <c r="D17" i="23"/>
  <c r="C17" i="23"/>
  <c r="B17" i="23"/>
  <c r="A17" i="23"/>
  <c r="K16" i="23"/>
  <c r="J16" i="23"/>
  <c r="I16" i="23"/>
  <c r="H16" i="23"/>
  <c r="G16" i="23"/>
  <c r="F16" i="23"/>
  <c r="E16" i="23"/>
  <c r="D16" i="23"/>
  <c r="C16" i="23"/>
  <c r="B16" i="23"/>
  <c r="A16" i="23"/>
  <c r="K15" i="23"/>
  <c r="J15" i="23"/>
  <c r="I15" i="23"/>
  <c r="H15" i="23"/>
  <c r="G15" i="23"/>
  <c r="F15" i="23"/>
  <c r="E15" i="23"/>
  <c r="D15" i="23"/>
  <c r="C15" i="23"/>
  <c r="B15" i="23"/>
  <c r="A15" i="23"/>
  <c r="K14" i="23"/>
  <c r="J14" i="23"/>
  <c r="I14" i="23"/>
  <c r="H14" i="23"/>
  <c r="G14" i="23"/>
  <c r="F14" i="23"/>
  <c r="E14" i="23"/>
  <c r="D14" i="23"/>
  <c r="C14" i="23"/>
  <c r="B14" i="23"/>
  <c r="A14" i="23"/>
  <c r="K13" i="23"/>
  <c r="J13" i="23"/>
  <c r="I13" i="23"/>
  <c r="H13" i="23"/>
  <c r="G13" i="23"/>
  <c r="F13" i="23"/>
  <c r="E13" i="23"/>
  <c r="D13" i="23"/>
  <c r="C13" i="23"/>
  <c r="B13" i="23"/>
  <c r="A13" i="23"/>
  <c r="K12" i="23"/>
  <c r="J12" i="23"/>
  <c r="I12" i="23"/>
  <c r="H12" i="23"/>
  <c r="G12" i="23"/>
  <c r="F12" i="23"/>
  <c r="E12" i="23"/>
  <c r="D12" i="23"/>
  <c r="C12" i="23"/>
  <c r="B12" i="23"/>
  <c r="A12" i="23"/>
  <c r="K11" i="23"/>
  <c r="J11" i="23"/>
  <c r="I11" i="23"/>
  <c r="H11" i="23"/>
  <c r="G11" i="23"/>
  <c r="F11" i="23"/>
  <c r="E11" i="23"/>
  <c r="D11" i="23"/>
  <c r="C11" i="23"/>
  <c r="B11" i="23"/>
  <c r="A11" i="23"/>
  <c r="K10" i="23"/>
  <c r="J10" i="23"/>
  <c r="I10" i="23"/>
  <c r="H10" i="23"/>
  <c r="G10" i="23"/>
  <c r="F10" i="23"/>
  <c r="E10" i="23"/>
  <c r="D10" i="23"/>
  <c r="C10" i="23"/>
  <c r="B10" i="23"/>
  <c r="A10" i="23"/>
  <c r="K9" i="23"/>
  <c r="J9" i="23"/>
  <c r="I9" i="23"/>
  <c r="H9" i="23"/>
  <c r="G9" i="23"/>
  <c r="F9" i="23"/>
  <c r="E9" i="23"/>
  <c r="D9" i="23"/>
  <c r="C9" i="23"/>
  <c r="B9" i="23"/>
  <c r="A9" i="23"/>
  <c r="K8" i="23"/>
  <c r="J8" i="23"/>
  <c r="I8" i="23"/>
  <c r="H8" i="23"/>
  <c r="G8" i="23"/>
  <c r="F8" i="23"/>
  <c r="E8" i="23"/>
  <c r="D8" i="23"/>
  <c r="C8" i="23"/>
  <c r="B8" i="23"/>
  <c r="A8" i="23"/>
  <c r="K7" i="23"/>
  <c r="J7" i="23"/>
  <c r="I7" i="23"/>
  <c r="H7" i="23"/>
  <c r="G7" i="23"/>
  <c r="F7" i="23"/>
  <c r="E7" i="23"/>
  <c r="D7" i="23"/>
  <c r="C7" i="23"/>
  <c r="B7" i="23"/>
  <c r="A7" i="23"/>
  <c r="K47" i="22"/>
  <c r="J47" i="22"/>
  <c r="I47" i="22"/>
  <c r="H47" i="22"/>
  <c r="G47" i="22"/>
  <c r="F47" i="22"/>
  <c r="E47" i="22"/>
  <c r="D47" i="22"/>
  <c r="C47" i="22"/>
  <c r="B47" i="22"/>
  <c r="A47" i="22"/>
  <c r="K46" i="22"/>
  <c r="J46" i="22"/>
  <c r="I46" i="22"/>
  <c r="H46" i="22"/>
  <c r="G46" i="22"/>
  <c r="F46" i="22"/>
  <c r="E46" i="22"/>
  <c r="D46" i="22"/>
  <c r="C46" i="22"/>
  <c r="B46" i="22"/>
  <c r="A46" i="22"/>
  <c r="K45" i="22"/>
  <c r="J45" i="22"/>
  <c r="I45" i="22"/>
  <c r="H45" i="22"/>
  <c r="G45" i="22"/>
  <c r="F45" i="22"/>
  <c r="E45" i="22"/>
  <c r="D45" i="22"/>
  <c r="C45" i="22"/>
  <c r="B45" i="22"/>
  <c r="A45" i="22"/>
  <c r="K44" i="22"/>
  <c r="J44" i="22"/>
  <c r="I44" i="22"/>
  <c r="H44" i="22"/>
  <c r="G44" i="22"/>
  <c r="F44" i="22"/>
  <c r="E44" i="22"/>
  <c r="D44" i="22"/>
  <c r="C44" i="22"/>
  <c r="B44" i="22"/>
  <c r="A44" i="22"/>
  <c r="K43" i="22"/>
  <c r="J43" i="22"/>
  <c r="I43" i="22"/>
  <c r="H43" i="22"/>
  <c r="G43" i="22"/>
  <c r="F43" i="22"/>
  <c r="E43" i="22"/>
  <c r="D43" i="22"/>
  <c r="C43" i="22"/>
  <c r="B43" i="22"/>
  <c r="A43" i="22"/>
  <c r="K42" i="22"/>
  <c r="J42" i="22"/>
  <c r="I42" i="22"/>
  <c r="H42" i="22"/>
  <c r="G42" i="22"/>
  <c r="F42" i="22"/>
  <c r="E42" i="22"/>
  <c r="D42" i="22"/>
  <c r="C42" i="22"/>
  <c r="B42" i="22"/>
  <c r="A42" i="22"/>
  <c r="K41" i="22"/>
  <c r="J41" i="22"/>
  <c r="I41" i="22"/>
  <c r="H41" i="22"/>
  <c r="G41" i="22"/>
  <c r="F41" i="22"/>
  <c r="E41" i="22"/>
  <c r="D41" i="22"/>
  <c r="C41" i="22"/>
  <c r="B41" i="22"/>
  <c r="A41" i="22"/>
  <c r="K40" i="22"/>
  <c r="J40" i="22"/>
  <c r="I40" i="22"/>
  <c r="H40" i="22"/>
  <c r="G40" i="22"/>
  <c r="F40" i="22"/>
  <c r="E40" i="22"/>
  <c r="D40" i="22"/>
  <c r="C40" i="22"/>
  <c r="B40" i="22"/>
  <c r="A40" i="22"/>
  <c r="K39" i="22"/>
  <c r="J39" i="22"/>
  <c r="I39" i="22"/>
  <c r="H39" i="22"/>
  <c r="G39" i="22"/>
  <c r="F39" i="22"/>
  <c r="E39" i="22"/>
  <c r="D39" i="22"/>
  <c r="C39" i="22"/>
  <c r="B39" i="22"/>
  <c r="A39" i="22"/>
  <c r="K38" i="22"/>
  <c r="J38" i="22"/>
  <c r="I38" i="22"/>
  <c r="H38" i="22"/>
  <c r="G38" i="22"/>
  <c r="F38" i="22"/>
  <c r="E38" i="22"/>
  <c r="D38" i="22"/>
  <c r="C38" i="22"/>
  <c r="B38" i="22"/>
  <c r="A38" i="22"/>
  <c r="K37" i="22"/>
  <c r="J37" i="22"/>
  <c r="I37" i="22"/>
  <c r="H37" i="22"/>
  <c r="G37" i="22"/>
  <c r="F37" i="22"/>
  <c r="E37" i="22"/>
  <c r="D37" i="22"/>
  <c r="C37" i="22"/>
  <c r="B37" i="22"/>
  <c r="A37" i="22"/>
  <c r="K36" i="22"/>
  <c r="J36" i="22"/>
  <c r="I36" i="22"/>
  <c r="H36" i="22"/>
  <c r="G36" i="22"/>
  <c r="F36" i="22"/>
  <c r="E36" i="22"/>
  <c r="D36" i="22"/>
  <c r="C36" i="22"/>
  <c r="B36" i="22"/>
  <c r="A36" i="22"/>
  <c r="K35" i="22"/>
  <c r="J35" i="22"/>
  <c r="I35" i="22"/>
  <c r="H35" i="22"/>
  <c r="G35" i="22"/>
  <c r="F35" i="22"/>
  <c r="E35" i="22"/>
  <c r="D35" i="22"/>
  <c r="C35" i="22"/>
  <c r="B35" i="22"/>
  <c r="A35" i="22"/>
  <c r="K34" i="22"/>
  <c r="J34" i="22"/>
  <c r="I34" i="22"/>
  <c r="H34" i="22"/>
  <c r="G34" i="22"/>
  <c r="F34" i="22"/>
  <c r="E34" i="22"/>
  <c r="D34" i="22"/>
  <c r="C34" i="22"/>
  <c r="B34" i="22"/>
  <c r="A34" i="22"/>
  <c r="K33" i="22"/>
  <c r="J33" i="22"/>
  <c r="I33" i="22"/>
  <c r="H33" i="22"/>
  <c r="G33" i="22"/>
  <c r="F33" i="22"/>
  <c r="E33" i="22"/>
  <c r="D33" i="22"/>
  <c r="C33" i="22"/>
  <c r="B33" i="22"/>
  <c r="A33" i="22"/>
  <c r="K32" i="22"/>
  <c r="J32" i="22"/>
  <c r="I32" i="22"/>
  <c r="H32" i="22"/>
  <c r="G32" i="22"/>
  <c r="F32" i="22"/>
  <c r="E32" i="22"/>
  <c r="D32" i="22"/>
  <c r="C32" i="22"/>
  <c r="B32" i="22"/>
  <c r="A32" i="22"/>
  <c r="K31" i="22"/>
  <c r="J31" i="22"/>
  <c r="I31" i="22"/>
  <c r="H31" i="22"/>
  <c r="G31" i="22"/>
  <c r="F31" i="22"/>
  <c r="E31" i="22"/>
  <c r="D31" i="22"/>
  <c r="C31" i="22"/>
  <c r="B31" i="22"/>
  <c r="A31" i="22"/>
  <c r="K30" i="22"/>
  <c r="J30" i="22"/>
  <c r="I30" i="22"/>
  <c r="H30" i="22"/>
  <c r="G30" i="22"/>
  <c r="F30" i="22"/>
  <c r="E30" i="22"/>
  <c r="D30" i="22"/>
  <c r="C30" i="22"/>
  <c r="B30" i="22"/>
  <c r="A30" i="22"/>
  <c r="K29" i="22"/>
  <c r="J29" i="22"/>
  <c r="I29" i="22"/>
  <c r="H29" i="22"/>
  <c r="G29" i="22"/>
  <c r="F29" i="22"/>
  <c r="E29" i="22"/>
  <c r="D29" i="22"/>
  <c r="C29" i="22"/>
  <c r="B29" i="22"/>
  <c r="A29" i="22"/>
  <c r="K28" i="22"/>
  <c r="J28" i="22"/>
  <c r="I28" i="22"/>
  <c r="H28" i="22"/>
  <c r="G28" i="22"/>
  <c r="F28" i="22"/>
  <c r="E28" i="22"/>
  <c r="D28" i="22"/>
  <c r="C28" i="22"/>
  <c r="B28" i="22"/>
  <c r="A28" i="22"/>
  <c r="K27" i="22"/>
  <c r="J27" i="22"/>
  <c r="I27" i="22"/>
  <c r="H27" i="22"/>
  <c r="G27" i="22"/>
  <c r="F27" i="22"/>
  <c r="E27" i="22"/>
  <c r="D27" i="22"/>
  <c r="C27" i="22"/>
  <c r="B27" i="22"/>
  <c r="A27" i="22"/>
  <c r="K26" i="22"/>
  <c r="J26" i="22"/>
  <c r="I26" i="22"/>
  <c r="H26" i="22"/>
  <c r="G26" i="22"/>
  <c r="F26" i="22"/>
  <c r="E26" i="22"/>
  <c r="D26" i="22"/>
  <c r="C26" i="22"/>
  <c r="B26" i="22"/>
  <c r="A26" i="22"/>
  <c r="K25" i="22"/>
  <c r="J25" i="22"/>
  <c r="I25" i="22"/>
  <c r="H25" i="22"/>
  <c r="G25" i="22"/>
  <c r="F25" i="22"/>
  <c r="E25" i="22"/>
  <c r="D25" i="22"/>
  <c r="C25" i="22"/>
  <c r="B25" i="22"/>
  <c r="A25" i="22"/>
  <c r="K24" i="22"/>
  <c r="J24" i="22"/>
  <c r="I24" i="22"/>
  <c r="H24" i="22"/>
  <c r="G24" i="22"/>
  <c r="F24" i="22"/>
  <c r="E24" i="22"/>
  <c r="D24" i="22"/>
  <c r="C24" i="22"/>
  <c r="B24" i="22"/>
  <c r="A24" i="22"/>
  <c r="K23" i="22"/>
  <c r="J23" i="22"/>
  <c r="I23" i="22"/>
  <c r="H23" i="22"/>
  <c r="G23" i="22"/>
  <c r="F23" i="22"/>
  <c r="E23" i="22"/>
  <c r="D23" i="22"/>
  <c r="C23" i="22"/>
  <c r="B23" i="22"/>
  <c r="A23" i="22"/>
  <c r="K22" i="22"/>
  <c r="J22" i="22"/>
  <c r="I22" i="22"/>
  <c r="H22" i="22"/>
  <c r="G22" i="22"/>
  <c r="F22" i="22"/>
  <c r="E22" i="22"/>
  <c r="D22" i="22"/>
  <c r="C22" i="22"/>
  <c r="B22" i="22"/>
  <c r="A22" i="22"/>
  <c r="K21" i="22"/>
  <c r="J21" i="22"/>
  <c r="I21" i="22"/>
  <c r="H21" i="22"/>
  <c r="G21" i="22"/>
  <c r="F21" i="22"/>
  <c r="E21" i="22"/>
  <c r="D21" i="22"/>
  <c r="C21" i="22"/>
  <c r="B21" i="22"/>
  <c r="A21" i="22"/>
  <c r="K20" i="22"/>
  <c r="J20" i="22"/>
  <c r="I20" i="22"/>
  <c r="H20" i="22"/>
  <c r="G20" i="22"/>
  <c r="F20" i="22"/>
  <c r="E20" i="22"/>
  <c r="D20" i="22"/>
  <c r="C20" i="22"/>
  <c r="B20" i="22"/>
  <c r="A20" i="22"/>
  <c r="K19" i="22"/>
  <c r="J19" i="22"/>
  <c r="I19" i="22"/>
  <c r="H19" i="22"/>
  <c r="G19" i="22"/>
  <c r="F19" i="22"/>
  <c r="E19" i="22"/>
  <c r="D19" i="22"/>
  <c r="C19" i="22"/>
  <c r="B19" i="22"/>
  <c r="A19" i="22"/>
  <c r="K18" i="22"/>
  <c r="J18" i="22"/>
  <c r="I18" i="22"/>
  <c r="H18" i="22"/>
  <c r="G18" i="22"/>
  <c r="F18" i="22"/>
  <c r="E18" i="22"/>
  <c r="D18" i="22"/>
  <c r="C18" i="22"/>
  <c r="B18" i="22"/>
  <c r="A18" i="22"/>
  <c r="K17" i="22"/>
  <c r="J17" i="22"/>
  <c r="I17" i="22"/>
  <c r="H17" i="22"/>
  <c r="G17" i="22"/>
  <c r="F17" i="22"/>
  <c r="E17" i="22"/>
  <c r="D17" i="22"/>
  <c r="C17" i="22"/>
  <c r="B17" i="22"/>
  <c r="A17" i="22"/>
  <c r="K16" i="22"/>
  <c r="J16" i="22"/>
  <c r="I16" i="22"/>
  <c r="H16" i="22"/>
  <c r="G16" i="22"/>
  <c r="F16" i="22"/>
  <c r="E16" i="22"/>
  <c r="D16" i="22"/>
  <c r="C16" i="22"/>
  <c r="B16" i="22"/>
  <c r="A16" i="22"/>
  <c r="K15" i="22"/>
  <c r="J15" i="22"/>
  <c r="I15" i="22"/>
  <c r="H15" i="22"/>
  <c r="G15" i="22"/>
  <c r="F15" i="22"/>
  <c r="E15" i="22"/>
  <c r="D15" i="22"/>
  <c r="C15" i="22"/>
  <c r="B15" i="22"/>
  <c r="A15" i="22"/>
  <c r="K14" i="22"/>
  <c r="J14" i="22"/>
  <c r="I14" i="22"/>
  <c r="H14" i="22"/>
  <c r="G14" i="22"/>
  <c r="F14" i="22"/>
  <c r="E14" i="22"/>
  <c r="D14" i="22"/>
  <c r="C14" i="22"/>
  <c r="B14" i="22"/>
  <c r="A14" i="22"/>
  <c r="K13" i="22"/>
  <c r="J13" i="22"/>
  <c r="I13" i="22"/>
  <c r="H13" i="22"/>
  <c r="G13" i="22"/>
  <c r="F13" i="22"/>
  <c r="E13" i="22"/>
  <c r="D13" i="22"/>
  <c r="C13" i="22"/>
  <c r="B13" i="22"/>
  <c r="A13" i="22"/>
  <c r="K12" i="22"/>
  <c r="J12" i="22"/>
  <c r="I12" i="22"/>
  <c r="H12" i="22"/>
  <c r="G12" i="22"/>
  <c r="F12" i="22"/>
  <c r="E12" i="22"/>
  <c r="D12" i="22"/>
  <c r="C12" i="22"/>
  <c r="B12" i="22"/>
  <c r="A12" i="22"/>
  <c r="K11" i="22"/>
  <c r="J11" i="22"/>
  <c r="I11" i="22"/>
  <c r="H11" i="22"/>
  <c r="G11" i="22"/>
  <c r="F11" i="22"/>
  <c r="E11" i="22"/>
  <c r="D11" i="22"/>
  <c r="C11" i="22"/>
  <c r="B11" i="22"/>
  <c r="A11" i="22"/>
  <c r="K10" i="22"/>
  <c r="J10" i="22"/>
  <c r="I10" i="22"/>
  <c r="H10" i="22"/>
  <c r="G10" i="22"/>
  <c r="F10" i="22"/>
  <c r="E10" i="22"/>
  <c r="D10" i="22"/>
  <c r="C10" i="22"/>
  <c r="B10" i="22"/>
  <c r="A10" i="22"/>
  <c r="K9" i="22"/>
  <c r="J9" i="22"/>
  <c r="I9" i="22"/>
  <c r="H9" i="22"/>
  <c r="G9" i="22"/>
  <c r="F9" i="22"/>
  <c r="E9" i="22"/>
  <c r="D9" i="22"/>
  <c r="C9" i="22"/>
  <c r="B9" i="22"/>
  <c r="A9" i="22"/>
  <c r="K8" i="22"/>
  <c r="J8" i="22"/>
  <c r="I8" i="22"/>
  <c r="H8" i="22"/>
  <c r="G8" i="22"/>
  <c r="F8" i="22"/>
  <c r="E8" i="22"/>
  <c r="D8" i="22"/>
  <c r="C8" i="22"/>
  <c r="B8" i="22"/>
  <c r="A8" i="22"/>
  <c r="K7" i="22"/>
  <c r="J7" i="22"/>
  <c r="I7" i="22"/>
  <c r="H7" i="22"/>
  <c r="G7" i="22"/>
  <c r="F7" i="22"/>
  <c r="E7" i="22"/>
  <c r="D7" i="22"/>
  <c r="C7" i="22"/>
  <c r="B7" i="22"/>
  <c r="A7" i="22"/>
  <c r="K94" i="21"/>
  <c r="J94" i="21"/>
  <c r="I94" i="21"/>
  <c r="H94" i="21"/>
  <c r="G94" i="21"/>
  <c r="F94" i="21"/>
  <c r="E94" i="21"/>
  <c r="D94" i="21"/>
  <c r="C94" i="21"/>
  <c r="B94" i="21"/>
  <c r="K93" i="21"/>
  <c r="J93" i="21"/>
  <c r="I93" i="21"/>
  <c r="H93" i="21"/>
  <c r="G93" i="21"/>
  <c r="F93" i="21"/>
  <c r="E93" i="21"/>
  <c r="D93" i="21"/>
  <c r="C93" i="21"/>
  <c r="B93" i="21"/>
  <c r="K92" i="21"/>
  <c r="J92" i="21"/>
  <c r="I92" i="21"/>
  <c r="H92" i="21"/>
  <c r="G92" i="21"/>
  <c r="F92" i="21"/>
  <c r="E92" i="21"/>
  <c r="D92" i="21"/>
  <c r="C92" i="21"/>
  <c r="B92" i="21"/>
  <c r="K91" i="21"/>
  <c r="J91" i="21"/>
  <c r="I91" i="21"/>
  <c r="H91" i="21"/>
  <c r="G91" i="21"/>
  <c r="F91" i="21"/>
  <c r="E91" i="21"/>
  <c r="D91" i="21"/>
  <c r="C91" i="21"/>
  <c r="B91" i="21"/>
  <c r="K90" i="21"/>
  <c r="J90" i="21"/>
  <c r="I90" i="21"/>
  <c r="H90" i="21"/>
  <c r="G90" i="21"/>
  <c r="F90" i="21"/>
  <c r="E90" i="21"/>
  <c r="D90" i="21"/>
  <c r="C90" i="21"/>
  <c r="B90" i="21"/>
  <c r="K89" i="21"/>
  <c r="J89" i="21"/>
  <c r="I89" i="21"/>
  <c r="H89" i="21"/>
  <c r="G89" i="21"/>
  <c r="F89" i="21"/>
  <c r="E89" i="21"/>
  <c r="D89" i="21"/>
  <c r="C89" i="21"/>
  <c r="B89" i="21"/>
  <c r="K88" i="21"/>
  <c r="J88" i="21"/>
  <c r="I88" i="21"/>
  <c r="H88" i="21"/>
  <c r="G88" i="21"/>
  <c r="F88" i="21"/>
  <c r="E88" i="21"/>
  <c r="D88" i="21"/>
  <c r="C88" i="21"/>
  <c r="B88" i="21"/>
  <c r="K87" i="21"/>
  <c r="J87" i="21"/>
  <c r="I87" i="21"/>
  <c r="H87" i="21"/>
  <c r="G87" i="21"/>
  <c r="F87" i="21"/>
  <c r="E87" i="21"/>
  <c r="D87" i="21"/>
  <c r="C87" i="21"/>
  <c r="B87" i="21"/>
  <c r="K86" i="21"/>
  <c r="J86" i="21"/>
  <c r="I86" i="21"/>
  <c r="H86" i="21"/>
  <c r="G86" i="21"/>
  <c r="F86" i="21"/>
  <c r="E86" i="21"/>
  <c r="D86" i="21"/>
  <c r="C86" i="21"/>
  <c r="B86" i="21"/>
  <c r="K85" i="21"/>
  <c r="J85" i="21"/>
  <c r="I85" i="21"/>
  <c r="H85" i="21"/>
  <c r="G85" i="21"/>
  <c r="F85" i="21"/>
  <c r="E85" i="21"/>
  <c r="D85" i="21"/>
  <c r="C85" i="21"/>
  <c r="B85" i="21"/>
  <c r="K84" i="21"/>
  <c r="J84" i="21"/>
  <c r="I84" i="21"/>
  <c r="H84" i="21"/>
  <c r="G84" i="21"/>
  <c r="F84" i="21"/>
  <c r="E84" i="21"/>
  <c r="D84" i="21"/>
  <c r="C84" i="21"/>
  <c r="B84" i="21"/>
  <c r="K83" i="21"/>
  <c r="J83" i="21"/>
  <c r="I83" i="21"/>
  <c r="H83" i="21"/>
  <c r="G83" i="21"/>
  <c r="F83" i="21"/>
  <c r="E83" i="21"/>
  <c r="D83" i="21"/>
  <c r="C83" i="21"/>
  <c r="B83" i="21"/>
  <c r="K82" i="21"/>
  <c r="J82" i="21"/>
  <c r="I82" i="21"/>
  <c r="H82" i="21"/>
  <c r="G82" i="21"/>
  <c r="F82" i="21"/>
  <c r="E82" i="21"/>
  <c r="D82" i="21"/>
  <c r="C82" i="21"/>
  <c r="B82" i="21"/>
  <c r="K81" i="21"/>
  <c r="J81" i="21"/>
  <c r="I81" i="21"/>
  <c r="H81" i="21"/>
  <c r="G81" i="21"/>
  <c r="F81" i="21"/>
  <c r="E81" i="21"/>
  <c r="D81" i="21"/>
  <c r="C81" i="21"/>
  <c r="B81" i="21"/>
  <c r="K80" i="21"/>
  <c r="J80" i="21"/>
  <c r="I80" i="21"/>
  <c r="H80" i="21"/>
  <c r="G80" i="21"/>
  <c r="F80" i="21"/>
  <c r="E80" i="21"/>
  <c r="D80" i="21"/>
  <c r="C80" i="21"/>
  <c r="B80" i="21"/>
  <c r="K79" i="21"/>
  <c r="J79" i="21"/>
  <c r="I79" i="21"/>
  <c r="H79" i="21"/>
  <c r="G79" i="21"/>
  <c r="F79" i="21"/>
  <c r="E79" i="21"/>
  <c r="D79" i="21"/>
  <c r="C79" i="21"/>
  <c r="B79" i="21"/>
  <c r="K78" i="21"/>
  <c r="J78" i="21"/>
  <c r="I78" i="21"/>
  <c r="H78" i="21"/>
  <c r="G78" i="21"/>
  <c r="F78" i="21"/>
  <c r="E78" i="21"/>
  <c r="D78" i="21"/>
  <c r="C78" i="21"/>
  <c r="B78" i="21"/>
  <c r="K77" i="21"/>
  <c r="J77" i="21"/>
  <c r="I77" i="21"/>
  <c r="H77" i="21"/>
  <c r="G77" i="21"/>
  <c r="F77" i="21"/>
  <c r="E77" i="21"/>
  <c r="D77" i="21"/>
  <c r="C77" i="21"/>
  <c r="B77" i="21"/>
  <c r="K76" i="21"/>
  <c r="J76" i="21"/>
  <c r="I76" i="21"/>
  <c r="H76" i="21"/>
  <c r="G76" i="21"/>
  <c r="F76" i="21"/>
  <c r="E76" i="21"/>
  <c r="D76" i="21"/>
  <c r="C76" i="21"/>
  <c r="B76" i="21"/>
  <c r="K75" i="21"/>
  <c r="J75" i="21"/>
  <c r="I75" i="21"/>
  <c r="H75" i="21"/>
  <c r="G75" i="21"/>
  <c r="F75" i="21"/>
  <c r="E75" i="21"/>
  <c r="D75" i="21"/>
  <c r="C75" i="21"/>
  <c r="B75" i="21"/>
  <c r="K74" i="21"/>
  <c r="J74" i="21"/>
  <c r="I74" i="21"/>
  <c r="H74" i="21"/>
  <c r="G74" i="21"/>
  <c r="F74" i="21"/>
  <c r="E74" i="21"/>
  <c r="D74" i="21"/>
  <c r="C74" i="21"/>
  <c r="B74" i="21"/>
  <c r="K73" i="21"/>
  <c r="J73" i="21"/>
  <c r="I73" i="21"/>
  <c r="H73" i="21"/>
  <c r="G73" i="21"/>
  <c r="F73" i="21"/>
  <c r="E73" i="21"/>
  <c r="D73" i="21"/>
  <c r="C73" i="21"/>
  <c r="B73" i="21"/>
  <c r="K72" i="21"/>
  <c r="J72" i="21"/>
  <c r="I72" i="21"/>
  <c r="H72" i="21"/>
  <c r="G72" i="21"/>
  <c r="F72" i="21"/>
  <c r="E72" i="21"/>
  <c r="D72" i="21"/>
  <c r="C72" i="21"/>
  <c r="B72" i="21"/>
  <c r="K71" i="21"/>
  <c r="J71" i="21"/>
  <c r="I71" i="21"/>
  <c r="H71" i="21"/>
  <c r="G71" i="21"/>
  <c r="F71" i="21"/>
  <c r="E71" i="21"/>
  <c r="D71" i="21"/>
  <c r="C71" i="21"/>
  <c r="B71" i="21"/>
  <c r="K70" i="21"/>
  <c r="J70" i="21"/>
  <c r="I70" i="21"/>
  <c r="H70" i="21"/>
  <c r="G70" i="21"/>
  <c r="F70" i="21"/>
  <c r="E70" i="21"/>
  <c r="D70" i="21"/>
  <c r="C70" i="21"/>
  <c r="B70" i="21"/>
  <c r="K69" i="21"/>
  <c r="J69" i="21"/>
  <c r="I69" i="21"/>
  <c r="H69" i="21"/>
  <c r="G69" i="21"/>
  <c r="F69" i="21"/>
  <c r="E69" i="21"/>
  <c r="D69" i="21"/>
  <c r="C69" i="21"/>
  <c r="B69" i="21"/>
  <c r="K68" i="21"/>
  <c r="J68" i="21"/>
  <c r="I68" i="21"/>
  <c r="H68" i="21"/>
  <c r="G68" i="21"/>
  <c r="F68" i="21"/>
  <c r="E68" i="21"/>
  <c r="D68" i="21"/>
  <c r="C68" i="21"/>
  <c r="B68" i="21"/>
  <c r="K67" i="21"/>
  <c r="J67" i="21"/>
  <c r="I67" i="21"/>
  <c r="H67" i="21"/>
  <c r="G67" i="21"/>
  <c r="F67" i="21"/>
  <c r="E67" i="21"/>
  <c r="D67" i="21"/>
  <c r="C67" i="21"/>
  <c r="B67" i="21"/>
  <c r="K66" i="21"/>
  <c r="J66" i="21"/>
  <c r="I66" i="21"/>
  <c r="H66" i="21"/>
  <c r="G66" i="21"/>
  <c r="F66" i="21"/>
  <c r="E66" i="21"/>
  <c r="D66" i="21"/>
  <c r="C66" i="21"/>
  <c r="B66" i="21"/>
  <c r="K65" i="21"/>
  <c r="J65" i="21"/>
  <c r="I65" i="21"/>
  <c r="H65" i="21"/>
  <c r="G65" i="21"/>
  <c r="F65" i="21"/>
  <c r="E65" i="21"/>
  <c r="D65" i="21"/>
  <c r="C65" i="21"/>
  <c r="B65" i="21"/>
  <c r="K64" i="21"/>
  <c r="J64" i="21"/>
  <c r="I64" i="21"/>
  <c r="H64" i="21"/>
  <c r="G64" i="21"/>
  <c r="F64" i="21"/>
  <c r="E64" i="21"/>
  <c r="D64" i="21"/>
  <c r="C64" i="21"/>
  <c r="B64" i="21"/>
  <c r="K63" i="21"/>
  <c r="J63" i="21"/>
  <c r="I63" i="21"/>
  <c r="H63" i="21"/>
  <c r="G63" i="21"/>
  <c r="F63" i="21"/>
  <c r="E63" i="21"/>
  <c r="D63" i="21"/>
  <c r="C63" i="21"/>
  <c r="B63" i="21"/>
  <c r="K62" i="21"/>
  <c r="J62" i="21"/>
  <c r="I62" i="21"/>
  <c r="H62" i="21"/>
  <c r="G62" i="21"/>
  <c r="F62" i="21"/>
  <c r="E62" i="21"/>
  <c r="D62" i="21"/>
  <c r="C62" i="21"/>
  <c r="B62" i="21"/>
  <c r="K61" i="21"/>
  <c r="J61" i="21"/>
  <c r="I61" i="21"/>
  <c r="H61" i="21"/>
  <c r="G61" i="21"/>
  <c r="F61" i="21"/>
  <c r="E61" i="21"/>
  <c r="D61" i="21"/>
  <c r="C61" i="21"/>
  <c r="B61" i="21"/>
  <c r="K60" i="21"/>
  <c r="J60" i="21"/>
  <c r="I60" i="21"/>
  <c r="H60" i="21"/>
  <c r="G60" i="21"/>
  <c r="F60" i="21"/>
  <c r="E60" i="21"/>
  <c r="D60" i="21"/>
  <c r="C60" i="21"/>
  <c r="B60" i="21"/>
  <c r="K59" i="21"/>
  <c r="J59" i="21"/>
  <c r="I59" i="21"/>
  <c r="H59" i="21"/>
  <c r="G59" i="21"/>
  <c r="F59" i="21"/>
  <c r="E59" i="21"/>
  <c r="D59" i="21"/>
  <c r="C59" i="21"/>
  <c r="B59" i="21"/>
  <c r="K58" i="21"/>
  <c r="J58" i="21"/>
  <c r="I58" i="21"/>
  <c r="H58" i="21"/>
  <c r="G58" i="21"/>
  <c r="F58" i="21"/>
  <c r="E58" i="21"/>
  <c r="D58" i="21"/>
  <c r="C58" i="21"/>
  <c r="B58" i="21"/>
  <c r="K57" i="21"/>
  <c r="J57" i="21"/>
  <c r="I57" i="21"/>
  <c r="H57" i="21"/>
  <c r="G57" i="21"/>
  <c r="F57" i="21"/>
  <c r="E57" i="21"/>
  <c r="D57" i="21"/>
  <c r="C57" i="21"/>
  <c r="B57" i="21"/>
  <c r="K56" i="21"/>
  <c r="J56" i="21"/>
  <c r="I56" i="21"/>
  <c r="H56" i="21"/>
  <c r="G56" i="21"/>
  <c r="F56" i="21"/>
  <c r="E56" i="21"/>
  <c r="D56" i="21"/>
  <c r="C56" i="21"/>
  <c r="B56" i="21"/>
  <c r="K55" i="21"/>
  <c r="J55" i="21"/>
  <c r="I55" i="21"/>
  <c r="H55" i="21"/>
  <c r="G55" i="21"/>
  <c r="F55" i="21"/>
  <c r="E55" i="21"/>
  <c r="D55" i="21"/>
  <c r="C55" i="21"/>
  <c r="B55" i="21"/>
  <c r="K54" i="21"/>
  <c r="J54" i="21"/>
  <c r="I54" i="21"/>
  <c r="H54" i="21"/>
  <c r="G54" i="21"/>
  <c r="F54" i="21"/>
  <c r="E54" i="21"/>
  <c r="D54" i="21"/>
  <c r="C54" i="21"/>
  <c r="B54" i="21"/>
  <c r="K53" i="21"/>
  <c r="J53" i="21"/>
  <c r="I53" i="21"/>
  <c r="H53" i="21"/>
  <c r="G53" i="21"/>
  <c r="F53" i="21"/>
  <c r="E53" i="21"/>
  <c r="D53" i="21"/>
  <c r="C53" i="21"/>
  <c r="B53" i="21"/>
  <c r="K52" i="21"/>
  <c r="J52" i="21"/>
  <c r="I52" i="21"/>
  <c r="H52" i="21"/>
  <c r="G52" i="21"/>
  <c r="F52" i="21"/>
  <c r="E52" i="21"/>
  <c r="D52" i="21"/>
  <c r="C52" i="21"/>
  <c r="B52" i="21"/>
  <c r="K51" i="21"/>
  <c r="J51" i="21"/>
  <c r="I51" i="21"/>
  <c r="H51" i="21"/>
  <c r="G51" i="21"/>
  <c r="F51" i="21"/>
  <c r="E51" i="21"/>
  <c r="D51" i="21"/>
  <c r="C51" i="21"/>
  <c r="B51" i="21"/>
  <c r="K50" i="21"/>
  <c r="J50" i="21"/>
  <c r="I50" i="21"/>
  <c r="H50" i="21"/>
  <c r="G50" i="21"/>
  <c r="F50" i="21"/>
  <c r="E50" i="21"/>
  <c r="D50" i="21"/>
  <c r="C50" i="21"/>
  <c r="B50" i="21"/>
  <c r="K49" i="21"/>
  <c r="J49" i="21"/>
  <c r="I49" i="21"/>
  <c r="H49" i="21"/>
  <c r="G49" i="21"/>
  <c r="F49" i="21"/>
  <c r="E49" i="21"/>
  <c r="D49" i="21"/>
  <c r="C49" i="21"/>
  <c r="B49" i="21"/>
  <c r="K48" i="21"/>
  <c r="J48" i="21"/>
  <c r="I48" i="21"/>
  <c r="H48" i="21"/>
  <c r="G48" i="21"/>
  <c r="F48" i="21"/>
  <c r="E48" i="21"/>
  <c r="D48" i="21"/>
  <c r="C48" i="21"/>
  <c r="B48" i="21"/>
  <c r="K47" i="21"/>
  <c r="J47" i="21"/>
  <c r="I47" i="21"/>
  <c r="H47" i="21"/>
  <c r="G47" i="21"/>
  <c r="F47" i="21"/>
  <c r="E47" i="21"/>
  <c r="D47" i="21"/>
  <c r="C47" i="21"/>
  <c r="B47" i="21"/>
  <c r="K46" i="21"/>
  <c r="J46" i="21"/>
  <c r="I46" i="21"/>
  <c r="H46" i="21"/>
  <c r="G46" i="21"/>
  <c r="F46" i="21"/>
  <c r="E46" i="21"/>
  <c r="D46" i="21"/>
  <c r="C46" i="21"/>
  <c r="B46" i="21"/>
  <c r="K45" i="21"/>
  <c r="J45" i="21"/>
  <c r="I45" i="21"/>
  <c r="H45" i="21"/>
  <c r="G45" i="21"/>
  <c r="F45" i="21"/>
  <c r="E45" i="21"/>
  <c r="D45" i="21"/>
  <c r="C45" i="21"/>
  <c r="B45" i="21"/>
  <c r="K44" i="21"/>
  <c r="J44" i="21"/>
  <c r="I44" i="21"/>
  <c r="H44" i="21"/>
  <c r="G44" i="21"/>
  <c r="F44" i="21"/>
  <c r="E44" i="21"/>
  <c r="D44" i="21"/>
  <c r="C44" i="21"/>
  <c r="B44" i="21"/>
  <c r="K43" i="21"/>
  <c r="J43" i="21"/>
  <c r="I43" i="21"/>
  <c r="H43" i="21"/>
  <c r="G43" i="21"/>
  <c r="F43" i="21"/>
  <c r="E43" i="21"/>
  <c r="D43" i="21"/>
  <c r="C43" i="21"/>
  <c r="B43" i="21"/>
  <c r="K42" i="21"/>
  <c r="J42" i="21"/>
  <c r="I42" i="21"/>
  <c r="H42" i="21"/>
  <c r="G42" i="21"/>
  <c r="F42" i="21"/>
  <c r="E42" i="21"/>
  <c r="D42" i="21"/>
  <c r="C42" i="21"/>
  <c r="B42" i="21"/>
  <c r="K41" i="21"/>
  <c r="J41" i="21"/>
  <c r="I41" i="21"/>
  <c r="H41" i="21"/>
  <c r="G41" i="21"/>
  <c r="F41" i="21"/>
  <c r="E41" i="21"/>
  <c r="D41" i="21"/>
  <c r="C41" i="21"/>
  <c r="B41" i="21"/>
  <c r="K40" i="21"/>
  <c r="J40" i="21"/>
  <c r="I40" i="21"/>
  <c r="H40" i="21"/>
  <c r="G40" i="21"/>
  <c r="F40" i="21"/>
  <c r="E40" i="21"/>
  <c r="D40" i="21"/>
  <c r="C40" i="21"/>
  <c r="B40" i="21"/>
  <c r="K39" i="21"/>
  <c r="J39" i="21"/>
  <c r="I39" i="21"/>
  <c r="H39" i="21"/>
  <c r="G39" i="21"/>
  <c r="F39" i="21"/>
  <c r="E39" i="21"/>
  <c r="D39" i="21"/>
  <c r="C39" i="21"/>
  <c r="B39" i="21"/>
  <c r="K38" i="21"/>
  <c r="J38" i="21"/>
  <c r="I38" i="21"/>
  <c r="H38" i="21"/>
  <c r="G38" i="21"/>
  <c r="F38" i="21"/>
  <c r="E38" i="21"/>
  <c r="D38" i="21"/>
  <c r="C38" i="21"/>
  <c r="B38" i="21"/>
  <c r="K37" i="21"/>
  <c r="J37" i="21"/>
  <c r="I37" i="21"/>
  <c r="H37" i="21"/>
  <c r="G37" i="21"/>
  <c r="F37" i="21"/>
  <c r="E37" i="21"/>
  <c r="D37" i="21"/>
  <c r="C37" i="21"/>
  <c r="B37" i="21"/>
  <c r="K36" i="21"/>
  <c r="J36" i="21"/>
  <c r="I36" i="21"/>
  <c r="H36" i="21"/>
  <c r="G36" i="21"/>
  <c r="F36" i="21"/>
  <c r="E36" i="21"/>
  <c r="D36" i="21"/>
  <c r="C36" i="21"/>
  <c r="B36" i="21"/>
  <c r="K35" i="21"/>
  <c r="J35" i="21"/>
  <c r="I35" i="21"/>
  <c r="H35" i="21"/>
  <c r="G35" i="21"/>
  <c r="F35" i="21"/>
  <c r="E35" i="21"/>
  <c r="D35" i="21"/>
  <c r="C35" i="21"/>
  <c r="B35" i="21"/>
  <c r="K34" i="21"/>
  <c r="J34" i="21"/>
  <c r="I34" i="21"/>
  <c r="H34" i="21"/>
  <c r="G34" i="21"/>
  <c r="F34" i="21"/>
  <c r="E34" i="21"/>
  <c r="D34" i="21"/>
  <c r="C34" i="21"/>
  <c r="B34" i="21"/>
  <c r="K33" i="21"/>
  <c r="J33" i="21"/>
  <c r="I33" i="21"/>
  <c r="H33" i="21"/>
  <c r="G33" i="21"/>
  <c r="F33" i="21"/>
  <c r="E33" i="21"/>
  <c r="D33" i="21"/>
  <c r="C33" i="21"/>
  <c r="B33" i="21"/>
  <c r="K32" i="21"/>
  <c r="J32" i="21"/>
  <c r="I32" i="21"/>
  <c r="H32" i="21"/>
  <c r="G32" i="21"/>
  <c r="F32" i="21"/>
  <c r="E32" i="21"/>
  <c r="D32" i="21"/>
  <c r="C32" i="21"/>
  <c r="B32" i="21"/>
  <c r="K31" i="21"/>
  <c r="J31" i="21"/>
  <c r="I31" i="21"/>
  <c r="H31" i="21"/>
  <c r="G31" i="21"/>
  <c r="F31" i="21"/>
  <c r="E31" i="21"/>
  <c r="D31" i="21"/>
  <c r="C31" i="21"/>
  <c r="B31" i="21"/>
  <c r="K30" i="21"/>
  <c r="J30" i="21"/>
  <c r="I30" i="21"/>
  <c r="H30" i="21"/>
  <c r="G30" i="21"/>
  <c r="F30" i="21"/>
  <c r="E30" i="21"/>
  <c r="D30" i="21"/>
  <c r="C30" i="21"/>
  <c r="B30" i="21"/>
  <c r="K29" i="21"/>
  <c r="J29" i="21"/>
  <c r="I29" i="21"/>
  <c r="H29" i="21"/>
  <c r="G29" i="21"/>
  <c r="F29" i="21"/>
  <c r="E29" i="21"/>
  <c r="D29" i="21"/>
  <c r="C29" i="21"/>
  <c r="B29" i="21"/>
  <c r="K28" i="21"/>
  <c r="J28" i="21"/>
  <c r="I28" i="21"/>
  <c r="H28" i="21"/>
  <c r="G28" i="21"/>
  <c r="F28" i="21"/>
  <c r="E28" i="21"/>
  <c r="D28" i="21"/>
  <c r="C28" i="21"/>
  <c r="B28" i="21"/>
  <c r="K27" i="21"/>
  <c r="J27" i="21"/>
  <c r="I27" i="21"/>
  <c r="H27" i="21"/>
  <c r="G27" i="21"/>
  <c r="F27" i="21"/>
  <c r="E27" i="21"/>
  <c r="D27" i="21"/>
  <c r="C27" i="21"/>
  <c r="B27" i="21"/>
  <c r="K26" i="21"/>
  <c r="J26" i="21"/>
  <c r="I26" i="21"/>
  <c r="H26" i="21"/>
  <c r="G26" i="21"/>
  <c r="F26" i="21"/>
  <c r="E26" i="21"/>
  <c r="D26" i="21"/>
  <c r="C26" i="21"/>
  <c r="B26" i="21"/>
  <c r="K25" i="21"/>
  <c r="J25" i="21"/>
  <c r="I25" i="21"/>
  <c r="H25" i="21"/>
  <c r="G25" i="21"/>
  <c r="F25" i="21"/>
  <c r="E25" i="21"/>
  <c r="D25" i="21"/>
  <c r="C25" i="21"/>
  <c r="B25" i="21"/>
  <c r="N24" i="21"/>
  <c r="K24" i="21"/>
  <c r="J24" i="21"/>
  <c r="I24" i="21"/>
  <c r="H24" i="21"/>
  <c r="G24" i="21"/>
  <c r="F24" i="21"/>
  <c r="E24" i="21"/>
  <c r="D24" i="21"/>
  <c r="C24" i="21"/>
  <c r="B24" i="21"/>
  <c r="K23" i="21"/>
  <c r="J23" i="21"/>
  <c r="I23" i="21"/>
  <c r="H23" i="21"/>
  <c r="G23" i="21"/>
  <c r="F23" i="21"/>
  <c r="E23" i="21"/>
  <c r="D23" i="21"/>
  <c r="C23" i="21"/>
  <c r="B23" i="21"/>
  <c r="K22" i="21"/>
  <c r="J22" i="21"/>
  <c r="I22" i="21"/>
  <c r="H22" i="21"/>
  <c r="G22" i="21"/>
  <c r="F22" i="21"/>
  <c r="E22" i="21"/>
  <c r="D22" i="21"/>
  <c r="C22" i="21"/>
  <c r="B22" i="21"/>
  <c r="K21" i="21"/>
  <c r="J21" i="21"/>
  <c r="I21" i="21"/>
  <c r="H21" i="21"/>
  <c r="G21" i="21"/>
  <c r="F21" i="21"/>
  <c r="E21" i="21"/>
  <c r="D21" i="21"/>
  <c r="C21" i="21"/>
  <c r="B21" i="21"/>
  <c r="K20" i="21"/>
  <c r="J20" i="21"/>
  <c r="I20" i="21"/>
  <c r="H20" i="21"/>
  <c r="G20" i="21"/>
  <c r="F20" i="21"/>
  <c r="E20" i="21"/>
  <c r="D20" i="21"/>
  <c r="C20" i="21"/>
  <c r="B20" i="21"/>
  <c r="K19" i="21"/>
  <c r="J19" i="21"/>
  <c r="I19" i="21"/>
  <c r="H19" i="21"/>
  <c r="G19" i="21"/>
  <c r="F19" i="21"/>
  <c r="E19" i="21"/>
  <c r="D19" i="21"/>
  <c r="C19" i="21"/>
  <c r="B19" i="21"/>
  <c r="K18" i="21"/>
  <c r="J18" i="21"/>
  <c r="I18" i="21"/>
  <c r="H18" i="21"/>
  <c r="G18" i="21"/>
  <c r="F18" i="21"/>
  <c r="E18" i="21"/>
  <c r="D18" i="21"/>
  <c r="C18" i="21"/>
  <c r="B18" i="21"/>
  <c r="W17" i="21"/>
  <c r="V17" i="21"/>
  <c r="U17" i="21"/>
  <c r="T17" i="21"/>
  <c r="S17" i="21"/>
  <c r="R17" i="21"/>
  <c r="Q17" i="21"/>
  <c r="P17" i="21"/>
  <c r="O17" i="21"/>
  <c r="N17" i="21"/>
  <c r="K17" i="21"/>
  <c r="J17" i="21"/>
  <c r="I17" i="21"/>
  <c r="H17" i="21"/>
  <c r="G17" i="21"/>
  <c r="F17" i="21"/>
  <c r="E17" i="21"/>
  <c r="D17" i="21"/>
  <c r="C17" i="21"/>
  <c r="B17" i="21"/>
  <c r="W16" i="21"/>
  <c r="V16" i="21"/>
  <c r="U16" i="21"/>
  <c r="T16" i="21"/>
  <c r="S16" i="21"/>
  <c r="R16" i="21"/>
  <c r="Q16" i="21"/>
  <c r="P16" i="21"/>
  <c r="O16" i="21"/>
  <c r="N16" i="21"/>
  <c r="K16" i="21"/>
  <c r="J16" i="21"/>
  <c r="I16" i="21"/>
  <c r="H16" i="21"/>
  <c r="G16" i="21"/>
  <c r="F16" i="21"/>
  <c r="E16" i="21"/>
  <c r="D16" i="21"/>
  <c r="C16" i="21"/>
  <c r="B16" i="21"/>
  <c r="W15" i="21"/>
  <c r="V15" i="21"/>
  <c r="U15" i="21"/>
  <c r="T15" i="21"/>
  <c r="S15" i="21"/>
  <c r="R15" i="21"/>
  <c r="Q15" i="21"/>
  <c r="P15" i="21"/>
  <c r="O15" i="21"/>
  <c r="N15" i="21"/>
  <c r="K15" i="21"/>
  <c r="J15" i="21"/>
  <c r="I15" i="21"/>
  <c r="H15" i="21"/>
  <c r="G15" i="21"/>
  <c r="F15" i="21"/>
  <c r="E15" i="21"/>
  <c r="D15" i="21"/>
  <c r="C15" i="21"/>
  <c r="B15" i="21"/>
  <c r="W14" i="21"/>
  <c r="V14" i="21"/>
  <c r="U14" i="21"/>
  <c r="T14" i="21"/>
  <c r="S14" i="21"/>
  <c r="R14" i="21"/>
  <c r="Q14" i="21"/>
  <c r="P14" i="21"/>
  <c r="O14" i="21"/>
  <c r="N14" i="21"/>
  <c r="K14" i="21"/>
  <c r="J14" i="21"/>
  <c r="I14" i="21"/>
  <c r="H14" i="21"/>
  <c r="G14" i="21"/>
  <c r="F14" i="21"/>
  <c r="E14" i="21"/>
  <c r="D14" i="21"/>
  <c r="C14" i="21"/>
  <c r="B14" i="21"/>
  <c r="W13" i="21"/>
  <c r="V13" i="21"/>
  <c r="U13" i="21"/>
  <c r="T13" i="21"/>
  <c r="S13" i="21"/>
  <c r="R13" i="21"/>
  <c r="Q13" i="21"/>
  <c r="P13" i="21"/>
  <c r="O13" i="21"/>
  <c r="N13" i="21"/>
  <c r="K13" i="21"/>
  <c r="J13" i="21"/>
  <c r="I13" i="21"/>
  <c r="H13" i="21"/>
  <c r="G13" i="21"/>
  <c r="F13" i="21"/>
  <c r="E13" i="21"/>
  <c r="D13" i="21"/>
  <c r="C13" i="21"/>
  <c r="B13" i="21"/>
  <c r="W12" i="21"/>
  <c r="V12" i="21"/>
  <c r="U12" i="21"/>
  <c r="T12" i="21"/>
  <c r="S12" i="21"/>
  <c r="R12" i="21"/>
  <c r="Q12" i="21"/>
  <c r="P12" i="21"/>
  <c r="O12" i="21"/>
  <c r="N12" i="21"/>
  <c r="K12" i="21"/>
  <c r="J12" i="21"/>
  <c r="I12" i="21"/>
  <c r="H12" i="21"/>
  <c r="G12" i="21"/>
  <c r="F12" i="21"/>
  <c r="E12" i="21"/>
  <c r="D12" i="21"/>
  <c r="C12" i="21"/>
  <c r="B12" i="21"/>
  <c r="W11" i="21"/>
  <c r="V11" i="21"/>
  <c r="U11" i="21"/>
  <c r="T11" i="21"/>
  <c r="S11" i="21"/>
  <c r="R11" i="21"/>
  <c r="Q11" i="21"/>
  <c r="P11" i="21"/>
  <c r="O11" i="21"/>
  <c r="N11" i="21"/>
  <c r="K11" i="21"/>
  <c r="J11" i="21"/>
  <c r="I11" i="21"/>
  <c r="H11" i="21"/>
  <c r="G11" i="21"/>
  <c r="F11" i="21"/>
  <c r="E11" i="21"/>
  <c r="D11" i="21"/>
  <c r="C11" i="21"/>
  <c r="B11" i="21"/>
  <c r="W10" i="21"/>
  <c r="V10" i="21"/>
  <c r="U10" i="21"/>
  <c r="T10" i="21"/>
  <c r="S10" i="21"/>
  <c r="R10" i="21"/>
  <c r="Q10" i="21"/>
  <c r="P10" i="21"/>
  <c r="O10" i="21"/>
  <c r="N10" i="21"/>
  <c r="K10" i="21"/>
  <c r="J10" i="21"/>
  <c r="I10" i="21"/>
  <c r="H10" i="21"/>
  <c r="G10" i="21"/>
  <c r="F10" i="21"/>
  <c r="E10" i="21"/>
  <c r="D10" i="21"/>
  <c r="C10" i="21"/>
  <c r="B10" i="21"/>
  <c r="W9" i="21"/>
  <c r="V9" i="21"/>
  <c r="U9" i="21"/>
  <c r="T9" i="21"/>
  <c r="S9" i="21"/>
  <c r="R9" i="21"/>
  <c r="Q9" i="21"/>
  <c r="P9" i="21"/>
  <c r="O9" i="21"/>
  <c r="N9" i="21"/>
  <c r="K9" i="21"/>
  <c r="J9" i="21"/>
  <c r="I9" i="21"/>
  <c r="H9" i="21"/>
  <c r="G9" i="21"/>
  <c r="F9" i="21"/>
  <c r="E9" i="21"/>
  <c r="D9" i="21"/>
  <c r="C9" i="21"/>
  <c r="B9" i="21"/>
  <c r="K75" i="20"/>
  <c r="J75" i="20"/>
  <c r="I75" i="20"/>
  <c r="H75" i="20"/>
  <c r="G75" i="20"/>
  <c r="F75" i="20"/>
  <c r="E75" i="20"/>
  <c r="D75" i="20"/>
  <c r="C75" i="20"/>
  <c r="B75" i="20"/>
  <c r="K74" i="20"/>
  <c r="J74" i="20"/>
  <c r="I74" i="20"/>
  <c r="H74" i="20"/>
  <c r="G74" i="20"/>
  <c r="F74" i="20"/>
  <c r="E74" i="20"/>
  <c r="D74" i="20"/>
  <c r="C74" i="20"/>
  <c r="B74" i="20"/>
  <c r="K73" i="20"/>
  <c r="J73" i="20"/>
  <c r="I73" i="20"/>
  <c r="H73" i="20"/>
  <c r="G73" i="20"/>
  <c r="F73" i="20"/>
  <c r="E73" i="20"/>
  <c r="D73" i="20"/>
  <c r="C73" i="20"/>
  <c r="B73" i="20"/>
  <c r="K72" i="20"/>
  <c r="J72" i="20"/>
  <c r="I72" i="20"/>
  <c r="H72" i="20"/>
  <c r="G72" i="20"/>
  <c r="F72" i="20"/>
  <c r="E72" i="20"/>
  <c r="D72" i="20"/>
  <c r="C72" i="20"/>
  <c r="B72" i="20"/>
  <c r="K71" i="20"/>
  <c r="J71" i="20"/>
  <c r="I71" i="20"/>
  <c r="H71" i="20"/>
  <c r="G71" i="20"/>
  <c r="F71" i="20"/>
  <c r="E71" i="20"/>
  <c r="D71" i="20"/>
  <c r="C71" i="20"/>
  <c r="B71" i="20"/>
  <c r="K70" i="20"/>
  <c r="J70" i="20"/>
  <c r="I70" i="20"/>
  <c r="H70" i="20"/>
  <c r="G70" i="20"/>
  <c r="F70" i="20"/>
  <c r="E70" i="20"/>
  <c r="D70" i="20"/>
  <c r="C70" i="20"/>
  <c r="B70" i="20"/>
  <c r="K69" i="20"/>
  <c r="J69" i="20"/>
  <c r="I69" i="20"/>
  <c r="H69" i="20"/>
  <c r="G69" i="20"/>
  <c r="F69" i="20"/>
  <c r="E69" i="20"/>
  <c r="D69" i="20"/>
  <c r="C69" i="20"/>
  <c r="B69" i="20"/>
  <c r="K68" i="20"/>
  <c r="J68" i="20"/>
  <c r="I68" i="20"/>
  <c r="H68" i="20"/>
  <c r="G68" i="20"/>
  <c r="F68" i="20"/>
  <c r="E68" i="20"/>
  <c r="D68" i="20"/>
  <c r="C68" i="20"/>
  <c r="B68" i="20"/>
  <c r="K67" i="20"/>
  <c r="J67" i="20"/>
  <c r="I67" i="20"/>
  <c r="H67" i="20"/>
  <c r="G67" i="20"/>
  <c r="F67" i="20"/>
  <c r="E67" i="20"/>
  <c r="D67" i="20"/>
  <c r="C67" i="20"/>
  <c r="B67" i="20"/>
  <c r="K66" i="20"/>
  <c r="J66" i="20"/>
  <c r="I66" i="20"/>
  <c r="H66" i="20"/>
  <c r="G66" i="20"/>
  <c r="F66" i="20"/>
  <c r="E66" i="20"/>
  <c r="D66" i="20"/>
  <c r="C66" i="20"/>
  <c r="B66" i="20"/>
  <c r="K65" i="20"/>
  <c r="J65" i="20"/>
  <c r="I65" i="20"/>
  <c r="H65" i="20"/>
  <c r="G65" i="20"/>
  <c r="F65" i="20"/>
  <c r="E65" i="20"/>
  <c r="D65" i="20"/>
  <c r="C65" i="20"/>
  <c r="B65" i="20"/>
  <c r="K64" i="20"/>
  <c r="J64" i="20"/>
  <c r="I64" i="20"/>
  <c r="H64" i="20"/>
  <c r="G64" i="20"/>
  <c r="F64" i="20"/>
  <c r="E64" i="20"/>
  <c r="D64" i="20"/>
  <c r="C64" i="20"/>
  <c r="B64" i="20"/>
  <c r="K63" i="20"/>
  <c r="J63" i="20"/>
  <c r="I63" i="20"/>
  <c r="H63" i="20"/>
  <c r="G63" i="20"/>
  <c r="F63" i="20"/>
  <c r="E63" i="20"/>
  <c r="D63" i="20"/>
  <c r="C63" i="20"/>
  <c r="B63" i="20"/>
  <c r="K62" i="20"/>
  <c r="J62" i="20"/>
  <c r="I62" i="20"/>
  <c r="H62" i="20"/>
  <c r="G62" i="20"/>
  <c r="F62" i="20"/>
  <c r="E62" i="20"/>
  <c r="D62" i="20"/>
  <c r="C62" i="20"/>
  <c r="B62" i="20"/>
  <c r="K61" i="20"/>
  <c r="J61" i="20"/>
  <c r="I61" i="20"/>
  <c r="H61" i="20"/>
  <c r="G61" i="20"/>
  <c r="F61" i="20"/>
  <c r="E61" i="20"/>
  <c r="D61" i="20"/>
  <c r="C61" i="20"/>
  <c r="B61" i="20"/>
  <c r="K60" i="20"/>
  <c r="J60" i="20"/>
  <c r="I60" i="20"/>
  <c r="H60" i="20"/>
  <c r="G60" i="20"/>
  <c r="F60" i="20"/>
  <c r="E60" i="20"/>
  <c r="D60" i="20"/>
  <c r="C60" i="20"/>
  <c r="B60" i="20"/>
  <c r="K59" i="20"/>
  <c r="J59" i="20"/>
  <c r="I59" i="20"/>
  <c r="H59" i="20"/>
  <c r="G59" i="20"/>
  <c r="F59" i="20"/>
  <c r="E59" i="20"/>
  <c r="D59" i="20"/>
  <c r="C59" i="20"/>
  <c r="B59" i="20"/>
  <c r="K58" i="20"/>
  <c r="J58" i="20"/>
  <c r="I58" i="20"/>
  <c r="H58" i="20"/>
  <c r="G58" i="20"/>
  <c r="F58" i="20"/>
  <c r="E58" i="20"/>
  <c r="D58" i="20"/>
  <c r="C58" i="20"/>
  <c r="B58" i="20"/>
  <c r="K57" i="20"/>
  <c r="J57" i="20"/>
  <c r="I57" i="20"/>
  <c r="H57" i="20"/>
  <c r="G57" i="20"/>
  <c r="F57" i="20"/>
  <c r="E57" i="20"/>
  <c r="D57" i="20"/>
  <c r="C57" i="20"/>
  <c r="B57" i="20"/>
  <c r="K56" i="20"/>
  <c r="J56" i="20"/>
  <c r="I56" i="20"/>
  <c r="H56" i="20"/>
  <c r="G56" i="20"/>
  <c r="F56" i="20"/>
  <c r="E56" i="20"/>
  <c r="D56" i="20"/>
  <c r="C56" i="20"/>
  <c r="B56" i="20"/>
  <c r="K55" i="20"/>
  <c r="J55" i="20"/>
  <c r="I55" i="20"/>
  <c r="H55" i="20"/>
  <c r="G55" i="20"/>
  <c r="F55" i="20"/>
  <c r="E55" i="20"/>
  <c r="D55" i="20"/>
  <c r="C55" i="20"/>
  <c r="B55" i="20"/>
  <c r="K54" i="20"/>
  <c r="J54" i="20"/>
  <c r="I54" i="20"/>
  <c r="H54" i="20"/>
  <c r="G54" i="20"/>
  <c r="F54" i="20"/>
  <c r="E54" i="20"/>
  <c r="D54" i="20"/>
  <c r="C54" i="20"/>
  <c r="B54" i="20"/>
  <c r="K53" i="20"/>
  <c r="J53" i="20"/>
  <c r="I53" i="20"/>
  <c r="H53" i="20"/>
  <c r="G53" i="20"/>
  <c r="F53" i="20"/>
  <c r="E53" i="20"/>
  <c r="D53" i="20"/>
  <c r="C53" i="20"/>
  <c r="B53" i="20"/>
  <c r="K52" i="20"/>
  <c r="J52" i="20"/>
  <c r="I52" i="20"/>
  <c r="H52" i="20"/>
  <c r="G52" i="20"/>
  <c r="F52" i="20"/>
  <c r="E52" i="20"/>
  <c r="D52" i="20"/>
  <c r="C52" i="20"/>
  <c r="B52" i="20"/>
  <c r="K51" i="20"/>
  <c r="J51" i="20"/>
  <c r="I51" i="20"/>
  <c r="H51" i="20"/>
  <c r="G51" i="20"/>
  <c r="F51" i="20"/>
  <c r="E51" i="20"/>
  <c r="D51" i="20"/>
  <c r="C51" i="20"/>
  <c r="B51" i="20"/>
  <c r="K50" i="20"/>
  <c r="J50" i="20"/>
  <c r="I50" i="20"/>
  <c r="H50" i="20"/>
  <c r="G50" i="20"/>
  <c r="F50" i="20"/>
  <c r="E50" i="20"/>
  <c r="D50" i="20"/>
  <c r="C50" i="20"/>
  <c r="B50" i="20"/>
  <c r="K49" i="20"/>
  <c r="J49" i="20"/>
  <c r="I49" i="20"/>
  <c r="H49" i="20"/>
  <c r="G49" i="20"/>
  <c r="F49" i="20"/>
  <c r="E49" i="20"/>
  <c r="D49" i="20"/>
  <c r="C49" i="20"/>
  <c r="B49" i="20"/>
  <c r="K48" i="20"/>
  <c r="J48" i="20"/>
  <c r="I48" i="20"/>
  <c r="H48" i="20"/>
  <c r="G48" i="20"/>
  <c r="F48" i="20"/>
  <c r="E48" i="20"/>
  <c r="D48" i="20"/>
  <c r="C48" i="20"/>
  <c r="B48" i="20"/>
  <c r="K47" i="20"/>
  <c r="J47" i="20"/>
  <c r="I47" i="20"/>
  <c r="H47" i="20"/>
  <c r="G47" i="20"/>
  <c r="F47" i="20"/>
  <c r="E47" i="20"/>
  <c r="D47" i="20"/>
  <c r="C47" i="20"/>
  <c r="B47" i="20"/>
  <c r="K46" i="20"/>
  <c r="J46" i="20"/>
  <c r="I46" i="20"/>
  <c r="H46" i="20"/>
  <c r="G46" i="20"/>
  <c r="F46" i="20"/>
  <c r="E46" i="20"/>
  <c r="D46" i="20"/>
  <c r="C46" i="20"/>
  <c r="B46" i="20"/>
  <c r="K45" i="20"/>
  <c r="J45" i="20"/>
  <c r="I45" i="20"/>
  <c r="H45" i="20"/>
  <c r="G45" i="20"/>
  <c r="F45" i="20"/>
  <c r="E45" i="20"/>
  <c r="D45" i="20"/>
  <c r="C45" i="20"/>
  <c r="B45" i="20"/>
  <c r="K44" i="20"/>
  <c r="J44" i="20"/>
  <c r="I44" i="20"/>
  <c r="H44" i="20"/>
  <c r="G44" i="20"/>
  <c r="F44" i="20"/>
  <c r="E44" i="20"/>
  <c r="D44" i="20"/>
  <c r="C44" i="20"/>
  <c r="B44" i="20"/>
  <c r="K43" i="20"/>
  <c r="J43" i="20"/>
  <c r="I43" i="20"/>
  <c r="H43" i="20"/>
  <c r="G43" i="20"/>
  <c r="F43" i="20"/>
  <c r="E43" i="20"/>
  <c r="D43" i="20"/>
  <c r="C43" i="20"/>
  <c r="B43" i="20"/>
  <c r="K42" i="20"/>
  <c r="J42" i="20"/>
  <c r="I42" i="20"/>
  <c r="H42" i="20"/>
  <c r="G42" i="20"/>
  <c r="F42" i="20"/>
  <c r="E42" i="20"/>
  <c r="D42" i="20"/>
  <c r="C42" i="20"/>
  <c r="B42" i="20"/>
  <c r="K41" i="20"/>
  <c r="J41" i="20"/>
  <c r="I41" i="20"/>
  <c r="H41" i="20"/>
  <c r="G41" i="20"/>
  <c r="F41" i="20"/>
  <c r="E41" i="20"/>
  <c r="D41" i="20"/>
  <c r="C41" i="20"/>
  <c r="B41" i="20"/>
  <c r="K40" i="20"/>
  <c r="J40" i="20"/>
  <c r="I40" i="20"/>
  <c r="H40" i="20"/>
  <c r="G40" i="20"/>
  <c r="F40" i="20"/>
  <c r="E40" i="20"/>
  <c r="D40" i="20"/>
  <c r="C40" i="20"/>
  <c r="B40" i="20"/>
  <c r="K39" i="20"/>
  <c r="J39" i="20"/>
  <c r="I39" i="20"/>
  <c r="H39" i="20"/>
  <c r="G39" i="20"/>
  <c r="F39" i="20"/>
  <c r="E39" i="20"/>
  <c r="D39" i="20"/>
  <c r="C39" i="20"/>
  <c r="B39" i="20"/>
  <c r="K38" i="20"/>
  <c r="J38" i="20"/>
  <c r="I38" i="20"/>
  <c r="H38" i="20"/>
  <c r="G38" i="20"/>
  <c r="F38" i="20"/>
  <c r="E38" i="20"/>
  <c r="D38" i="20"/>
  <c r="C38" i="20"/>
  <c r="B38" i="20"/>
  <c r="K37" i="20"/>
  <c r="J37" i="20"/>
  <c r="I37" i="20"/>
  <c r="H37" i="20"/>
  <c r="G37" i="20"/>
  <c r="F37" i="20"/>
  <c r="E37" i="20"/>
  <c r="D37" i="20"/>
  <c r="C37" i="20"/>
  <c r="B37" i="20"/>
  <c r="K36" i="20"/>
  <c r="J36" i="20"/>
  <c r="I36" i="20"/>
  <c r="H36" i="20"/>
  <c r="G36" i="20"/>
  <c r="F36" i="20"/>
  <c r="E36" i="20"/>
  <c r="D36" i="20"/>
  <c r="C36" i="20"/>
  <c r="B36" i="20"/>
  <c r="K35" i="20"/>
  <c r="J35" i="20"/>
  <c r="I35" i="20"/>
  <c r="H35" i="20"/>
  <c r="G35" i="20"/>
  <c r="F35" i="20"/>
  <c r="E35" i="20"/>
  <c r="D35" i="20"/>
  <c r="C35" i="20"/>
  <c r="B35" i="20"/>
  <c r="K34" i="20"/>
  <c r="J34" i="20"/>
  <c r="I34" i="20"/>
  <c r="H34" i="20"/>
  <c r="G34" i="20"/>
  <c r="F34" i="20"/>
  <c r="E34" i="20"/>
  <c r="D34" i="20"/>
  <c r="C34" i="20"/>
  <c r="B34" i="20"/>
  <c r="K33" i="20"/>
  <c r="J33" i="20"/>
  <c r="I33" i="20"/>
  <c r="H33" i="20"/>
  <c r="G33" i="20"/>
  <c r="F33" i="20"/>
  <c r="E33" i="20"/>
  <c r="D33" i="20"/>
  <c r="C33" i="20"/>
  <c r="B33" i="20"/>
  <c r="K32" i="20"/>
  <c r="J32" i="20"/>
  <c r="I32" i="20"/>
  <c r="H32" i="20"/>
  <c r="G32" i="20"/>
  <c r="F32" i="20"/>
  <c r="E32" i="20"/>
  <c r="D32" i="20"/>
  <c r="C32" i="20"/>
  <c r="B32" i="20"/>
  <c r="K31" i="20"/>
  <c r="J31" i="20"/>
  <c r="I31" i="20"/>
  <c r="H31" i="20"/>
  <c r="G31" i="20"/>
  <c r="F31" i="20"/>
  <c r="E31" i="20"/>
  <c r="D31" i="20"/>
  <c r="C31" i="20"/>
  <c r="B31" i="20"/>
  <c r="K30" i="20"/>
  <c r="J30" i="20"/>
  <c r="I30" i="20"/>
  <c r="H30" i="20"/>
  <c r="G30" i="20"/>
  <c r="F30" i="20"/>
  <c r="E30" i="20"/>
  <c r="D30" i="20"/>
  <c r="C30" i="20"/>
  <c r="B30" i="20"/>
  <c r="K29" i="20"/>
  <c r="J29" i="20"/>
  <c r="I29" i="20"/>
  <c r="H29" i="20"/>
  <c r="G29" i="20"/>
  <c r="F29" i="20"/>
  <c r="E29" i="20"/>
  <c r="D29" i="20"/>
  <c r="C29" i="20"/>
  <c r="B29" i="20"/>
  <c r="K28" i="20"/>
  <c r="J28" i="20"/>
  <c r="I28" i="20"/>
  <c r="H28" i="20"/>
  <c r="G28" i="20"/>
  <c r="F28" i="20"/>
  <c r="E28" i="20"/>
  <c r="D28" i="20"/>
  <c r="C28" i="20"/>
  <c r="B28" i="20"/>
  <c r="K27" i="20"/>
  <c r="J27" i="20"/>
  <c r="I27" i="20"/>
  <c r="H27" i="20"/>
  <c r="G27" i="20"/>
  <c r="F27" i="20"/>
  <c r="E27" i="20"/>
  <c r="D27" i="20"/>
  <c r="C27" i="20"/>
  <c r="B27" i="20"/>
  <c r="K26" i="20"/>
  <c r="J26" i="20"/>
  <c r="I26" i="20"/>
  <c r="H26" i="20"/>
  <c r="G26" i="20"/>
  <c r="F26" i="20"/>
  <c r="E26" i="20"/>
  <c r="D26" i="20"/>
  <c r="C26" i="20"/>
  <c r="B26" i="20"/>
  <c r="K25" i="20"/>
  <c r="J25" i="20"/>
  <c r="I25" i="20"/>
  <c r="H25" i="20"/>
  <c r="G25" i="20"/>
  <c r="F25" i="20"/>
  <c r="E25" i="20"/>
  <c r="D25" i="20"/>
  <c r="C25" i="20"/>
  <c r="B25" i="20"/>
  <c r="K24" i="20"/>
  <c r="J24" i="20"/>
  <c r="I24" i="20"/>
  <c r="H24" i="20"/>
  <c r="G24" i="20"/>
  <c r="F24" i="20"/>
  <c r="E24" i="20"/>
  <c r="D24" i="20"/>
  <c r="C24" i="20"/>
  <c r="B24" i="20"/>
  <c r="K23" i="20"/>
  <c r="J23" i="20"/>
  <c r="I23" i="20"/>
  <c r="H23" i="20"/>
  <c r="G23" i="20"/>
  <c r="F23" i="20"/>
  <c r="E23" i="20"/>
  <c r="D23" i="20"/>
  <c r="C23" i="20"/>
  <c r="B23" i="20"/>
  <c r="K22" i="20"/>
  <c r="J22" i="20"/>
  <c r="I22" i="20"/>
  <c r="H22" i="20"/>
  <c r="G22" i="20"/>
  <c r="F22" i="20"/>
  <c r="E22" i="20"/>
  <c r="D22" i="20"/>
  <c r="C22" i="20"/>
  <c r="B22" i="20"/>
  <c r="K21" i="20"/>
  <c r="J21" i="20"/>
  <c r="I21" i="20"/>
  <c r="H21" i="20"/>
  <c r="G21" i="20"/>
  <c r="F21" i="20"/>
  <c r="E21" i="20"/>
  <c r="D21" i="20"/>
  <c r="C21" i="20"/>
  <c r="B21" i="20"/>
  <c r="K20" i="20"/>
  <c r="J20" i="20"/>
  <c r="I20" i="20"/>
  <c r="H20" i="20"/>
  <c r="G20" i="20"/>
  <c r="F20" i="20"/>
  <c r="E20" i="20"/>
  <c r="D20" i="20"/>
  <c r="C20" i="20"/>
  <c r="B20" i="20"/>
  <c r="K19" i="20"/>
  <c r="J19" i="20"/>
  <c r="I19" i="20"/>
  <c r="H19" i="20"/>
  <c r="G19" i="20"/>
  <c r="F19" i="20"/>
  <c r="E19" i="20"/>
  <c r="D19" i="20"/>
  <c r="C19" i="20"/>
  <c r="B19" i="20"/>
  <c r="K18" i="20"/>
  <c r="J18" i="20"/>
  <c r="I18" i="20"/>
  <c r="H18" i="20"/>
  <c r="G18" i="20"/>
  <c r="F18" i="20"/>
  <c r="E18" i="20"/>
  <c r="D18" i="20"/>
  <c r="C18" i="20"/>
  <c r="B18" i="20"/>
  <c r="K17" i="20"/>
  <c r="J17" i="20"/>
  <c r="I17" i="20"/>
  <c r="H17" i="20"/>
  <c r="G17" i="20"/>
  <c r="F17" i="20"/>
  <c r="E17" i="20"/>
  <c r="D17" i="20"/>
  <c r="C17" i="20"/>
  <c r="B17" i="20"/>
  <c r="O16" i="20"/>
  <c r="K16" i="20"/>
  <c r="J16" i="20"/>
  <c r="I16" i="20"/>
  <c r="H16" i="20"/>
  <c r="G16" i="20"/>
  <c r="F16" i="20"/>
  <c r="E16" i="20"/>
  <c r="D16" i="20"/>
  <c r="C16" i="20"/>
  <c r="B16" i="20"/>
  <c r="K15" i="20"/>
  <c r="J15" i="20"/>
  <c r="I15" i="20"/>
  <c r="H15" i="20"/>
  <c r="G15" i="20"/>
  <c r="F15" i="20"/>
  <c r="E15" i="20"/>
  <c r="D15" i="20"/>
  <c r="C15" i="20"/>
  <c r="B15" i="20"/>
  <c r="K14" i="20"/>
  <c r="J14" i="20"/>
  <c r="I14" i="20"/>
  <c r="H14" i="20"/>
  <c r="G14" i="20"/>
  <c r="F14" i="20"/>
  <c r="E14" i="20"/>
  <c r="D14" i="20"/>
  <c r="C14" i="20"/>
  <c r="B14" i="20"/>
  <c r="K13" i="20"/>
  <c r="J13" i="20"/>
  <c r="I13" i="20"/>
  <c r="H13" i="20"/>
  <c r="G13" i="20"/>
  <c r="F13" i="20"/>
  <c r="E13" i="20"/>
  <c r="D13" i="20"/>
  <c r="C13" i="20"/>
  <c r="B13" i="20"/>
  <c r="K12" i="20"/>
  <c r="J12" i="20"/>
  <c r="I12" i="20"/>
  <c r="H12" i="20"/>
  <c r="G12" i="20"/>
  <c r="F12" i="20"/>
  <c r="E12" i="20"/>
  <c r="D12" i="20"/>
  <c r="C12" i="20"/>
  <c r="B12" i="20"/>
  <c r="K11" i="20"/>
  <c r="J11" i="20"/>
  <c r="I11" i="20"/>
  <c r="H11" i="20"/>
  <c r="G11" i="20"/>
  <c r="F11" i="20"/>
  <c r="E11" i="20"/>
  <c r="D11" i="20"/>
  <c r="C11" i="20"/>
  <c r="B11" i="20"/>
  <c r="X10" i="20"/>
  <c r="W10" i="20"/>
  <c r="V10" i="20"/>
  <c r="U10" i="20"/>
  <c r="T10" i="20"/>
  <c r="S10" i="20"/>
  <c r="R10" i="20"/>
  <c r="Q10" i="20"/>
  <c r="P10" i="20"/>
  <c r="O10" i="20"/>
  <c r="K10" i="20"/>
  <c r="J10" i="20"/>
  <c r="I10" i="20"/>
  <c r="H10" i="20"/>
  <c r="G10" i="20"/>
  <c r="F10" i="20"/>
  <c r="E10" i="20"/>
  <c r="D10" i="20"/>
  <c r="C10" i="20"/>
  <c r="B10" i="20"/>
  <c r="X9" i="20"/>
  <c r="W9" i="20"/>
  <c r="V9" i="20"/>
  <c r="U9" i="20"/>
  <c r="T9" i="20"/>
  <c r="S9" i="20"/>
  <c r="R9" i="20"/>
  <c r="Q9" i="20"/>
  <c r="P9" i="20"/>
  <c r="O9" i="20"/>
  <c r="K9" i="20"/>
  <c r="J9" i="20"/>
  <c r="I9" i="20"/>
  <c r="H9" i="20"/>
  <c r="G9" i="20"/>
  <c r="F9" i="20"/>
  <c r="E9" i="20"/>
  <c r="D9" i="20"/>
  <c r="C9" i="20"/>
  <c r="B9" i="20"/>
  <c r="X8" i="20"/>
  <c r="W8" i="20"/>
  <c r="V8" i="20"/>
  <c r="U8" i="20"/>
  <c r="T8" i="20"/>
  <c r="S8" i="20"/>
  <c r="R8" i="20"/>
  <c r="Q8" i="20"/>
  <c r="P8" i="20"/>
  <c r="O8" i="20"/>
  <c r="K8" i="20"/>
  <c r="J8" i="20"/>
  <c r="I8" i="20"/>
  <c r="H8" i="20"/>
  <c r="G8" i="20"/>
  <c r="F8" i="20"/>
  <c r="E8" i="20"/>
  <c r="D8" i="20"/>
  <c r="C8" i="20"/>
  <c r="B8" i="20"/>
  <c r="X7" i="20"/>
  <c r="W7" i="20"/>
  <c r="V7" i="20"/>
  <c r="U7" i="20"/>
  <c r="T7" i="20"/>
  <c r="S7" i="20"/>
  <c r="R7" i="20"/>
  <c r="Q7" i="20"/>
  <c r="P7" i="20"/>
  <c r="O7" i="20"/>
  <c r="K7" i="20"/>
  <c r="J7" i="20"/>
  <c r="I7" i="20"/>
  <c r="H7" i="20"/>
  <c r="G7" i="20"/>
  <c r="F7" i="20"/>
  <c r="E7" i="20"/>
  <c r="D7" i="20"/>
  <c r="C7" i="20"/>
  <c r="B7" i="20"/>
  <c r="X6" i="20"/>
  <c r="W6" i="20"/>
  <c r="V6" i="20"/>
  <c r="U6" i="20"/>
  <c r="T6" i="20"/>
  <c r="S6" i="20"/>
  <c r="R6" i="20"/>
  <c r="Q6" i="20"/>
  <c r="P6" i="20"/>
  <c r="O6" i="20"/>
  <c r="K6" i="20"/>
  <c r="J6" i="20"/>
  <c r="I6" i="20"/>
  <c r="H6" i="20"/>
  <c r="G6" i="20"/>
  <c r="F6" i="20"/>
  <c r="E6" i="20"/>
  <c r="D6" i="20"/>
  <c r="C6" i="20"/>
  <c r="B6" i="20"/>
  <c r="H51" i="18"/>
  <c r="G51" i="18"/>
  <c r="F51" i="18"/>
  <c r="E51" i="18"/>
  <c r="D51" i="18"/>
  <c r="C51" i="18"/>
  <c r="B51" i="18"/>
  <c r="H50" i="18"/>
  <c r="G50" i="18"/>
  <c r="F50" i="18"/>
  <c r="E50" i="18"/>
  <c r="D50" i="18"/>
  <c r="C50" i="18"/>
  <c r="B50" i="18"/>
  <c r="H49" i="18"/>
  <c r="G49" i="18"/>
  <c r="F49" i="18"/>
  <c r="E49" i="18"/>
  <c r="D49" i="18"/>
  <c r="C49" i="18"/>
  <c r="B49" i="18"/>
  <c r="H48" i="18"/>
  <c r="G48" i="18"/>
  <c r="F48" i="18"/>
  <c r="E48" i="18"/>
  <c r="D48" i="18"/>
  <c r="C48" i="18"/>
  <c r="B48" i="18"/>
  <c r="H47" i="18"/>
  <c r="G47" i="18"/>
  <c r="F47" i="18"/>
  <c r="E47" i="18"/>
  <c r="D47" i="18"/>
  <c r="C47" i="18"/>
  <c r="B47" i="18"/>
  <c r="H46" i="18"/>
  <c r="G46" i="18"/>
  <c r="F46" i="18"/>
  <c r="E46" i="18"/>
  <c r="D46" i="18"/>
  <c r="C46" i="18"/>
  <c r="B46" i="18"/>
  <c r="H45" i="18"/>
  <c r="G45" i="18"/>
  <c r="F45" i="18"/>
  <c r="E45" i="18"/>
  <c r="D45" i="18"/>
  <c r="C45" i="18"/>
  <c r="B45" i="18"/>
  <c r="H44" i="18"/>
  <c r="G44" i="18"/>
  <c r="F44" i="18"/>
  <c r="E44" i="18"/>
  <c r="D44" i="18"/>
  <c r="C44" i="18"/>
  <c r="B44" i="18"/>
  <c r="H43" i="18"/>
  <c r="G43" i="18"/>
  <c r="F43" i="18"/>
  <c r="E43" i="18"/>
  <c r="D43" i="18"/>
  <c r="C43" i="18"/>
  <c r="B43" i="18"/>
  <c r="H38" i="18"/>
  <c r="H64" i="18" s="1"/>
  <c r="G38" i="18"/>
  <c r="G64" i="18" s="1"/>
  <c r="F38" i="18"/>
  <c r="F64" i="18" s="1"/>
  <c r="E38" i="18"/>
  <c r="E64" i="18" s="1"/>
  <c r="D38" i="18"/>
  <c r="D64" i="18" s="1"/>
  <c r="C38" i="18"/>
  <c r="C64" i="18" s="1"/>
  <c r="B38" i="18"/>
  <c r="B64" i="18" s="1"/>
  <c r="H37" i="18"/>
  <c r="H63" i="18" s="1"/>
  <c r="G37" i="18"/>
  <c r="G63" i="18" s="1"/>
  <c r="F37" i="18"/>
  <c r="F63" i="18" s="1"/>
  <c r="E37" i="18"/>
  <c r="E63" i="18" s="1"/>
  <c r="D37" i="18"/>
  <c r="D63" i="18" s="1"/>
  <c r="C37" i="18"/>
  <c r="C63" i="18" s="1"/>
  <c r="B37" i="18"/>
  <c r="B63" i="18" s="1"/>
  <c r="H36" i="18"/>
  <c r="H62" i="18" s="1"/>
  <c r="G36" i="18"/>
  <c r="G62" i="18" s="1"/>
  <c r="F36" i="18"/>
  <c r="F62" i="18" s="1"/>
  <c r="E36" i="18"/>
  <c r="E62" i="18" s="1"/>
  <c r="D36" i="18"/>
  <c r="D62" i="18" s="1"/>
  <c r="C36" i="18"/>
  <c r="C62" i="18" s="1"/>
  <c r="B36" i="18"/>
  <c r="B62" i="18" s="1"/>
  <c r="H35" i="18"/>
  <c r="H61" i="18" s="1"/>
  <c r="G35" i="18"/>
  <c r="G61" i="18" s="1"/>
  <c r="F35" i="18"/>
  <c r="F61" i="18" s="1"/>
  <c r="E35" i="18"/>
  <c r="E61" i="18" s="1"/>
  <c r="D35" i="18"/>
  <c r="D61" i="18" s="1"/>
  <c r="C35" i="18"/>
  <c r="C61" i="18" s="1"/>
  <c r="B35" i="18"/>
  <c r="B61" i="18" s="1"/>
  <c r="H34" i="18"/>
  <c r="H60" i="18" s="1"/>
  <c r="G34" i="18"/>
  <c r="G60" i="18" s="1"/>
  <c r="F34" i="18"/>
  <c r="F60" i="18" s="1"/>
  <c r="E34" i="18"/>
  <c r="E60" i="18" s="1"/>
  <c r="D34" i="18"/>
  <c r="D60" i="18" s="1"/>
  <c r="C34" i="18"/>
  <c r="C60" i="18" s="1"/>
  <c r="B34" i="18"/>
  <c r="B60" i="18" s="1"/>
  <c r="H33" i="18"/>
  <c r="H59" i="18" s="1"/>
  <c r="G33" i="18"/>
  <c r="G59" i="18" s="1"/>
  <c r="F33" i="18"/>
  <c r="F59" i="18" s="1"/>
  <c r="E33" i="18"/>
  <c r="E59" i="18" s="1"/>
  <c r="D33" i="18"/>
  <c r="D59" i="18" s="1"/>
  <c r="C33" i="18"/>
  <c r="C59" i="18" s="1"/>
  <c r="B33" i="18"/>
  <c r="B59" i="18" s="1"/>
  <c r="H32" i="18"/>
  <c r="H58" i="18" s="1"/>
  <c r="G32" i="18"/>
  <c r="G58" i="18" s="1"/>
  <c r="F32" i="18"/>
  <c r="F58" i="18" s="1"/>
  <c r="E32" i="18"/>
  <c r="E58" i="18" s="1"/>
  <c r="D32" i="18"/>
  <c r="D58" i="18" s="1"/>
  <c r="C32" i="18"/>
  <c r="C58" i="18" s="1"/>
  <c r="B32" i="18"/>
  <c r="B58" i="18" s="1"/>
  <c r="H31" i="18"/>
  <c r="H57" i="18" s="1"/>
  <c r="G31" i="18"/>
  <c r="G57" i="18" s="1"/>
  <c r="F31" i="18"/>
  <c r="F57" i="18" s="1"/>
  <c r="E31" i="18"/>
  <c r="E57" i="18" s="1"/>
  <c r="D31" i="18"/>
  <c r="D57" i="18" s="1"/>
  <c r="C31" i="18"/>
  <c r="C57" i="18" s="1"/>
  <c r="B31" i="18"/>
  <c r="B57" i="18" s="1"/>
  <c r="H30" i="18"/>
  <c r="H56" i="18" s="1"/>
  <c r="G30" i="18"/>
  <c r="G56" i="18" s="1"/>
  <c r="F30" i="18"/>
  <c r="F56" i="18" s="1"/>
  <c r="E30" i="18"/>
  <c r="E56" i="18" s="1"/>
  <c r="D30" i="18"/>
  <c r="D56" i="18" s="1"/>
  <c r="C30" i="18"/>
  <c r="C56" i="18" s="1"/>
  <c r="B30" i="18"/>
  <c r="B56" i="18" s="1"/>
  <c r="P24" i="18"/>
  <c r="H157" i="17"/>
  <c r="G157" i="17"/>
  <c r="F157" i="17"/>
  <c r="E157" i="17"/>
  <c r="D157" i="17"/>
  <c r="C157" i="17"/>
  <c r="B157" i="17"/>
  <c r="H156" i="17"/>
  <c r="G156" i="17"/>
  <c r="F156" i="17"/>
  <c r="E156" i="17"/>
  <c r="D156" i="17"/>
  <c r="C156" i="17"/>
  <c r="B156" i="17"/>
  <c r="H155" i="17"/>
  <c r="G155" i="17"/>
  <c r="F155" i="17"/>
  <c r="E155" i="17"/>
  <c r="D155" i="17"/>
  <c r="C155" i="17"/>
  <c r="B155" i="17"/>
  <c r="H154" i="17"/>
  <c r="G154" i="17"/>
  <c r="F154" i="17"/>
  <c r="E154" i="17"/>
  <c r="D154" i="17"/>
  <c r="C154" i="17"/>
  <c r="B154" i="17"/>
  <c r="H153" i="17"/>
  <c r="G153" i="17"/>
  <c r="F153" i="17"/>
  <c r="E153" i="17"/>
  <c r="D153" i="17"/>
  <c r="C153" i="17"/>
  <c r="B153" i="17"/>
  <c r="H152" i="17"/>
  <c r="G152" i="17"/>
  <c r="F152" i="17"/>
  <c r="E152" i="17"/>
  <c r="D152" i="17"/>
  <c r="C152" i="17"/>
  <c r="B152" i="17"/>
  <c r="H151" i="17"/>
  <c r="G151" i="17"/>
  <c r="F151" i="17"/>
  <c r="E151" i="17"/>
  <c r="D151" i="17"/>
  <c r="C151" i="17"/>
  <c r="B151" i="17"/>
  <c r="H150" i="17"/>
  <c r="G150" i="17"/>
  <c r="F150" i="17"/>
  <c r="E150" i="17"/>
  <c r="D150" i="17"/>
  <c r="C150" i="17"/>
  <c r="B150" i="17"/>
  <c r="H149" i="17"/>
  <c r="G149" i="17"/>
  <c r="F149" i="17"/>
  <c r="E149" i="17"/>
  <c r="D149" i="17"/>
  <c r="C149" i="17"/>
  <c r="B149" i="17"/>
  <c r="H148" i="17"/>
  <c r="G148" i="17"/>
  <c r="F148" i="17"/>
  <c r="E148" i="17"/>
  <c r="D148" i="17"/>
  <c r="C148" i="17"/>
  <c r="B148" i="17"/>
  <c r="H147" i="17"/>
  <c r="G147" i="17"/>
  <c r="F147" i="17"/>
  <c r="E147" i="17"/>
  <c r="D147" i="17"/>
  <c r="C147" i="17"/>
  <c r="B147" i="17"/>
  <c r="H146" i="17"/>
  <c r="G146" i="17"/>
  <c r="F146" i="17"/>
  <c r="E146" i="17"/>
  <c r="D146" i="17"/>
  <c r="C146" i="17"/>
  <c r="B146" i="17"/>
  <c r="H145" i="17"/>
  <c r="G145" i="17"/>
  <c r="F145" i="17"/>
  <c r="E145" i="17"/>
  <c r="D145" i="17"/>
  <c r="C145" i="17"/>
  <c r="B145" i="17"/>
  <c r="H144" i="17"/>
  <c r="G144" i="17"/>
  <c r="F144" i="17"/>
  <c r="E144" i="17"/>
  <c r="D144" i="17"/>
  <c r="C144" i="17"/>
  <c r="B144" i="17"/>
  <c r="H143" i="17"/>
  <c r="G143" i="17"/>
  <c r="F143" i="17"/>
  <c r="E143" i="17"/>
  <c r="D143" i="17"/>
  <c r="C143" i="17"/>
  <c r="B143" i="17"/>
  <c r="H142" i="17"/>
  <c r="G142" i="17"/>
  <c r="F142" i="17"/>
  <c r="E142" i="17"/>
  <c r="D142" i="17"/>
  <c r="C142" i="17"/>
  <c r="B142" i="17"/>
  <c r="H141" i="17"/>
  <c r="G141" i="17"/>
  <c r="F141" i="17"/>
  <c r="E141" i="17"/>
  <c r="D141" i="17"/>
  <c r="C141" i="17"/>
  <c r="B141" i="17"/>
  <c r="H140" i="17"/>
  <c r="G140" i="17"/>
  <c r="F140" i="17"/>
  <c r="E140" i="17"/>
  <c r="D140" i="17"/>
  <c r="C140" i="17"/>
  <c r="B140" i="17"/>
  <c r="H139" i="17"/>
  <c r="G139" i="17"/>
  <c r="F139" i="17"/>
  <c r="E139" i="17"/>
  <c r="D139" i="17"/>
  <c r="C139" i="17"/>
  <c r="B139" i="17"/>
  <c r="H138" i="17"/>
  <c r="G138" i="17"/>
  <c r="F138" i="17"/>
  <c r="E138" i="17"/>
  <c r="D138" i="17"/>
  <c r="C138" i="17"/>
  <c r="B138" i="17"/>
  <c r="H137" i="17"/>
  <c r="G137" i="17"/>
  <c r="F137" i="17"/>
  <c r="E137" i="17"/>
  <c r="D137" i="17"/>
  <c r="C137" i="17"/>
  <c r="B137" i="17"/>
  <c r="H136" i="17"/>
  <c r="G136" i="17"/>
  <c r="F136" i="17"/>
  <c r="E136" i="17"/>
  <c r="D136" i="17"/>
  <c r="C136" i="17"/>
  <c r="B136" i="17"/>
  <c r="H135" i="17"/>
  <c r="G135" i="17"/>
  <c r="F135" i="17"/>
  <c r="E135" i="17"/>
  <c r="D135" i="17"/>
  <c r="C135" i="17"/>
  <c r="B135" i="17"/>
  <c r="H134" i="17"/>
  <c r="G134" i="17"/>
  <c r="F134" i="17"/>
  <c r="E134" i="17"/>
  <c r="D134" i="17"/>
  <c r="C134" i="17"/>
  <c r="B134" i="17"/>
  <c r="H133" i="17"/>
  <c r="G133" i="17"/>
  <c r="F133" i="17"/>
  <c r="E133" i="17"/>
  <c r="D133" i="17"/>
  <c r="C133" i="17"/>
  <c r="B133" i="17"/>
  <c r="H132" i="17"/>
  <c r="G132" i="17"/>
  <c r="F132" i="17"/>
  <c r="E132" i="17"/>
  <c r="D132" i="17"/>
  <c r="C132" i="17"/>
  <c r="B132" i="17"/>
  <c r="H131" i="17"/>
  <c r="G131" i="17"/>
  <c r="F131" i="17"/>
  <c r="E131" i="17"/>
  <c r="D131" i="17"/>
  <c r="C131" i="17"/>
  <c r="B131" i="17"/>
  <c r="H130" i="17"/>
  <c r="G130" i="17"/>
  <c r="F130" i="17"/>
  <c r="E130" i="17"/>
  <c r="D130" i="17"/>
  <c r="C130" i="17"/>
  <c r="B130" i="17"/>
  <c r="H129" i="17"/>
  <c r="G129" i="17"/>
  <c r="F129" i="17"/>
  <c r="E129" i="17"/>
  <c r="D129" i="17"/>
  <c r="C129" i="17"/>
  <c r="B129" i="17"/>
  <c r="H128" i="17"/>
  <c r="G128" i="17"/>
  <c r="F128" i="17"/>
  <c r="E128" i="17"/>
  <c r="D128" i="17"/>
  <c r="C128" i="17"/>
  <c r="B128" i="17"/>
  <c r="H127" i="17"/>
  <c r="G127" i="17"/>
  <c r="F127" i="17"/>
  <c r="E127" i="17"/>
  <c r="D127" i="17"/>
  <c r="C127" i="17"/>
  <c r="B127" i="17"/>
  <c r="H126" i="17"/>
  <c r="G126" i="17"/>
  <c r="F126" i="17"/>
  <c r="E126" i="17"/>
  <c r="D126" i="17"/>
  <c r="C126" i="17"/>
  <c r="B126" i="17"/>
  <c r="H125" i="17"/>
  <c r="G125" i="17"/>
  <c r="F125" i="17"/>
  <c r="E125" i="17"/>
  <c r="D125" i="17"/>
  <c r="C125" i="17"/>
  <c r="B125" i="17"/>
  <c r="H124" i="17"/>
  <c r="G124" i="17"/>
  <c r="F124" i="17"/>
  <c r="E124" i="17"/>
  <c r="D124" i="17"/>
  <c r="C124" i="17"/>
  <c r="B124" i="17"/>
  <c r="H123" i="17"/>
  <c r="G123" i="17"/>
  <c r="F123" i="17"/>
  <c r="E123" i="17"/>
  <c r="D123" i="17"/>
  <c r="C123" i="17"/>
  <c r="B123" i="17"/>
  <c r="H122" i="17"/>
  <c r="G122" i="17"/>
  <c r="F122" i="17"/>
  <c r="E122" i="17"/>
  <c r="D122" i="17"/>
  <c r="C122" i="17"/>
  <c r="B122" i="17"/>
  <c r="H121" i="17"/>
  <c r="G121" i="17"/>
  <c r="F121" i="17"/>
  <c r="E121" i="17"/>
  <c r="D121" i="17"/>
  <c r="C121" i="17"/>
  <c r="B121" i="17"/>
  <c r="H120" i="17"/>
  <c r="G120" i="17"/>
  <c r="F120" i="17"/>
  <c r="E120" i="17"/>
  <c r="D120" i="17"/>
  <c r="C120" i="17"/>
  <c r="B120" i="17"/>
  <c r="H119" i="17"/>
  <c r="G119" i="17"/>
  <c r="F119" i="17"/>
  <c r="E119" i="17"/>
  <c r="D119" i="17"/>
  <c r="C119" i="17"/>
  <c r="B119" i="17"/>
  <c r="H118" i="17"/>
  <c r="G118" i="17"/>
  <c r="F118" i="17"/>
  <c r="E118" i="17"/>
  <c r="D118" i="17"/>
  <c r="C118" i="17"/>
  <c r="B118" i="17"/>
  <c r="H117" i="17"/>
  <c r="G117" i="17"/>
  <c r="F117" i="17"/>
  <c r="E117" i="17"/>
  <c r="D117" i="17"/>
  <c r="C117" i="17"/>
  <c r="B117" i="17"/>
  <c r="H116" i="17"/>
  <c r="G116" i="17"/>
  <c r="F116" i="17"/>
  <c r="E116" i="17"/>
  <c r="D116" i="17"/>
  <c r="C116" i="17"/>
  <c r="B116" i="17"/>
  <c r="H115" i="17"/>
  <c r="G115" i="17"/>
  <c r="F115" i="17"/>
  <c r="E115" i="17"/>
  <c r="D115" i="17"/>
  <c r="C115" i="17"/>
  <c r="B115" i="17"/>
  <c r="H114" i="17"/>
  <c r="G114" i="17"/>
  <c r="F114" i="17"/>
  <c r="E114" i="17"/>
  <c r="D114" i="17"/>
  <c r="C114" i="17"/>
  <c r="B114" i="17"/>
  <c r="H113" i="17"/>
  <c r="G113" i="17"/>
  <c r="F113" i="17"/>
  <c r="E113" i="17"/>
  <c r="D113" i="17"/>
  <c r="C113" i="17"/>
  <c r="B113" i="17"/>
  <c r="H112" i="17"/>
  <c r="G112" i="17"/>
  <c r="F112" i="17"/>
  <c r="E112" i="17"/>
  <c r="D112" i="17"/>
  <c r="C112" i="17"/>
  <c r="B112" i="17"/>
  <c r="H111" i="17"/>
  <c r="G111" i="17"/>
  <c r="F111" i="17"/>
  <c r="E111" i="17"/>
  <c r="D111" i="17"/>
  <c r="C111" i="17"/>
  <c r="B111" i="17"/>
  <c r="H110" i="17"/>
  <c r="G110" i="17"/>
  <c r="F110" i="17"/>
  <c r="E110" i="17"/>
  <c r="D110" i="17"/>
  <c r="C110" i="17"/>
  <c r="B110" i="17"/>
  <c r="H109" i="17"/>
  <c r="G109" i="17"/>
  <c r="F109" i="17"/>
  <c r="E109" i="17"/>
  <c r="D109" i="17"/>
  <c r="C109" i="17"/>
  <c r="B109" i="17"/>
  <c r="H108" i="17"/>
  <c r="G108" i="17"/>
  <c r="F108" i="17"/>
  <c r="E108" i="17"/>
  <c r="D108" i="17"/>
  <c r="C108" i="17"/>
  <c r="B108" i="17"/>
  <c r="H107" i="17"/>
  <c r="G107" i="17"/>
  <c r="F107" i="17"/>
  <c r="E107" i="17"/>
  <c r="D107" i="17"/>
  <c r="C107" i="17"/>
  <c r="B107" i="17"/>
  <c r="H106" i="17"/>
  <c r="G106" i="17"/>
  <c r="F106" i="17"/>
  <c r="E106" i="17"/>
  <c r="D106" i="17"/>
  <c r="C106" i="17"/>
  <c r="B106" i="17"/>
  <c r="H105" i="17"/>
  <c r="G105" i="17"/>
  <c r="F105" i="17"/>
  <c r="E105" i="17"/>
  <c r="D105" i="17"/>
  <c r="C105" i="17"/>
  <c r="B105" i="17"/>
  <c r="H104" i="17"/>
  <c r="G104" i="17"/>
  <c r="F104" i="17"/>
  <c r="E104" i="17"/>
  <c r="D104" i="17"/>
  <c r="C104" i="17"/>
  <c r="B104" i="17"/>
  <c r="H103" i="17"/>
  <c r="G103" i="17"/>
  <c r="F103" i="17"/>
  <c r="E103" i="17"/>
  <c r="D103" i="17"/>
  <c r="C103" i="17"/>
  <c r="B103" i="17"/>
  <c r="H102" i="17"/>
  <c r="G102" i="17"/>
  <c r="F102" i="17"/>
  <c r="E102" i="17"/>
  <c r="D102" i="17"/>
  <c r="C102" i="17"/>
  <c r="B102" i="17"/>
  <c r="H101" i="17"/>
  <c r="G101" i="17"/>
  <c r="F101" i="17"/>
  <c r="E101" i="17"/>
  <c r="D101" i="17"/>
  <c r="C101" i="17"/>
  <c r="B101" i="17"/>
  <c r="H100" i="17"/>
  <c r="G100" i="17"/>
  <c r="F100" i="17"/>
  <c r="E100" i="17"/>
  <c r="D100" i="17"/>
  <c r="C100" i="17"/>
  <c r="B100" i="17"/>
  <c r="H99" i="17"/>
  <c r="G99" i="17"/>
  <c r="F99" i="17"/>
  <c r="E99" i="17"/>
  <c r="D99" i="17"/>
  <c r="C99" i="17"/>
  <c r="B99" i="17"/>
  <c r="H98" i="17"/>
  <c r="G98" i="17"/>
  <c r="F98" i="17"/>
  <c r="E98" i="17"/>
  <c r="D98" i="17"/>
  <c r="C98" i="17"/>
  <c r="B98" i="17"/>
  <c r="H97" i="17"/>
  <c r="G97" i="17"/>
  <c r="F97" i="17"/>
  <c r="E97" i="17"/>
  <c r="D97" i="17"/>
  <c r="C97" i="17"/>
  <c r="B97" i="17"/>
  <c r="H96" i="17"/>
  <c r="G96" i="17"/>
  <c r="F96" i="17"/>
  <c r="E96" i="17"/>
  <c r="D96" i="17"/>
  <c r="C96" i="17"/>
  <c r="B96" i="17"/>
  <c r="H95" i="17"/>
  <c r="G95" i="17"/>
  <c r="F95" i="17"/>
  <c r="E95" i="17"/>
  <c r="D95" i="17"/>
  <c r="C95" i="17"/>
  <c r="B95" i="17"/>
  <c r="H94" i="17"/>
  <c r="G94" i="17"/>
  <c r="F94" i="17"/>
  <c r="E94" i="17"/>
  <c r="D94" i="17"/>
  <c r="C94" i="17"/>
  <c r="B94" i="17"/>
  <c r="H93" i="17"/>
  <c r="G93" i="17"/>
  <c r="F93" i="17"/>
  <c r="E93" i="17"/>
  <c r="D93" i="17"/>
  <c r="C93" i="17"/>
  <c r="B93" i="17"/>
  <c r="H92" i="17"/>
  <c r="G92" i="17"/>
  <c r="F92" i="17"/>
  <c r="E92" i="17"/>
  <c r="D92" i="17"/>
  <c r="C92" i="17"/>
  <c r="B92" i="17"/>
  <c r="H91" i="17"/>
  <c r="G91" i="17"/>
  <c r="F91" i="17"/>
  <c r="E91" i="17"/>
  <c r="D91" i="17"/>
  <c r="C91" i="17"/>
  <c r="B91" i="17"/>
  <c r="H90" i="17"/>
  <c r="G90" i="17"/>
  <c r="F90" i="17"/>
  <c r="E90" i="17"/>
  <c r="D90" i="17"/>
  <c r="C90" i="17"/>
  <c r="B90" i="17"/>
  <c r="H89" i="17"/>
  <c r="G89" i="17"/>
  <c r="F89" i="17"/>
  <c r="E89" i="17"/>
  <c r="D89" i="17"/>
  <c r="C89" i="17"/>
  <c r="B89" i="17"/>
  <c r="H88" i="17"/>
  <c r="G88" i="17"/>
  <c r="F88" i="17"/>
  <c r="E88" i="17"/>
  <c r="D88" i="17"/>
  <c r="C88" i="17"/>
  <c r="B88" i="17"/>
  <c r="H87" i="17"/>
  <c r="G87" i="17"/>
  <c r="F87" i="17"/>
  <c r="E87" i="17"/>
  <c r="D87" i="17"/>
  <c r="C87" i="17"/>
  <c r="B87" i="17"/>
  <c r="H86" i="17"/>
  <c r="G86" i="17"/>
  <c r="F86" i="17"/>
  <c r="E86" i="17"/>
  <c r="D86" i="17"/>
  <c r="C86" i="17"/>
  <c r="B86" i="17"/>
  <c r="H85" i="17"/>
  <c r="G85" i="17"/>
  <c r="F85" i="17"/>
  <c r="E85" i="17"/>
  <c r="D85" i="17"/>
  <c r="C85" i="17"/>
  <c r="B85" i="17"/>
  <c r="H84" i="17"/>
  <c r="G84" i="17"/>
  <c r="F84" i="17"/>
  <c r="E84" i="17"/>
  <c r="D84" i="17"/>
  <c r="C84" i="17"/>
  <c r="B84" i="17"/>
  <c r="H83" i="17"/>
  <c r="G83" i="17"/>
  <c r="F83" i="17"/>
  <c r="E83" i="17"/>
  <c r="D83" i="17"/>
  <c r="C83" i="17"/>
  <c r="B83" i="17"/>
  <c r="H82" i="17"/>
  <c r="G82" i="17"/>
  <c r="F82" i="17"/>
  <c r="E82" i="17"/>
  <c r="D82" i="17"/>
  <c r="C82" i="17"/>
  <c r="B82" i="17"/>
  <c r="H81" i="17"/>
  <c r="G81" i="17"/>
  <c r="F81" i="17"/>
  <c r="E81" i="17"/>
  <c r="D81" i="17"/>
  <c r="C81" i="17"/>
  <c r="B81" i="17"/>
  <c r="H80" i="17"/>
  <c r="G80" i="17"/>
  <c r="F80" i="17"/>
  <c r="E80" i="17"/>
  <c r="D80" i="17"/>
  <c r="C80" i="17"/>
  <c r="B80" i="17"/>
  <c r="H79" i="17"/>
  <c r="G79" i="17"/>
  <c r="F79" i="17"/>
  <c r="E79" i="17"/>
  <c r="D79" i="17"/>
  <c r="C79" i="17"/>
  <c r="B79" i="17"/>
  <c r="H78" i="17"/>
  <c r="G78" i="17"/>
  <c r="F78" i="17"/>
  <c r="E78" i="17"/>
  <c r="D78" i="17"/>
  <c r="C78" i="17"/>
  <c r="B78" i="17"/>
  <c r="H77" i="17"/>
  <c r="G77" i="17"/>
  <c r="F77" i="17"/>
  <c r="E77" i="17"/>
  <c r="D77" i="17"/>
  <c r="C77" i="17"/>
  <c r="B77" i="17"/>
  <c r="H76" i="17"/>
  <c r="G76" i="17"/>
  <c r="F76" i="17"/>
  <c r="E76" i="17"/>
  <c r="D76" i="17"/>
  <c r="C76" i="17"/>
  <c r="B76" i="17"/>
  <c r="H75" i="17"/>
  <c r="G75" i="17"/>
  <c r="F75" i="17"/>
  <c r="E75" i="17"/>
  <c r="D75" i="17"/>
  <c r="C75" i="17"/>
  <c r="B75" i="17"/>
  <c r="H74" i="17"/>
  <c r="G74" i="17"/>
  <c r="F74" i="17"/>
  <c r="E74" i="17"/>
  <c r="D74" i="17"/>
  <c r="C74" i="17"/>
  <c r="B74" i="17"/>
  <c r="H73" i="17"/>
  <c r="G73" i="17"/>
  <c r="F73" i="17"/>
  <c r="E73" i="17"/>
  <c r="D73" i="17"/>
  <c r="C73" i="17"/>
  <c r="B73" i="17"/>
  <c r="H72" i="17"/>
  <c r="G72" i="17"/>
  <c r="F72" i="17"/>
  <c r="E72" i="17"/>
  <c r="D72" i="17"/>
  <c r="C72" i="17"/>
  <c r="B72" i="17"/>
  <c r="H71" i="17"/>
  <c r="G71" i="17"/>
  <c r="F71" i="17"/>
  <c r="E71" i="17"/>
  <c r="D71" i="17"/>
  <c r="C71" i="17"/>
  <c r="B71" i="17"/>
  <c r="H70" i="17"/>
  <c r="G70" i="17"/>
  <c r="F70" i="17"/>
  <c r="E70" i="17"/>
  <c r="D70" i="17"/>
  <c r="C70" i="17"/>
  <c r="B70" i="17"/>
  <c r="H69" i="17"/>
  <c r="G69" i="17"/>
  <c r="F69" i="17"/>
  <c r="E69" i="17"/>
  <c r="D69" i="17"/>
  <c r="C69" i="17"/>
  <c r="B69" i="17"/>
  <c r="H68" i="17"/>
  <c r="G68" i="17"/>
  <c r="F68" i="17"/>
  <c r="E68" i="17"/>
  <c r="D68" i="17"/>
  <c r="C68" i="17"/>
  <c r="B68" i="17"/>
  <c r="H67" i="17"/>
  <c r="G67" i="17"/>
  <c r="F67" i="17"/>
  <c r="E67" i="17"/>
  <c r="D67" i="17"/>
  <c r="C67" i="17"/>
  <c r="B67" i="17"/>
  <c r="H66" i="17"/>
  <c r="G66" i="17"/>
  <c r="F66" i="17"/>
  <c r="E66" i="17"/>
  <c r="D66" i="17"/>
  <c r="C66" i="17"/>
  <c r="B66" i="17"/>
  <c r="H65" i="17"/>
  <c r="G65" i="17"/>
  <c r="F65" i="17"/>
  <c r="E65" i="17"/>
  <c r="D65" i="17"/>
  <c r="C65" i="17"/>
  <c r="B65" i="17"/>
  <c r="H64" i="17"/>
  <c r="G64" i="17"/>
  <c r="F64" i="17"/>
  <c r="E64" i="17"/>
  <c r="D64" i="17"/>
  <c r="C64" i="17"/>
  <c r="B64" i="17"/>
  <c r="H63" i="17"/>
  <c r="G63" i="17"/>
  <c r="F63" i="17"/>
  <c r="E63" i="17"/>
  <c r="D63" i="17"/>
  <c r="C63" i="17"/>
  <c r="B63" i="17"/>
  <c r="H62" i="17"/>
  <c r="G62" i="17"/>
  <c r="F62" i="17"/>
  <c r="E62" i="17"/>
  <c r="D62" i="17"/>
  <c r="C62" i="17"/>
  <c r="B62" i="17"/>
  <c r="H61" i="17"/>
  <c r="G61" i="17"/>
  <c r="F61" i="17"/>
  <c r="E61" i="17"/>
  <c r="D61" i="17"/>
  <c r="C61" i="17"/>
  <c r="B61" i="17"/>
  <c r="H60" i="17"/>
  <c r="G60" i="17"/>
  <c r="F60" i="17"/>
  <c r="E60" i="17"/>
  <c r="D60" i="17"/>
  <c r="C60" i="17"/>
  <c r="B60" i="17"/>
  <c r="H59" i="17"/>
  <c r="G59" i="17"/>
  <c r="F59" i="17"/>
  <c r="E59" i="17"/>
  <c r="D59" i="17"/>
  <c r="C59" i="17"/>
  <c r="B59" i="17"/>
  <c r="H58" i="17"/>
  <c r="G58" i="17"/>
  <c r="F58" i="17"/>
  <c r="E58" i="17"/>
  <c r="D58" i="17"/>
  <c r="C58" i="17"/>
  <c r="B58" i="17"/>
  <c r="H57" i="17"/>
  <c r="G57" i="17"/>
  <c r="F57" i="17"/>
  <c r="E57" i="17"/>
  <c r="D57" i="17"/>
  <c r="C57" i="17"/>
  <c r="B57" i="17"/>
  <c r="H56" i="17"/>
  <c r="G56" i="17"/>
  <c r="F56" i="17"/>
  <c r="E56" i="17"/>
  <c r="D56" i="17"/>
  <c r="C56" i="17"/>
  <c r="B56" i="17"/>
  <c r="H55" i="17"/>
  <c r="G55" i="17"/>
  <c r="F55" i="17"/>
  <c r="E55" i="17"/>
  <c r="D55" i="17"/>
  <c r="C55" i="17"/>
  <c r="B55" i="17"/>
  <c r="H54" i="17"/>
  <c r="G54" i="17"/>
  <c r="F54" i="17"/>
  <c r="E54" i="17"/>
  <c r="D54" i="17"/>
  <c r="C54" i="17"/>
  <c r="B54" i="17"/>
  <c r="H53" i="17"/>
  <c r="G53" i="17"/>
  <c r="F53" i="17"/>
  <c r="E53" i="17"/>
  <c r="D53" i="17"/>
  <c r="C53" i="17"/>
  <c r="B53" i="17"/>
  <c r="H52" i="17"/>
  <c r="G52" i="17"/>
  <c r="F52" i="17"/>
  <c r="E52" i="17"/>
  <c r="D52" i="17"/>
  <c r="C52" i="17"/>
  <c r="B52" i="17"/>
  <c r="H51" i="17"/>
  <c r="G51" i="17"/>
  <c r="F51" i="17"/>
  <c r="E51" i="17"/>
  <c r="D51" i="17"/>
  <c r="C51" i="17"/>
  <c r="B51" i="17"/>
  <c r="H50" i="17"/>
  <c r="G50" i="17"/>
  <c r="F50" i="17"/>
  <c r="E50" i="17"/>
  <c r="D50" i="17"/>
  <c r="C50" i="17"/>
  <c r="B50" i="17"/>
  <c r="H49" i="17"/>
  <c r="G49" i="17"/>
  <c r="F49" i="17"/>
  <c r="E49" i="17"/>
  <c r="D49" i="17"/>
  <c r="C49" i="17"/>
  <c r="B49" i="17"/>
  <c r="H48" i="17"/>
  <c r="G48" i="17"/>
  <c r="F48" i="17"/>
  <c r="E48" i="17"/>
  <c r="D48" i="17"/>
  <c r="C48" i="17"/>
  <c r="B48" i="17"/>
  <c r="H47" i="17"/>
  <c r="G47" i="17"/>
  <c r="F47" i="17"/>
  <c r="E47" i="17"/>
  <c r="D47" i="17"/>
  <c r="C47" i="17"/>
  <c r="B47" i="17"/>
  <c r="H46" i="17"/>
  <c r="G46" i="17"/>
  <c r="F46" i="17"/>
  <c r="E46" i="17"/>
  <c r="D46" i="17"/>
  <c r="C46" i="17"/>
  <c r="B46" i="17"/>
  <c r="H45" i="17"/>
  <c r="G45" i="17"/>
  <c r="F45" i="17"/>
  <c r="E45" i="17"/>
  <c r="D45" i="17"/>
  <c r="C45" i="17"/>
  <c r="B45" i="17"/>
  <c r="H44" i="17"/>
  <c r="G44" i="17"/>
  <c r="F44" i="17"/>
  <c r="E44" i="17"/>
  <c r="D44" i="17"/>
  <c r="C44" i="17"/>
  <c r="B44" i="17"/>
  <c r="H43" i="17"/>
  <c r="G43" i="17"/>
  <c r="F43" i="17"/>
  <c r="E43" i="17"/>
  <c r="D43" i="17"/>
  <c r="C43" i="17"/>
  <c r="B43" i="17"/>
  <c r="H42" i="17"/>
  <c r="G42" i="17"/>
  <c r="F42" i="17"/>
  <c r="E42" i="17"/>
  <c r="D42" i="17"/>
  <c r="C42" i="17"/>
  <c r="B42" i="17"/>
  <c r="H41" i="17"/>
  <c r="G41" i="17"/>
  <c r="F41" i="17"/>
  <c r="E41" i="17"/>
  <c r="D41" i="17"/>
  <c r="C41" i="17"/>
  <c r="B41" i="17"/>
  <c r="H40" i="17"/>
  <c r="G40" i="17"/>
  <c r="F40" i="17"/>
  <c r="E40" i="17"/>
  <c r="D40" i="17"/>
  <c r="C40" i="17"/>
  <c r="B40" i="17"/>
  <c r="H39" i="17"/>
  <c r="G39" i="17"/>
  <c r="F39" i="17"/>
  <c r="E39" i="17"/>
  <c r="D39" i="17"/>
  <c r="C39" i="17"/>
  <c r="B39" i="17"/>
  <c r="H38" i="17"/>
  <c r="G38" i="17"/>
  <c r="F38" i="17"/>
  <c r="E38" i="17"/>
  <c r="D38" i="17"/>
  <c r="C38" i="17"/>
  <c r="B38" i="17"/>
  <c r="H17" i="17"/>
  <c r="G17" i="17"/>
  <c r="F17" i="17"/>
  <c r="E17" i="17"/>
  <c r="D17" i="17"/>
  <c r="C17" i="17"/>
  <c r="B17" i="17"/>
  <c r="H16" i="17"/>
  <c r="G16" i="17"/>
  <c r="F16" i="17"/>
  <c r="E16" i="17"/>
  <c r="D16" i="17"/>
  <c r="C16" i="17"/>
  <c r="B16" i="17"/>
  <c r="H15" i="17"/>
  <c r="G15" i="17"/>
  <c r="F15" i="17"/>
  <c r="E15" i="17"/>
  <c r="D15" i="17"/>
  <c r="C15" i="17"/>
  <c r="B15" i="17"/>
  <c r="H14" i="17"/>
  <c r="G14" i="17"/>
  <c r="F14" i="17"/>
  <c r="E14" i="17"/>
  <c r="D14" i="17"/>
  <c r="C14" i="17"/>
  <c r="B14" i="17"/>
  <c r="H13" i="17"/>
  <c r="G13" i="17"/>
  <c r="F13" i="17"/>
  <c r="E13" i="17"/>
  <c r="D13" i="17"/>
  <c r="C13" i="17"/>
  <c r="B13" i="17"/>
  <c r="H12" i="17"/>
  <c r="G12" i="17"/>
  <c r="F12" i="17"/>
  <c r="E12" i="17"/>
  <c r="D12" i="17"/>
  <c r="C12" i="17"/>
  <c r="B12" i="17"/>
  <c r="H11" i="17"/>
  <c r="G11" i="17"/>
  <c r="F11" i="17"/>
  <c r="E11" i="17"/>
  <c r="D11" i="17"/>
  <c r="C11" i="17"/>
  <c r="B11" i="17"/>
  <c r="H10" i="17"/>
  <c r="G10" i="17"/>
  <c r="F10" i="17"/>
  <c r="E10" i="17"/>
  <c r="D10" i="17"/>
  <c r="C10" i="17"/>
  <c r="B10" i="17"/>
  <c r="H9" i="17"/>
  <c r="G9" i="17"/>
  <c r="F9" i="17"/>
  <c r="E9" i="17"/>
  <c r="D9" i="17"/>
  <c r="C9" i="17"/>
  <c r="B9" i="17"/>
  <c r="H8" i="17"/>
  <c r="G8" i="17"/>
  <c r="F8" i="17"/>
  <c r="E8" i="17"/>
  <c r="D8" i="17"/>
  <c r="C8" i="17"/>
  <c r="B8" i="17"/>
  <c r="H15" i="15"/>
  <c r="G15" i="15"/>
  <c r="F15" i="15"/>
  <c r="E15" i="15"/>
  <c r="D15" i="15"/>
  <c r="C15" i="15"/>
  <c r="B15" i="15"/>
  <c r="H14" i="15"/>
  <c r="G14" i="15"/>
  <c r="F14" i="15"/>
  <c r="E14" i="15"/>
  <c r="D14" i="15"/>
  <c r="C14" i="15"/>
  <c r="B14" i="15"/>
  <c r="H13" i="15"/>
  <c r="G13" i="15"/>
  <c r="F13" i="15"/>
  <c r="E13" i="15"/>
  <c r="D13" i="15"/>
  <c r="C13" i="15"/>
  <c r="B13" i="15"/>
  <c r="H12" i="15"/>
  <c r="G12" i="15"/>
  <c r="F12" i="15"/>
  <c r="E12" i="15"/>
  <c r="D12" i="15"/>
  <c r="C12" i="15"/>
  <c r="B12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9" i="15"/>
  <c r="G9" i="15"/>
  <c r="F9" i="15"/>
  <c r="E9" i="15"/>
  <c r="D9" i="15"/>
  <c r="C9" i="15"/>
  <c r="B9" i="15"/>
  <c r="H8" i="15"/>
  <c r="G8" i="15"/>
  <c r="F8" i="15"/>
  <c r="E8" i="15"/>
  <c r="D8" i="15"/>
  <c r="C8" i="15"/>
  <c r="B8" i="15"/>
  <c r="H7" i="15"/>
  <c r="G7" i="15"/>
  <c r="F7" i="15"/>
  <c r="E7" i="15"/>
  <c r="D7" i="15"/>
  <c r="C7" i="15"/>
  <c r="B7" i="15"/>
  <c r="H155" i="14"/>
  <c r="G155" i="14"/>
  <c r="F155" i="14"/>
  <c r="E155" i="14"/>
  <c r="D155" i="14"/>
  <c r="C155" i="14"/>
  <c r="B155" i="14"/>
  <c r="H154" i="14"/>
  <c r="G154" i="14"/>
  <c r="F154" i="14"/>
  <c r="E154" i="14"/>
  <c r="D154" i="14"/>
  <c r="C154" i="14"/>
  <c r="B154" i="14"/>
  <c r="H153" i="14"/>
  <c r="G153" i="14"/>
  <c r="F153" i="14"/>
  <c r="E153" i="14"/>
  <c r="D153" i="14"/>
  <c r="C153" i="14"/>
  <c r="B153" i="14"/>
  <c r="H152" i="14"/>
  <c r="G152" i="14"/>
  <c r="F152" i="14"/>
  <c r="E152" i="14"/>
  <c r="D152" i="14"/>
  <c r="C152" i="14"/>
  <c r="B152" i="14"/>
  <c r="H151" i="14"/>
  <c r="G151" i="14"/>
  <c r="F151" i="14"/>
  <c r="E151" i="14"/>
  <c r="D151" i="14"/>
  <c r="C151" i="14"/>
  <c r="B151" i="14"/>
  <c r="H150" i="14"/>
  <c r="G150" i="14"/>
  <c r="F150" i="14"/>
  <c r="E150" i="14"/>
  <c r="D150" i="14"/>
  <c r="C150" i="14"/>
  <c r="B150" i="14"/>
  <c r="H149" i="14"/>
  <c r="G149" i="14"/>
  <c r="F149" i="14"/>
  <c r="E149" i="14"/>
  <c r="D149" i="14"/>
  <c r="C149" i="14"/>
  <c r="B149" i="14"/>
  <c r="H148" i="14"/>
  <c r="G148" i="14"/>
  <c r="F148" i="14"/>
  <c r="E148" i="14"/>
  <c r="D148" i="14"/>
  <c r="C148" i="14"/>
  <c r="B148" i="14"/>
  <c r="H147" i="14"/>
  <c r="G147" i="14"/>
  <c r="F147" i="14"/>
  <c r="E147" i="14"/>
  <c r="D147" i="14"/>
  <c r="C147" i="14"/>
  <c r="B147" i="14"/>
  <c r="H146" i="14"/>
  <c r="G146" i="14"/>
  <c r="F146" i="14"/>
  <c r="E146" i="14"/>
  <c r="D146" i="14"/>
  <c r="C146" i="14"/>
  <c r="B146" i="14"/>
  <c r="H145" i="14"/>
  <c r="G145" i="14"/>
  <c r="F145" i="14"/>
  <c r="E145" i="14"/>
  <c r="D145" i="14"/>
  <c r="C145" i="14"/>
  <c r="B145" i="14"/>
  <c r="H144" i="14"/>
  <c r="G144" i="14"/>
  <c r="F144" i="14"/>
  <c r="E144" i="14"/>
  <c r="D144" i="14"/>
  <c r="C144" i="14"/>
  <c r="B144" i="14"/>
  <c r="H143" i="14"/>
  <c r="G143" i="14"/>
  <c r="F143" i="14"/>
  <c r="E143" i="14"/>
  <c r="D143" i="14"/>
  <c r="C143" i="14"/>
  <c r="B143" i="14"/>
  <c r="H142" i="14"/>
  <c r="G142" i="14"/>
  <c r="F142" i="14"/>
  <c r="E142" i="14"/>
  <c r="D142" i="14"/>
  <c r="C142" i="14"/>
  <c r="B142" i="14"/>
  <c r="H141" i="14"/>
  <c r="G141" i="14"/>
  <c r="F141" i="14"/>
  <c r="E141" i="14"/>
  <c r="D141" i="14"/>
  <c r="C141" i="14"/>
  <c r="B141" i="14"/>
  <c r="H140" i="14"/>
  <c r="G140" i="14"/>
  <c r="F140" i="14"/>
  <c r="E140" i="14"/>
  <c r="D140" i="14"/>
  <c r="C140" i="14"/>
  <c r="B140" i="14"/>
  <c r="H139" i="14"/>
  <c r="G139" i="14"/>
  <c r="F139" i="14"/>
  <c r="E139" i="14"/>
  <c r="D139" i="14"/>
  <c r="C139" i="14"/>
  <c r="B139" i="14"/>
  <c r="H138" i="14"/>
  <c r="G138" i="14"/>
  <c r="F138" i="14"/>
  <c r="E138" i="14"/>
  <c r="D138" i="14"/>
  <c r="C138" i="14"/>
  <c r="B138" i="14"/>
  <c r="H137" i="14"/>
  <c r="G137" i="14"/>
  <c r="F137" i="14"/>
  <c r="E137" i="14"/>
  <c r="D137" i="14"/>
  <c r="C137" i="14"/>
  <c r="B137" i="14"/>
  <c r="H136" i="14"/>
  <c r="G136" i="14"/>
  <c r="F136" i="14"/>
  <c r="E136" i="14"/>
  <c r="D136" i="14"/>
  <c r="C136" i="14"/>
  <c r="B136" i="14"/>
  <c r="H135" i="14"/>
  <c r="G135" i="14"/>
  <c r="F135" i="14"/>
  <c r="E135" i="14"/>
  <c r="D135" i="14"/>
  <c r="C135" i="14"/>
  <c r="B135" i="14"/>
  <c r="H134" i="14"/>
  <c r="G134" i="14"/>
  <c r="F134" i="14"/>
  <c r="E134" i="14"/>
  <c r="D134" i="14"/>
  <c r="C134" i="14"/>
  <c r="B134" i="14"/>
  <c r="H133" i="14"/>
  <c r="G133" i="14"/>
  <c r="F133" i="14"/>
  <c r="E133" i="14"/>
  <c r="D133" i="14"/>
  <c r="C133" i="14"/>
  <c r="B133" i="14"/>
  <c r="H132" i="14"/>
  <c r="G132" i="14"/>
  <c r="F132" i="14"/>
  <c r="E132" i="14"/>
  <c r="D132" i="14"/>
  <c r="C132" i="14"/>
  <c r="B132" i="14"/>
  <c r="H131" i="14"/>
  <c r="G131" i="14"/>
  <c r="F131" i="14"/>
  <c r="E131" i="14"/>
  <c r="D131" i="14"/>
  <c r="C131" i="14"/>
  <c r="B131" i="14"/>
  <c r="H130" i="14"/>
  <c r="G130" i="14"/>
  <c r="F130" i="14"/>
  <c r="E130" i="14"/>
  <c r="D130" i="14"/>
  <c r="C130" i="14"/>
  <c r="B130" i="14"/>
  <c r="H129" i="14"/>
  <c r="G129" i="14"/>
  <c r="F129" i="14"/>
  <c r="E129" i="14"/>
  <c r="D129" i="14"/>
  <c r="C129" i="14"/>
  <c r="B129" i="14"/>
  <c r="H128" i="14"/>
  <c r="G128" i="14"/>
  <c r="F128" i="14"/>
  <c r="E128" i="14"/>
  <c r="D128" i="14"/>
  <c r="C128" i="14"/>
  <c r="B128" i="14"/>
  <c r="H127" i="14"/>
  <c r="G127" i="14"/>
  <c r="F127" i="14"/>
  <c r="E127" i="14"/>
  <c r="D127" i="14"/>
  <c r="C127" i="14"/>
  <c r="B127" i="14"/>
  <c r="H126" i="14"/>
  <c r="G126" i="14"/>
  <c r="F126" i="14"/>
  <c r="E126" i="14"/>
  <c r="D126" i="14"/>
  <c r="C126" i="14"/>
  <c r="B126" i="14"/>
  <c r="H125" i="14"/>
  <c r="G125" i="14"/>
  <c r="F125" i="14"/>
  <c r="E125" i="14"/>
  <c r="D125" i="14"/>
  <c r="C125" i="14"/>
  <c r="B125" i="14"/>
  <c r="H124" i="14"/>
  <c r="G124" i="14"/>
  <c r="F124" i="14"/>
  <c r="E124" i="14"/>
  <c r="D124" i="14"/>
  <c r="C124" i="14"/>
  <c r="B124" i="14"/>
  <c r="H123" i="14"/>
  <c r="G123" i="14"/>
  <c r="F123" i="14"/>
  <c r="E123" i="14"/>
  <c r="D123" i="14"/>
  <c r="C123" i="14"/>
  <c r="B123" i="14"/>
  <c r="H122" i="14"/>
  <c r="G122" i="14"/>
  <c r="F122" i="14"/>
  <c r="E122" i="14"/>
  <c r="D122" i="14"/>
  <c r="C122" i="14"/>
  <c r="B122" i="14"/>
  <c r="H121" i="14"/>
  <c r="G121" i="14"/>
  <c r="F121" i="14"/>
  <c r="E121" i="14"/>
  <c r="D121" i="14"/>
  <c r="C121" i="14"/>
  <c r="B121" i="14"/>
  <c r="H120" i="14"/>
  <c r="G120" i="14"/>
  <c r="F120" i="14"/>
  <c r="E120" i="14"/>
  <c r="D120" i="14"/>
  <c r="C120" i="14"/>
  <c r="B120" i="14"/>
  <c r="H119" i="14"/>
  <c r="G119" i="14"/>
  <c r="F119" i="14"/>
  <c r="E119" i="14"/>
  <c r="D119" i="14"/>
  <c r="C119" i="14"/>
  <c r="B119" i="14"/>
  <c r="H118" i="14"/>
  <c r="G118" i="14"/>
  <c r="F118" i="14"/>
  <c r="E118" i="14"/>
  <c r="D118" i="14"/>
  <c r="C118" i="14"/>
  <c r="B118" i="14"/>
  <c r="H117" i="14"/>
  <c r="G117" i="14"/>
  <c r="F117" i="14"/>
  <c r="E117" i="14"/>
  <c r="D117" i="14"/>
  <c r="C117" i="14"/>
  <c r="B117" i="14"/>
  <c r="H116" i="14"/>
  <c r="G116" i="14"/>
  <c r="F116" i="14"/>
  <c r="E116" i="14"/>
  <c r="D116" i="14"/>
  <c r="C116" i="14"/>
  <c r="B116" i="14"/>
  <c r="H115" i="14"/>
  <c r="G115" i="14"/>
  <c r="F115" i="14"/>
  <c r="E115" i="14"/>
  <c r="D115" i="14"/>
  <c r="C115" i="14"/>
  <c r="B115" i="14"/>
  <c r="H114" i="14"/>
  <c r="G114" i="14"/>
  <c r="F114" i="14"/>
  <c r="E114" i="14"/>
  <c r="D114" i="14"/>
  <c r="C114" i="14"/>
  <c r="B114" i="14"/>
  <c r="H113" i="14"/>
  <c r="G113" i="14"/>
  <c r="F113" i="14"/>
  <c r="E113" i="14"/>
  <c r="D113" i="14"/>
  <c r="C113" i="14"/>
  <c r="B113" i="14"/>
  <c r="H112" i="14"/>
  <c r="G112" i="14"/>
  <c r="F112" i="14"/>
  <c r="E112" i="14"/>
  <c r="D112" i="14"/>
  <c r="C112" i="14"/>
  <c r="B112" i="14"/>
  <c r="H111" i="14"/>
  <c r="G111" i="14"/>
  <c r="F111" i="14"/>
  <c r="E111" i="14"/>
  <c r="D111" i="14"/>
  <c r="C111" i="14"/>
  <c r="B111" i="14"/>
  <c r="H110" i="14"/>
  <c r="G110" i="14"/>
  <c r="F110" i="14"/>
  <c r="E110" i="14"/>
  <c r="D110" i="14"/>
  <c r="C110" i="14"/>
  <c r="B110" i="14"/>
  <c r="H109" i="14"/>
  <c r="G109" i="14"/>
  <c r="F109" i="14"/>
  <c r="E109" i="14"/>
  <c r="D109" i="14"/>
  <c r="C109" i="14"/>
  <c r="B109" i="14"/>
  <c r="H108" i="14"/>
  <c r="G108" i="14"/>
  <c r="F108" i="14"/>
  <c r="E108" i="14"/>
  <c r="D108" i="14"/>
  <c r="C108" i="14"/>
  <c r="B108" i="14"/>
  <c r="H107" i="14"/>
  <c r="G107" i="14"/>
  <c r="F107" i="14"/>
  <c r="E107" i="14"/>
  <c r="D107" i="14"/>
  <c r="C107" i="14"/>
  <c r="B107" i="14"/>
  <c r="H106" i="14"/>
  <c r="G106" i="14"/>
  <c r="F106" i="14"/>
  <c r="E106" i="14"/>
  <c r="D106" i="14"/>
  <c r="C106" i="14"/>
  <c r="B106" i="14"/>
  <c r="H105" i="14"/>
  <c r="G105" i="14"/>
  <c r="F105" i="14"/>
  <c r="E105" i="14"/>
  <c r="D105" i="14"/>
  <c r="C105" i="14"/>
  <c r="B105" i="14"/>
  <c r="H104" i="14"/>
  <c r="G104" i="14"/>
  <c r="F104" i="14"/>
  <c r="E104" i="14"/>
  <c r="D104" i="14"/>
  <c r="C104" i="14"/>
  <c r="B104" i="14"/>
  <c r="H103" i="14"/>
  <c r="G103" i="14"/>
  <c r="F103" i="14"/>
  <c r="E103" i="14"/>
  <c r="D103" i="14"/>
  <c r="C103" i="14"/>
  <c r="B103" i="14"/>
  <c r="H102" i="14"/>
  <c r="G102" i="14"/>
  <c r="F102" i="14"/>
  <c r="E102" i="14"/>
  <c r="D102" i="14"/>
  <c r="C102" i="14"/>
  <c r="B102" i="14"/>
  <c r="H101" i="14"/>
  <c r="G101" i="14"/>
  <c r="F101" i="14"/>
  <c r="E101" i="14"/>
  <c r="D101" i="14"/>
  <c r="C101" i="14"/>
  <c r="B101" i="14"/>
  <c r="H100" i="14"/>
  <c r="G100" i="14"/>
  <c r="F100" i="14"/>
  <c r="E100" i="14"/>
  <c r="D100" i="14"/>
  <c r="C100" i="14"/>
  <c r="B100" i="14"/>
  <c r="H99" i="14"/>
  <c r="G99" i="14"/>
  <c r="F99" i="14"/>
  <c r="E99" i="14"/>
  <c r="D99" i="14"/>
  <c r="C99" i="14"/>
  <c r="B99" i="14"/>
  <c r="H98" i="14"/>
  <c r="G98" i="14"/>
  <c r="F98" i="14"/>
  <c r="E98" i="14"/>
  <c r="D98" i="14"/>
  <c r="C98" i="14"/>
  <c r="B98" i="14"/>
  <c r="H97" i="14"/>
  <c r="G97" i="14"/>
  <c r="F97" i="14"/>
  <c r="E97" i="14"/>
  <c r="D97" i="14"/>
  <c r="C97" i="14"/>
  <c r="B97" i="14"/>
  <c r="H96" i="14"/>
  <c r="G96" i="14"/>
  <c r="F96" i="14"/>
  <c r="E96" i="14"/>
  <c r="D96" i="14"/>
  <c r="C96" i="14"/>
  <c r="B96" i="14"/>
  <c r="H95" i="14"/>
  <c r="G95" i="14"/>
  <c r="F95" i="14"/>
  <c r="E95" i="14"/>
  <c r="D95" i="14"/>
  <c r="C95" i="14"/>
  <c r="B95" i="14"/>
  <c r="H94" i="14"/>
  <c r="G94" i="14"/>
  <c r="F94" i="14"/>
  <c r="E94" i="14"/>
  <c r="D94" i="14"/>
  <c r="C94" i="14"/>
  <c r="B94" i="14"/>
  <c r="H93" i="14"/>
  <c r="G93" i="14"/>
  <c r="F93" i="14"/>
  <c r="E93" i="14"/>
  <c r="D93" i="14"/>
  <c r="C93" i="14"/>
  <c r="B93" i="14"/>
  <c r="H92" i="14"/>
  <c r="G92" i="14"/>
  <c r="F92" i="14"/>
  <c r="E92" i="14"/>
  <c r="D92" i="14"/>
  <c r="C92" i="14"/>
  <c r="B92" i="14"/>
  <c r="H91" i="14"/>
  <c r="G91" i="14"/>
  <c r="F91" i="14"/>
  <c r="E91" i="14"/>
  <c r="D91" i="14"/>
  <c r="C91" i="14"/>
  <c r="B91" i="14"/>
  <c r="H90" i="14"/>
  <c r="G90" i="14"/>
  <c r="F90" i="14"/>
  <c r="E90" i="14"/>
  <c r="D90" i="14"/>
  <c r="C90" i="14"/>
  <c r="B90" i="14"/>
  <c r="H89" i="14"/>
  <c r="G89" i="14"/>
  <c r="F89" i="14"/>
  <c r="E89" i="14"/>
  <c r="D89" i="14"/>
  <c r="C89" i="14"/>
  <c r="B89" i="14"/>
  <c r="H88" i="14"/>
  <c r="G88" i="14"/>
  <c r="F88" i="14"/>
  <c r="E88" i="14"/>
  <c r="D88" i="14"/>
  <c r="C88" i="14"/>
  <c r="B88" i="14"/>
  <c r="H87" i="14"/>
  <c r="G87" i="14"/>
  <c r="F87" i="14"/>
  <c r="E87" i="14"/>
  <c r="D87" i="14"/>
  <c r="C87" i="14"/>
  <c r="B87" i="14"/>
  <c r="H86" i="14"/>
  <c r="G86" i="14"/>
  <c r="F86" i="14"/>
  <c r="E86" i="14"/>
  <c r="D86" i="14"/>
  <c r="C86" i="14"/>
  <c r="B86" i="14"/>
  <c r="H85" i="14"/>
  <c r="G85" i="14"/>
  <c r="F85" i="14"/>
  <c r="E85" i="14"/>
  <c r="D85" i="14"/>
  <c r="C85" i="14"/>
  <c r="B85" i="14"/>
  <c r="H84" i="14"/>
  <c r="G84" i="14"/>
  <c r="F84" i="14"/>
  <c r="E84" i="14"/>
  <c r="D84" i="14"/>
  <c r="C84" i="14"/>
  <c r="B84" i="14"/>
  <c r="H83" i="14"/>
  <c r="G83" i="14"/>
  <c r="F83" i="14"/>
  <c r="E83" i="14"/>
  <c r="D83" i="14"/>
  <c r="C83" i="14"/>
  <c r="B83" i="14"/>
  <c r="H82" i="14"/>
  <c r="G82" i="14"/>
  <c r="F82" i="14"/>
  <c r="E82" i="14"/>
  <c r="D82" i="14"/>
  <c r="C82" i="14"/>
  <c r="B82" i="14"/>
  <c r="H81" i="14"/>
  <c r="G81" i="14"/>
  <c r="F81" i="14"/>
  <c r="E81" i="14"/>
  <c r="D81" i="14"/>
  <c r="C81" i="14"/>
  <c r="B81" i="14"/>
  <c r="H80" i="14"/>
  <c r="G80" i="14"/>
  <c r="F80" i="14"/>
  <c r="E80" i="14"/>
  <c r="D80" i="14"/>
  <c r="C80" i="14"/>
  <c r="B80" i="14"/>
  <c r="H79" i="14"/>
  <c r="G79" i="14"/>
  <c r="F79" i="14"/>
  <c r="E79" i="14"/>
  <c r="D79" i="14"/>
  <c r="C79" i="14"/>
  <c r="B79" i="14"/>
  <c r="H78" i="14"/>
  <c r="G78" i="14"/>
  <c r="F78" i="14"/>
  <c r="E78" i="14"/>
  <c r="D78" i="14"/>
  <c r="C78" i="14"/>
  <c r="B78" i="14"/>
  <c r="H77" i="14"/>
  <c r="G77" i="14"/>
  <c r="F77" i="14"/>
  <c r="E77" i="14"/>
  <c r="D77" i="14"/>
  <c r="C77" i="14"/>
  <c r="B77" i="14"/>
  <c r="H76" i="14"/>
  <c r="G76" i="14"/>
  <c r="F76" i="14"/>
  <c r="E76" i="14"/>
  <c r="D76" i="14"/>
  <c r="C76" i="14"/>
  <c r="B76" i="14"/>
  <c r="H75" i="14"/>
  <c r="G75" i="14"/>
  <c r="F75" i="14"/>
  <c r="E75" i="14"/>
  <c r="D75" i="14"/>
  <c r="C75" i="14"/>
  <c r="B75" i="14"/>
  <c r="H74" i="14"/>
  <c r="G74" i="14"/>
  <c r="F74" i="14"/>
  <c r="E74" i="14"/>
  <c r="D74" i="14"/>
  <c r="C74" i="14"/>
  <c r="B74" i="14"/>
  <c r="H73" i="14"/>
  <c r="G73" i="14"/>
  <c r="F73" i="14"/>
  <c r="E73" i="14"/>
  <c r="D73" i="14"/>
  <c r="C73" i="14"/>
  <c r="B73" i="14"/>
  <c r="H72" i="14"/>
  <c r="G72" i="14"/>
  <c r="F72" i="14"/>
  <c r="E72" i="14"/>
  <c r="D72" i="14"/>
  <c r="C72" i="14"/>
  <c r="B72" i="14"/>
  <c r="H71" i="14"/>
  <c r="G71" i="14"/>
  <c r="F71" i="14"/>
  <c r="E71" i="14"/>
  <c r="D71" i="14"/>
  <c r="C71" i="14"/>
  <c r="B71" i="14"/>
  <c r="H70" i="14"/>
  <c r="G70" i="14"/>
  <c r="F70" i="14"/>
  <c r="E70" i="14"/>
  <c r="D70" i="14"/>
  <c r="C70" i="14"/>
  <c r="B70" i="14"/>
  <c r="H69" i="14"/>
  <c r="G69" i="14"/>
  <c r="F69" i="14"/>
  <c r="E69" i="14"/>
  <c r="D69" i="14"/>
  <c r="C69" i="14"/>
  <c r="B69" i="14"/>
  <c r="H68" i="14"/>
  <c r="G68" i="14"/>
  <c r="F68" i="14"/>
  <c r="E68" i="14"/>
  <c r="D68" i="14"/>
  <c r="C68" i="14"/>
  <c r="B68" i="14"/>
  <c r="H67" i="14"/>
  <c r="G67" i="14"/>
  <c r="F67" i="14"/>
  <c r="E67" i="14"/>
  <c r="D67" i="14"/>
  <c r="C67" i="14"/>
  <c r="B67" i="14"/>
  <c r="H66" i="14"/>
  <c r="G66" i="14"/>
  <c r="F66" i="14"/>
  <c r="E66" i="14"/>
  <c r="D66" i="14"/>
  <c r="C66" i="14"/>
  <c r="B66" i="14"/>
  <c r="H65" i="14"/>
  <c r="G65" i="14"/>
  <c r="F65" i="14"/>
  <c r="E65" i="14"/>
  <c r="D65" i="14"/>
  <c r="C65" i="14"/>
  <c r="B65" i="14"/>
  <c r="H64" i="14"/>
  <c r="G64" i="14"/>
  <c r="F64" i="14"/>
  <c r="E64" i="14"/>
  <c r="D64" i="14"/>
  <c r="C64" i="14"/>
  <c r="B64" i="14"/>
  <c r="H63" i="14"/>
  <c r="G63" i="14"/>
  <c r="F63" i="14"/>
  <c r="E63" i="14"/>
  <c r="D63" i="14"/>
  <c r="C63" i="14"/>
  <c r="B63" i="14"/>
  <c r="H62" i="14"/>
  <c r="G62" i="14"/>
  <c r="F62" i="14"/>
  <c r="E62" i="14"/>
  <c r="D62" i="14"/>
  <c r="C62" i="14"/>
  <c r="B62" i="14"/>
  <c r="H61" i="14"/>
  <c r="G61" i="14"/>
  <c r="F61" i="14"/>
  <c r="E61" i="14"/>
  <c r="D61" i="14"/>
  <c r="C61" i="14"/>
  <c r="B61" i="14"/>
  <c r="H60" i="14"/>
  <c r="G60" i="14"/>
  <c r="F60" i="14"/>
  <c r="E60" i="14"/>
  <c r="D60" i="14"/>
  <c r="C60" i="14"/>
  <c r="B60" i="14"/>
  <c r="H59" i="14"/>
  <c r="G59" i="14"/>
  <c r="F59" i="14"/>
  <c r="E59" i="14"/>
  <c r="D59" i="14"/>
  <c r="C59" i="14"/>
  <c r="B59" i="14"/>
  <c r="H58" i="14"/>
  <c r="G58" i="14"/>
  <c r="F58" i="14"/>
  <c r="E58" i="14"/>
  <c r="D58" i="14"/>
  <c r="C58" i="14"/>
  <c r="B58" i="14"/>
  <c r="H57" i="14"/>
  <c r="G57" i="14"/>
  <c r="F57" i="14"/>
  <c r="E57" i="14"/>
  <c r="D57" i="14"/>
  <c r="C57" i="14"/>
  <c r="B57" i="14"/>
  <c r="H56" i="14"/>
  <c r="G56" i="14"/>
  <c r="F56" i="14"/>
  <c r="E56" i="14"/>
  <c r="D56" i="14"/>
  <c r="C56" i="14"/>
  <c r="B56" i="14"/>
  <c r="H55" i="14"/>
  <c r="G55" i="14"/>
  <c r="F55" i="14"/>
  <c r="E55" i="14"/>
  <c r="D55" i="14"/>
  <c r="C55" i="14"/>
  <c r="B55" i="14"/>
  <c r="H54" i="14"/>
  <c r="G54" i="14"/>
  <c r="F54" i="14"/>
  <c r="E54" i="14"/>
  <c r="D54" i="14"/>
  <c r="C54" i="14"/>
  <c r="B54" i="14"/>
  <c r="H53" i="14"/>
  <c r="G53" i="14"/>
  <c r="F53" i="14"/>
  <c r="E53" i="14"/>
  <c r="D53" i="14"/>
  <c r="C53" i="14"/>
  <c r="B53" i="14"/>
  <c r="H52" i="14"/>
  <c r="G52" i="14"/>
  <c r="F52" i="14"/>
  <c r="E52" i="14"/>
  <c r="D52" i="14"/>
  <c r="C52" i="14"/>
  <c r="B52" i="14"/>
  <c r="H51" i="14"/>
  <c r="G51" i="14"/>
  <c r="F51" i="14"/>
  <c r="E51" i="14"/>
  <c r="D51" i="14"/>
  <c r="C51" i="14"/>
  <c r="B51" i="14"/>
  <c r="H50" i="14"/>
  <c r="G50" i="14"/>
  <c r="F50" i="14"/>
  <c r="E50" i="14"/>
  <c r="D50" i="14"/>
  <c r="C50" i="14"/>
  <c r="B50" i="14"/>
  <c r="H49" i="14"/>
  <c r="G49" i="14"/>
  <c r="F49" i="14"/>
  <c r="E49" i="14"/>
  <c r="D49" i="14"/>
  <c r="C49" i="14"/>
  <c r="B49" i="14"/>
  <c r="H48" i="14"/>
  <c r="G48" i="14"/>
  <c r="F48" i="14"/>
  <c r="E48" i="14"/>
  <c r="D48" i="14"/>
  <c r="C48" i="14"/>
  <c r="B48" i="14"/>
  <c r="H47" i="14"/>
  <c r="G47" i="14"/>
  <c r="F47" i="14"/>
  <c r="E47" i="14"/>
  <c r="D47" i="14"/>
  <c r="C47" i="14"/>
  <c r="B47" i="14"/>
  <c r="H46" i="14"/>
  <c r="G46" i="14"/>
  <c r="F46" i="14"/>
  <c r="E46" i="14"/>
  <c r="D46" i="14"/>
  <c r="C46" i="14"/>
  <c r="B46" i="14"/>
  <c r="H45" i="14"/>
  <c r="G45" i="14"/>
  <c r="F45" i="14"/>
  <c r="E45" i="14"/>
  <c r="D45" i="14"/>
  <c r="C45" i="14"/>
  <c r="B45" i="14"/>
  <c r="H44" i="14"/>
  <c r="G44" i="14"/>
  <c r="F44" i="14"/>
  <c r="E44" i="14"/>
  <c r="D44" i="14"/>
  <c r="C44" i="14"/>
  <c r="B44" i="14"/>
  <c r="H43" i="14"/>
  <c r="G43" i="14"/>
  <c r="F43" i="14"/>
  <c r="E43" i="14"/>
  <c r="D43" i="14"/>
  <c r="C43" i="14"/>
  <c r="B43" i="14"/>
  <c r="H42" i="14"/>
  <c r="G42" i="14"/>
  <c r="F42" i="14"/>
  <c r="E42" i="14"/>
  <c r="D42" i="14"/>
  <c r="C42" i="14"/>
  <c r="B42" i="14"/>
  <c r="H41" i="14"/>
  <c r="G41" i="14"/>
  <c r="F41" i="14"/>
  <c r="E41" i="14"/>
  <c r="D41" i="14"/>
  <c r="C41" i="14"/>
  <c r="B41" i="14"/>
  <c r="H40" i="14"/>
  <c r="G40" i="14"/>
  <c r="F40" i="14"/>
  <c r="E40" i="14"/>
  <c r="D40" i="14"/>
  <c r="C40" i="14"/>
  <c r="B40" i="14"/>
  <c r="H39" i="14"/>
  <c r="G39" i="14"/>
  <c r="F39" i="14"/>
  <c r="E39" i="14"/>
  <c r="D39" i="14"/>
  <c r="C39" i="14"/>
  <c r="B39" i="14"/>
  <c r="H38" i="14"/>
  <c r="G38" i="14"/>
  <c r="F38" i="14"/>
  <c r="E38" i="14"/>
  <c r="D38" i="14"/>
  <c r="C38" i="14"/>
  <c r="B38" i="14"/>
  <c r="H37" i="14"/>
  <c r="G37" i="14"/>
  <c r="F37" i="14"/>
  <c r="E37" i="14"/>
  <c r="D37" i="14"/>
  <c r="C37" i="14"/>
  <c r="B37" i="14"/>
  <c r="H36" i="14"/>
  <c r="G36" i="14"/>
  <c r="F36" i="14"/>
  <c r="E36" i="14"/>
  <c r="D36" i="14"/>
  <c r="C36" i="14"/>
  <c r="B36" i="14"/>
  <c r="H35" i="14"/>
  <c r="G35" i="14"/>
  <c r="F35" i="14"/>
  <c r="E35" i="14"/>
  <c r="D35" i="14"/>
  <c r="C35" i="14"/>
  <c r="B35" i="14"/>
  <c r="H34" i="14"/>
  <c r="G34" i="14"/>
  <c r="F34" i="14"/>
  <c r="E34" i="14"/>
  <c r="D34" i="14"/>
  <c r="C34" i="14"/>
  <c r="B34" i="14"/>
  <c r="H33" i="14"/>
  <c r="G33" i="14"/>
  <c r="F33" i="14"/>
  <c r="E33" i="14"/>
  <c r="D33" i="14"/>
  <c r="C33" i="14"/>
  <c r="B33" i="14"/>
  <c r="H32" i="14"/>
  <c r="G32" i="14"/>
  <c r="F32" i="14"/>
  <c r="E32" i="14"/>
  <c r="D32" i="14"/>
  <c r="C32" i="14"/>
  <c r="B32" i="14"/>
  <c r="H31" i="14"/>
  <c r="G31" i="14"/>
  <c r="F31" i="14"/>
  <c r="E31" i="14"/>
  <c r="D31" i="14"/>
  <c r="C31" i="14"/>
  <c r="B31" i="14"/>
  <c r="H30" i="14"/>
  <c r="G30" i="14"/>
  <c r="F30" i="14"/>
  <c r="E30" i="14"/>
  <c r="D30" i="14"/>
  <c r="C30" i="14"/>
  <c r="B30" i="14"/>
  <c r="H29" i="14"/>
  <c r="G29" i="14"/>
  <c r="F29" i="14"/>
  <c r="E29" i="14"/>
  <c r="D29" i="14"/>
  <c r="C29" i="14"/>
  <c r="B29" i="14"/>
  <c r="H28" i="14"/>
  <c r="G28" i="14"/>
  <c r="F28" i="14"/>
  <c r="E28" i="14"/>
  <c r="D28" i="14"/>
  <c r="C28" i="14"/>
  <c r="B28" i="14"/>
  <c r="H27" i="14"/>
  <c r="G27" i="14"/>
  <c r="F27" i="14"/>
  <c r="E27" i="14"/>
  <c r="D27" i="14"/>
  <c r="C27" i="14"/>
  <c r="B27" i="14"/>
  <c r="H26" i="14"/>
  <c r="G26" i="14"/>
  <c r="F26" i="14"/>
  <c r="E26" i="14"/>
  <c r="D26" i="14"/>
  <c r="C26" i="14"/>
  <c r="B26" i="14"/>
  <c r="H25" i="14"/>
  <c r="G25" i="14"/>
  <c r="F25" i="14"/>
  <c r="E25" i="14"/>
  <c r="D25" i="14"/>
  <c r="C25" i="14"/>
  <c r="B25" i="14"/>
  <c r="H24" i="14"/>
  <c r="G24" i="14"/>
  <c r="F24" i="14"/>
  <c r="E24" i="14"/>
  <c r="D24" i="14"/>
  <c r="C24" i="14"/>
  <c r="B24" i="14"/>
  <c r="H23" i="14"/>
  <c r="G23" i="14"/>
  <c r="F23" i="14"/>
  <c r="E23" i="14"/>
  <c r="D23" i="14"/>
  <c r="C23" i="14"/>
  <c r="B23" i="14"/>
  <c r="H22" i="14"/>
  <c r="G22" i="14"/>
  <c r="F22" i="14"/>
  <c r="E22" i="14"/>
  <c r="D22" i="14"/>
  <c r="C22" i="14"/>
  <c r="B22" i="14"/>
  <c r="H21" i="14"/>
  <c r="G21" i="14"/>
  <c r="F21" i="14"/>
  <c r="E21" i="14"/>
  <c r="D21" i="14"/>
  <c r="C21" i="14"/>
  <c r="B21" i="14"/>
  <c r="H20" i="14"/>
  <c r="G20" i="14"/>
  <c r="F20" i="14"/>
  <c r="E20" i="14"/>
  <c r="D20" i="14"/>
  <c r="C20" i="14"/>
  <c r="B20" i="14"/>
  <c r="H19" i="14"/>
  <c r="G19" i="14"/>
  <c r="F19" i="14"/>
  <c r="E19" i="14"/>
  <c r="D19" i="14"/>
  <c r="C19" i="14"/>
  <c r="B19" i="14"/>
  <c r="H18" i="14"/>
  <c r="G18" i="14"/>
  <c r="F18" i="14"/>
  <c r="E18" i="14"/>
  <c r="D18" i="14"/>
  <c r="C18" i="14"/>
  <c r="B18" i="14"/>
  <c r="H17" i="14"/>
  <c r="G17" i="14"/>
  <c r="F17" i="14"/>
  <c r="E17" i="14"/>
  <c r="D17" i="14"/>
  <c r="C17" i="14"/>
  <c r="B17" i="14"/>
  <c r="H16" i="14"/>
  <c r="G16" i="14"/>
  <c r="F16" i="14"/>
  <c r="E16" i="14"/>
  <c r="D16" i="14"/>
  <c r="C16" i="14"/>
  <c r="B16" i="14"/>
  <c r="H15" i="14"/>
  <c r="G15" i="14"/>
  <c r="F15" i="14"/>
  <c r="E15" i="14"/>
  <c r="D15" i="14"/>
  <c r="C15" i="14"/>
  <c r="B15" i="14"/>
  <c r="H14" i="14"/>
  <c r="G14" i="14"/>
  <c r="F14" i="14"/>
  <c r="E14" i="14"/>
  <c r="D14" i="14"/>
  <c r="C14" i="14"/>
  <c r="B14" i="14"/>
  <c r="H13" i="14"/>
  <c r="G13" i="14"/>
  <c r="F13" i="14"/>
  <c r="E13" i="14"/>
  <c r="D13" i="14"/>
  <c r="C13" i="14"/>
  <c r="B13" i="14"/>
  <c r="H12" i="14"/>
  <c r="G12" i="14"/>
  <c r="F12" i="14"/>
  <c r="E12" i="14"/>
  <c r="D12" i="14"/>
  <c r="C12" i="14"/>
  <c r="B12" i="14"/>
  <c r="H11" i="14"/>
  <c r="G11" i="14"/>
  <c r="F11" i="14"/>
  <c r="E11" i="14"/>
  <c r="D11" i="14"/>
  <c r="C11" i="14"/>
  <c r="B11" i="14"/>
  <c r="H10" i="14"/>
  <c r="G10" i="14"/>
  <c r="F10" i="14"/>
  <c r="E10" i="14"/>
  <c r="D10" i="14"/>
  <c r="C10" i="14"/>
  <c r="B10" i="14"/>
  <c r="H9" i="14"/>
  <c r="G9" i="14"/>
  <c r="F9" i="14"/>
  <c r="E9" i="14"/>
  <c r="D9" i="14"/>
  <c r="C9" i="14"/>
  <c r="B9" i="14"/>
  <c r="H8" i="14"/>
  <c r="G8" i="14"/>
  <c r="F8" i="14"/>
  <c r="E8" i="14"/>
  <c r="D8" i="14"/>
  <c r="C8" i="14"/>
  <c r="B8" i="14"/>
  <c r="H7" i="14"/>
  <c r="G7" i="14"/>
  <c r="F7" i="14"/>
  <c r="E7" i="14"/>
  <c r="D7" i="14"/>
  <c r="C7" i="14"/>
  <c r="B7" i="14"/>
  <c r="H6" i="14"/>
  <c r="G6" i="14"/>
  <c r="F6" i="14"/>
  <c r="E6" i="14"/>
  <c r="D6" i="14"/>
  <c r="C6" i="14"/>
  <c r="B6" i="14"/>
  <c r="E1" i="14"/>
  <c r="L155" i="13"/>
  <c r="K155" i="13"/>
  <c r="J155" i="13"/>
  <c r="I155" i="13"/>
  <c r="H155" i="13"/>
  <c r="G155" i="13"/>
  <c r="F155" i="13"/>
  <c r="E155" i="13"/>
  <c r="D155" i="13"/>
  <c r="C155" i="13"/>
  <c r="B155" i="13"/>
  <c r="L154" i="13"/>
  <c r="K154" i="13"/>
  <c r="J154" i="13"/>
  <c r="I154" i="13"/>
  <c r="H154" i="13"/>
  <c r="G154" i="13"/>
  <c r="F154" i="13"/>
  <c r="E154" i="13"/>
  <c r="D154" i="13"/>
  <c r="C154" i="13"/>
  <c r="B154" i="13"/>
  <c r="L153" i="13"/>
  <c r="K153" i="13"/>
  <c r="J153" i="13"/>
  <c r="I153" i="13"/>
  <c r="H153" i="13"/>
  <c r="G153" i="13"/>
  <c r="F153" i="13"/>
  <c r="E153" i="13"/>
  <c r="D153" i="13"/>
  <c r="C153" i="13"/>
  <c r="B153" i="13"/>
  <c r="L152" i="13"/>
  <c r="K152" i="13"/>
  <c r="J152" i="13"/>
  <c r="I152" i="13"/>
  <c r="H152" i="13"/>
  <c r="G152" i="13"/>
  <c r="F152" i="13"/>
  <c r="E152" i="13"/>
  <c r="D152" i="13"/>
  <c r="C152" i="13"/>
  <c r="B152" i="13"/>
  <c r="L151" i="13"/>
  <c r="K151" i="13"/>
  <c r="J151" i="13"/>
  <c r="I151" i="13"/>
  <c r="H151" i="13"/>
  <c r="G151" i="13"/>
  <c r="F151" i="13"/>
  <c r="E151" i="13"/>
  <c r="D151" i="13"/>
  <c r="C151" i="13"/>
  <c r="B151" i="13"/>
  <c r="L150" i="13"/>
  <c r="K150" i="13"/>
  <c r="J150" i="13"/>
  <c r="I150" i="13"/>
  <c r="H150" i="13"/>
  <c r="G150" i="13"/>
  <c r="F150" i="13"/>
  <c r="E150" i="13"/>
  <c r="D150" i="13"/>
  <c r="C150" i="13"/>
  <c r="B150" i="13"/>
  <c r="L149" i="13"/>
  <c r="K149" i="13"/>
  <c r="J149" i="13"/>
  <c r="I149" i="13"/>
  <c r="H149" i="13"/>
  <c r="G149" i="13"/>
  <c r="F149" i="13"/>
  <c r="E149" i="13"/>
  <c r="D149" i="13"/>
  <c r="C149" i="13"/>
  <c r="B149" i="13"/>
  <c r="L148" i="13"/>
  <c r="K148" i="13"/>
  <c r="J148" i="13"/>
  <c r="I148" i="13"/>
  <c r="H148" i="13"/>
  <c r="G148" i="13"/>
  <c r="F148" i="13"/>
  <c r="E148" i="13"/>
  <c r="D148" i="13"/>
  <c r="C148" i="13"/>
  <c r="B148" i="13"/>
  <c r="L147" i="13"/>
  <c r="K147" i="13"/>
  <c r="J147" i="13"/>
  <c r="I147" i="13"/>
  <c r="H147" i="13"/>
  <c r="G147" i="13"/>
  <c r="F147" i="13"/>
  <c r="E147" i="13"/>
  <c r="D147" i="13"/>
  <c r="C147" i="13"/>
  <c r="B147" i="13"/>
  <c r="L146" i="13"/>
  <c r="K146" i="13"/>
  <c r="J146" i="13"/>
  <c r="I146" i="13"/>
  <c r="H146" i="13"/>
  <c r="G146" i="13"/>
  <c r="F146" i="13"/>
  <c r="E146" i="13"/>
  <c r="D146" i="13"/>
  <c r="C146" i="13"/>
  <c r="B146" i="13"/>
  <c r="L145" i="13"/>
  <c r="K145" i="13"/>
  <c r="J145" i="13"/>
  <c r="I145" i="13"/>
  <c r="H145" i="13"/>
  <c r="G145" i="13"/>
  <c r="F145" i="13"/>
  <c r="E145" i="13"/>
  <c r="D145" i="13"/>
  <c r="C145" i="13"/>
  <c r="B145" i="13"/>
  <c r="L144" i="13"/>
  <c r="K144" i="13"/>
  <c r="J144" i="13"/>
  <c r="I144" i="13"/>
  <c r="H144" i="13"/>
  <c r="G144" i="13"/>
  <c r="F144" i="13"/>
  <c r="E144" i="13"/>
  <c r="D144" i="13"/>
  <c r="C144" i="13"/>
  <c r="B144" i="13"/>
  <c r="L143" i="13"/>
  <c r="K143" i="13"/>
  <c r="J143" i="13"/>
  <c r="I143" i="13"/>
  <c r="H143" i="13"/>
  <c r="G143" i="13"/>
  <c r="F143" i="13"/>
  <c r="E143" i="13"/>
  <c r="D143" i="13"/>
  <c r="C143" i="13"/>
  <c r="B143" i="13"/>
  <c r="L142" i="13"/>
  <c r="K142" i="13"/>
  <c r="J142" i="13"/>
  <c r="I142" i="13"/>
  <c r="H142" i="13"/>
  <c r="G142" i="13"/>
  <c r="F142" i="13"/>
  <c r="E142" i="13"/>
  <c r="D142" i="13"/>
  <c r="C142" i="13"/>
  <c r="B142" i="13"/>
  <c r="L141" i="13"/>
  <c r="K141" i="13"/>
  <c r="J141" i="13"/>
  <c r="I141" i="13"/>
  <c r="H141" i="13"/>
  <c r="G141" i="13"/>
  <c r="F141" i="13"/>
  <c r="E141" i="13"/>
  <c r="D141" i="13"/>
  <c r="C141" i="13"/>
  <c r="B141" i="13"/>
  <c r="L140" i="13"/>
  <c r="K140" i="13"/>
  <c r="J140" i="13"/>
  <c r="I140" i="13"/>
  <c r="H140" i="13"/>
  <c r="G140" i="13"/>
  <c r="F140" i="13"/>
  <c r="E140" i="13"/>
  <c r="D140" i="13"/>
  <c r="C140" i="13"/>
  <c r="B140" i="13"/>
  <c r="L139" i="13"/>
  <c r="K139" i="13"/>
  <c r="J139" i="13"/>
  <c r="I139" i="13"/>
  <c r="H139" i="13"/>
  <c r="G139" i="13"/>
  <c r="F139" i="13"/>
  <c r="E139" i="13"/>
  <c r="D139" i="13"/>
  <c r="C139" i="13"/>
  <c r="B139" i="13"/>
  <c r="L138" i="13"/>
  <c r="K138" i="13"/>
  <c r="J138" i="13"/>
  <c r="I138" i="13"/>
  <c r="H138" i="13"/>
  <c r="G138" i="13"/>
  <c r="F138" i="13"/>
  <c r="E138" i="13"/>
  <c r="D138" i="13"/>
  <c r="C138" i="13"/>
  <c r="B138" i="13"/>
  <c r="L137" i="13"/>
  <c r="K137" i="13"/>
  <c r="J137" i="13"/>
  <c r="I137" i="13"/>
  <c r="H137" i="13"/>
  <c r="G137" i="13"/>
  <c r="F137" i="13"/>
  <c r="E137" i="13"/>
  <c r="D137" i="13"/>
  <c r="C137" i="13"/>
  <c r="B137" i="13"/>
  <c r="L136" i="13"/>
  <c r="K136" i="13"/>
  <c r="J136" i="13"/>
  <c r="I136" i="13"/>
  <c r="H136" i="13"/>
  <c r="G136" i="13"/>
  <c r="F136" i="13"/>
  <c r="E136" i="13"/>
  <c r="D136" i="13"/>
  <c r="C136" i="13"/>
  <c r="B136" i="13"/>
  <c r="L135" i="13"/>
  <c r="K135" i="13"/>
  <c r="J135" i="13"/>
  <c r="I135" i="13"/>
  <c r="H135" i="13"/>
  <c r="G135" i="13"/>
  <c r="F135" i="13"/>
  <c r="E135" i="13"/>
  <c r="D135" i="13"/>
  <c r="C135" i="13"/>
  <c r="B135" i="13"/>
  <c r="L134" i="13"/>
  <c r="K134" i="13"/>
  <c r="J134" i="13"/>
  <c r="I134" i="13"/>
  <c r="H134" i="13"/>
  <c r="G134" i="13"/>
  <c r="F134" i="13"/>
  <c r="E134" i="13"/>
  <c r="D134" i="13"/>
  <c r="C134" i="13"/>
  <c r="B134" i="13"/>
  <c r="L133" i="13"/>
  <c r="K133" i="13"/>
  <c r="J133" i="13"/>
  <c r="I133" i="13"/>
  <c r="H133" i="13"/>
  <c r="G133" i="13"/>
  <c r="F133" i="13"/>
  <c r="E133" i="13"/>
  <c r="D133" i="13"/>
  <c r="C133" i="13"/>
  <c r="B133" i="13"/>
  <c r="L132" i="13"/>
  <c r="K132" i="13"/>
  <c r="J132" i="13"/>
  <c r="I132" i="13"/>
  <c r="H132" i="13"/>
  <c r="G132" i="13"/>
  <c r="F132" i="13"/>
  <c r="E132" i="13"/>
  <c r="D132" i="13"/>
  <c r="C132" i="13"/>
  <c r="B132" i="13"/>
  <c r="L131" i="13"/>
  <c r="K131" i="13"/>
  <c r="J131" i="13"/>
  <c r="I131" i="13"/>
  <c r="H131" i="13"/>
  <c r="G131" i="13"/>
  <c r="F131" i="13"/>
  <c r="E131" i="13"/>
  <c r="D131" i="13"/>
  <c r="C131" i="13"/>
  <c r="B131" i="13"/>
  <c r="L130" i="13"/>
  <c r="K130" i="13"/>
  <c r="J130" i="13"/>
  <c r="I130" i="13"/>
  <c r="H130" i="13"/>
  <c r="G130" i="13"/>
  <c r="F130" i="13"/>
  <c r="E130" i="13"/>
  <c r="D130" i="13"/>
  <c r="C130" i="13"/>
  <c r="B130" i="13"/>
  <c r="L129" i="13"/>
  <c r="K129" i="13"/>
  <c r="J129" i="13"/>
  <c r="I129" i="13"/>
  <c r="H129" i="13"/>
  <c r="G129" i="13"/>
  <c r="F129" i="13"/>
  <c r="E129" i="13"/>
  <c r="D129" i="13"/>
  <c r="C129" i="13"/>
  <c r="B129" i="13"/>
  <c r="L128" i="13"/>
  <c r="K128" i="13"/>
  <c r="J128" i="13"/>
  <c r="I128" i="13"/>
  <c r="H128" i="13"/>
  <c r="G128" i="13"/>
  <c r="F128" i="13"/>
  <c r="E128" i="13"/>
  <c r="D128" i="13"/>
  <c r="C128" i="13"/>
  <c r="B128" i="13"/>
  <c r="L127" i="13"/>
  <c r="K127" i="13"/>
  <c r="J127" i="13"/>
  <c r="I127" i="13"/>
  <c r="H127" i="13"/>
  <c r="G127" i="13"/>
  <c r="F127" i="13"/>
  <c r="E127" i="13"/>
  <c r="D127" i="13"/>
  <c r="C127" i="13"/>
  <c r="B127" i="13"/>
  <c r="L126" i="13"/>
  <c r="K126" i="13"/>
  <c r="J126" i="13"/>
  <c r="I126" i="13"/>
  <c r="H126" i="13"/>
  <c r="G126" i="13"/>
  <c r="F126" i="13"/>
  <c r="E126" i="13"/>
  <c r="D126" i="13"/>
  <c r="C126" i="13"/>
  <c r="B126" i="13"/>
  <c r="L125" i="13"/>
  <c r="K125" i="13"/>
  <c r="J125" i="13"/>
  <c r="I125" i="13"/>
  <c r="H125" i="13"/>
  <c r="G125" i="13"/>
  <c r="F125" i="13"/>
  <c r="E125" i="13"/>
  <c r="D125" i="13"/>
  <c r="C125" i="13"/>
  <c r="B125" i="13"/>
  <c r="L124" i="13"/>
  <c r="K124" i="13"/>
  <c r="J124" i="13"/>
  <c r="I124" i="13"/>
  <c r="H124" i="13"/>
  <c r="G124" i="13"/>
  <c r="F124" i="13"/>
  <c r="E124" i="13"/>
  <c r="D124" i="13"/>
  <c r="C124" i="13"/>
  <c r="B124" i="13"/>
  <c r="L123" i="13"/>
  <c r="K123" i="13"/>
  <c r="J123" i="13"/>
  <c r="I123" i="13"/>
  <c r="H123" i="13"/>
  <c r="G123" i="13"/>
  <c r="F123" i="13"/>
  <c r="E123" i="13"/>
  <c r="D123" i="13"/>
  <c r="C123" i="13"/>
  <c r="B123" i="13"/>
  <c r="L122" i="13"/>
  <c r="K122" i="13"/>
  <c r="J122" i="13"/>
  <c r="I122" i="13"/>
  <c r="H122" i="13"/>
  <c r="G122" i="13"/>
  <c r="F122" i="13"/>
  <c r="E122" i="13"/>
  <c r="D122" i="13"/>
  <c r="C122" i="13"/>
  <c r="B122" i="13"/>
  <c r="L121" i="13"/>
  <c r="K121" i="13"/>
  <c r="J121" i="13"/>
  <c r="I121" i="13"/>
  <c r="H121" i="13"/>
  <c r="G121" i="13"/>
  <c r="F121" i="13"/>
  <c r="E121" i="13"/>
  <c r="D121" i="13"/>
  <c r="C121" i="13"/>
  <c r="B121" i="13"/>
  <c r="L120" i="13"/>
  <c r="K120" i="13"/>
  <c r="J120" i="13"/>
  <c r="I120" i="13"/>
  <c r="H120" i="13"/>
  <c r="G120" i="13"/>
  <c r="F120" i="13"/>
  <c r="E120" i="13"/>
  <c r="D120" i="13"/>
  <c r="C120" i="13"/>
  <c r="B120" i="13"/>
  <c r="L119" i="13"/>
  <c r="K119" i="13"/>
  <c r="J119" i="13"/>
  <c r="I119" i="13"/>
  <c r="H119" i="13"/>
  <c r="G119" i="13"/>
  <c r="F119" i="13"/>
  <c r="E119" i="13"/>
  <c r="D119" i="13"/>
  <c r="C119" i="13"/>
  <c r="B119" i="13"/>
  <c r="L118" i="13"/>
  <c r="K118" i="13"/>
  <c r="J118" i="13"/>
  <c r="I118" i="13"/>
  <c r="H118" i="13"/>
  <c r="G118" i="13"/>
  <c r="F118" i="13"/>
  <c r="E118" i="13"/>
  <c r="D118" i="13"/>
  <c r="C118" i="13"/>
  <c r="B118" i="13"/>
  <c r="L117" i="13"/>
  <c r="K117" i="13"/>
  <c r="J117" i="13"/>
  <c r="I117" i="13"/>
  <c r="H117" i="13"/>
  <c r="G117" i="13"/>
  <c r="F117" i="13"/>
  <c r="E117" i="13"/>
  <c r="D117" i="13"/>
  <c r="C117" i="13"/>
  <c r="B117" i="13"/>
  <c r="L116" i="13"/>
  <c r="K116" i="13"/>
  <c r="J116" i="13"/>
  <c r="I116" i="13"/>
  <c r="H116" i="13"/>
  <c r="G116" i="13"/>
  <c r="F116" i="13"/>
  <c r="E116" i="13"/>
  <c r="D116" i="13"/>
  <c r="C116" i="13"/>
  <c r="B116" i="13"/>
  <c r="L115" i="13"/>
  <c r="K115" i="13"/>
  <c r="J115" i="13"/>
  <c r="I115" i="13"/>
  <c r="H115" i="13"/>
  <c r="G115" i="13"/>
  <c r="F115" i="13"/>
  <c r="E115" i="13"/>
  <c r="D115" i="13"/>
  <c r="C115" i="13"/>
  <c r="B115" i="13"/>
  <c r="L114" i="13"/>
  <c r="K114" i="13"/>
  <c r="J114" i="13"/>
  <c r="I114" i="13"/>
  <c r="H114" i="13"/>
  <c r="G114" i="13"/>
  <c r="F114" i="13"/>
  <c r="E114" i="13"/>
  <c r="D114" i="13"/>
  <c r="C114" i="13"/>
  <c r="B114" i="13"/>
  <c r="L113" i="13"/>
  <c r="K113" i="13"/>
  <c r="J113" i="13"/>
  <c r="I113" i="13"/>
  <c r="H113" i="13"/>
  <c r="G113" i="13"/>
  <c r="F113" i="13"/>
  <c r="E113" i="13"/>
  <c r="D113" i="13"/>
  <c r="C113" i="13"/>
  <c r="B113" i="13"/>
  <c r="L112" i="13"/>
  <c r="K112" i="13"/>
  <c r="J112" i="13"/>
  <c r="I112" i="13"/>
  <c r="H112" i="13"/>
  <c r="G112" i="13"/>
  <c r="F112" i="13"/>
  <c r="E112" i="13"/>
  <c r="D112" i="13"/>
  <c r="C112" i="13"/>
  <c r="B112" i="13"/>
  <c r="L111" i="13"/>
  <c r="K111" i="13"/>
  <c r="J111" i="13"/>
  <c r="I111" i="13"/>
  <c r="H111" i="13"/>
  <c r="G111" i="13"/>
  <c r="F111" i="13"/>
  <c r="E111" i="13"/>
  <c r="D111" i="13"/>
  <c r="C111" i="13"/>
  <c r="B111" i="13"/>
  <c r="L110" i="13"/>
  <c r="K110" i="13"/>
  <c r="J110" i="13"/>
  <c r="I110" i="13"/>
  <c r="H110" i="13"/>
  <c r="G110" i="13"/>
  <c r="F110" i="13"/>
  <c r="E110" i="13"/>
  <c r="D110" i="13"/>
  <c r="C110" i="13"/>
  <c r="B110" i="13"/>
  <c r="L109" i="13"/>
  <c r="K109" i="13"/>
  <c r="J109" i="13"/>
  <c r="I109" i="13"/>
  <c r="H109" i="13"/>
  <c r="G109" i="13"/>
  <c r="F109" i="13"/>
  <c r="E109" i="13"/>
  <c r="D109" i="13"/>
  <c r="C109" i="13"/>
  <c r="B109" i="13"/>
  <c r="L108" i="13"/>
  <c r="K108" i="13"/>
  <c r="J108" i="13"/>
  <c r="I108" i="13"/>
  <c r="H108" i="13"/>
  <c r="G108" i="13"/>
  <c r="F108" i="13"/>
  <c r="E108" i="13"/>
  <c r="D108" i="13"/>
  <c r="C108" i="13"/>
  <c r="B108" i="13"/>
  <c r="L107" i="13"/>
  <c r="K107" i="13"/>
  <c r="J107" i="13"/>
  <c r="I107" i="13"/>
  <c r="H107" i="13"/>
  <c r="G107" i="13"/>
  <c r="F107" i="13"/>
  <c r="E107" i="13"/>
  <c r="D107" i="13"/>
  <c r="C107" i="13"/>
  <c r="B107" i="13"/>
  <c r="L106" i="13"/>
  <c r="K106" i="13"/>
  <c r="J106" i="13"/>
  <c r="I106" i="13"/>
  <c r="H106" i="13"/>
  <c r="G106" i="13"/>
  <c r="F106" i="13"/>
  <c r="E106" i="13"/>
  <c r="D106" i="13"/>
  <c r="C106" i="13"/>
  <c r="B106" i="13"/>
  <c r="L105" i="13"/>
  <c r="K105" i="13"/>
  <c r="J105" i="13"/>
  <c r="I105" i="13"/>
  <c r="H105" i="13"/>
  <c r="G105" i="13"/>
  <c r="F105" i="13"/>
  <c r="E105" i="13"/>
  <c r="D105" i="13"/>
  <c r="C105" i="13"/>
  <c r="B105" i="13"/>
  <c r="L104" i="13"/>
  <c r="K104" i="13"/>
  <c r="J104" i="13"/>
  <c r="I104" i="13"/>
  <c r="H104" i="13"/>
  <c r="G104" i="13"/>
  <c r="F104" i="13"/>
  <c r="E104" i="13"/>
  <c r="D104" i="13"/>
  <c r="C104" i="13"/>
  <c r="B104" i="13"/>
  <c r="L103" i="13"/>
  <c r="K103" i="13"/>
  <c r="J103" i="13"/>
  <c r="I103" i="13"/>
  <c r="H103" i="13"/>
  <c r="G103" i="13"/>
  <c r="F103" i="13"/>
  <c r="E103" i="13"/>
  <c r="D103" i="13"/>
  <c r="C103" i="13"/>
  <c r="B103" i="13"/>
  <c r="L102" i="13"/>
  <c r="K102" i="13"/>
  <c r="J102" i="13"/>
  <c r="I102" i="13"/>
  <c r="H102" i="13"/>
  <c r="G102" i="13"/>
  <c r="F102" i="13"/>
  <c r="E102" i="13"/>
  <c r="D102" i="13"/>
  <c r="C102" i="13"/>
  <c r="B102" i="13"/>
  <c r="L101" i="13"/>
  <c r="K101" i="13"/>
  <c r="J101" i="13"/>
  <c r="I101" i="13"/>
  <c r="H101" i="13"/>
  <c r="G101" i="13"/>
  <c r="F101" i="13"/>
  <c r="E101" i="13"/>
  <c r="D101" i="13"/>
  <c r="C101" i="13"/>
  <c r="B101" i="13"/>
  <c r="L100" i="13"/>
  <c r="K100" i="13"/>
  <c r="J100" i="13"/>
  <c r="I100" i="13"/>
  <c r="H100" i="13"/>
  <c r="G100" i="13"/>
  <c r="F100" i="13"/>
  <c r="E100" i="13"/>
  <c r="D100" i="13"/>
  <c r="C100" i="13"/>
  <c r="B100" i="13"/>
  <c r="L99" i="13"/>
  <c r="K99" i="13"/>
  <c r="J99" i="13"/>
  <c r="I99" i="13"/>
  <c r="H99" i="13"/>
  <c r="G99" i="13"/>
  <c r="F99" i="13"/>
  <c r="E99" i="13"/>
  <c r="D99" i="13"/>
  <c r="C99" i="13"/>
  <c r="B99" i="13"/>
  <c r="L98" i="13"/>
  <c r="K98" i="13"/>
  <c r="J98" i="13"/>
  <c r="I98" i="13"/>
  <c r="H98" i="13"/>
  <c r="G98" i="13"/>
  <c r="F98" i="13"/>
  <c r="E98" i="13"/>
  <c r="D98" i="13"/>
  <c r="C98" i="13"/>
  <c r="B98" i="13"/>
  <c r="L97" i="13"/>
  <c r="K97" i="13"/>
  <c r="J97" i="13"/>
  <c r="I97" i="13"/>
  <c r="H97" i="13"/>
  <c r="G97" i="13"/>
  <c r="F97" i="13"/>
  <c r="E97" i="13"/>
  <c r="D97" i="13"/>
  <c r="C97" i="13"/>
  <c r="B97" i="13"/>
  <c r="L96" i="13"/>
  <c r="K96" i="13"/>
  <c r="J96" i="13"/>
  <c r="I96" i="13"/>
  <c r="H96" i="13"/>
  <c r="G96" i="13"/>
  <c r="F96" i="13"/>
  <c r="E96" i="13"/>
  <c r="D96" i="13"/>
  <c r="C96" i="13"/>
  <c r="B96" i="13"/>
  <c r="L95" i="13"/>
  <c r="K95" i="13"/>
  <c r="J95" i="13"/>
  <c r="I95" i="13"/>
  <c r="H95" i="13"/>
  <c r="G95" i="13"/>
  <c r="F95" i="13"/>
  <c r="E95" i="13"/>
  <c r="D95" i="13"/>
  <c r="C95" i="13"/>
  <c r="B95" i="13"/>
  <c r="L94" i="13"/>
  <c r="K94" i="13"/>
  <c r="J94" i="13"/>
  <c r="I94" i="13"/>
  <c r="H94" i="13"/>
  <c r="G94" i="13"/>
  <c r="F94" i="13"/>
  <c r="E94" i="13"/>
  <c r="D94" i="13"/>
  <c r="C94" i="13"/>
  <c r="B94" i="13"/>
  <c r="L93" i="13"/>
  <c r="K93" i="13"/>
  <c r="J93" i="13"/>
  <c r="I93" i="13"/>
  <c r="H93" i="13"/>
  <c r="G93" i="13"/>
  <c r="F93" i="13"/>
  <c r="E93" i="13"/>
  <c r="D93" i="13"/>
  <c r="C93" i="13"/>
  <c r="B93" i="13"/>
  <c r="L92" i="13"/>
  <c r="K92" i="13"/>
  <c r="J92" i="13"/>
  <c r="I92" i="13"/>
  <c r="H92" i="13"/>
  <c r="G92" i="13"/>
  <c r="F92" i="13"/>
  <c r="E92" i="13"/>
  <c r="D92" i="13"/>
  <c r="C92" i="13"/>
  <c r="B92" i="13"/>
  <c r="L91" i="13"/>
  <c r="K91" i="13"/>
  <c r="J91" i="13"/>
  <c r="I91" i="13"/>
  <c r="H91" i="13"/>
  <c r="G91" i="13"/>
  <c r="F91" i="13"/>
  <c r="E91" i="13"/>
  <c r="D91" i="13"/>
  <c r="C91" i="13"/>
  <c r="B91" i="13"/>
  <c r="L90" i="13"/>
  <c r="K90" i="13"/>
  <c r="J90" i="13"/>
  <c r="I90" i="13"/>
  <c r="H90" i="13"/>
  <c r="G90" i="13"/>
  <c r="F90" i="13"/>
  <c r="E90" i="13"/>
  <c r="D90" i="13"/>
  <c r="C90" i="13"/>
  <c r="B90" i="13"/>
  <c r="L89" i="13"/>
  <c r="K89" i="13"/>
  <c r="J89" i="13"/>
  <c r="I89" i="13"/>
  <c r="H89" i="13"/>
  <c r="G89" i="13"/>
  <c r="F89" i="13"/>
  <c r="E89" i="13"/>
  <c r="D89" i="13"/>
  <c r="C89" i="13"/>
  <c r="B89" i="13"/>
  <c r="L88" i="13"/>
  <c r="K88" i="13"/>
  <c r="J88" i="13"/>
  <c r="I88" i="13"/>
  <c r="H88" i="13"/>
  <c r="G88" i="13"/>
  <c r="F88" i="13"/>
  <c r="E88" i="13"/>
  <c r="D88" i="13"/>
  <c r="C88" i="13"/>
  <c r="B88" i="13"/>
  <c r="L87" i="13"/>
  <c r="K87" i="13"/>
  <c r="J87" i="13"/>
  <c r="I87" i="13"/>
  <c r="H87" i="13"/>
  <c r="G87" i="13"/>
  <c r="F87" i="13"/>
  <c r="E87" i="13"/>
  <c r="D87" i="13"/>
  <c r="C87" i="13"/>
  <c r="B87" i="13"/>
  <c r="L86" i="13"/>
  <c r="K86" i="13"/>
  <c r="J86" i="13"/>
  <c r="I86" i="13"/>
  <c r="H86" i="13"/>
  <c r="G86" i="13"/>
  <c r="F86" i="13"/>
  <c r="E86" i="13"/>
  <c r="D86" i="13"/>
  <c r="C86" i="13"/>
  <c r="B86" i="13"/>
  <c r="L85" i="13"/>
  <c r="K85" i="13"/>
  <c r="J85" i="13"/>
  <c r="I85" i="13"/>
  <c r="H85" i="13"/>
  <c r="G85" i="13"/>
  <c r="F85" i="13"/>
  <c r="E85" i="13"/>
  <c r="D85" i="13"/>
  <c r="C85" i="13"/>
  <c r="B85" i="13"/>
  <c r="L84" i="13"/>
  <c r="K84" i="13"/>
  <c r="J84" i="13"/>
  <c r="I84" i="13"/>
  <c r="H84" i="13"/>
  <c r="G84" i="13"/>
  <c r="F84" i="13"/>
  <c r="E84" i="13"/>
  <c r="D84" i="13"/>
  <c r="C84" i="13"/>
  <c r="B84" i="13"/>
  <c r="L83" i="13"/>
  <c r="K83" i="13"/>
  <c r="J83" i="13"/>
  <c r="I83" i="13"/>
  <c r="H83" i="13"/>
  <c r="G83" i="13"/>
  <c r="F83" i="13"/>
  <c r="E83" i="13"/>
  <c r="D83" i="13"/>
  <c r="C83" i="13"/>
  <c r="B83" i="13"/>
  <c r="L82" i="13"/>
  <c r="K82" i="13"/>
  <c r="J82" i="13"/>
  <c r="I82" i="13"/>
  <c r="H82" i="13"/>
  <c r="G82" i="13"/>
  <c r="F82" i="13"/>
  <c r="E82" i="13"/>
  <c r="D82" i="13"/>
  <c r="C82" i="13"/>
  <c r="B82" i="13"/>
  <c r="L81" i="13"/>
  <c r="K81" i="13"/>
  <c r="J81" i="13"/>
  <c r="I81" i="13"/>
  <c r="H81" i="13"/>
  <c r="G81" i="13"/>
  <c r="F81" i="13"/>
  <c r="E81" i="13"/>
  <c r="D81" i="13"/>
  <c r="C81" i="13"/>
  <c r="B81" i="13"/>
  <c r="L80" i="13"/>
  <c r="K80" i="13"/>
  <c r="J80" i="13"/>
  <c r="I80" i="13"/>
  <c r="H80" i="13"/>
  <c r="G80" i="13"/>
  <c r="F80" i="13"/>
  <c r="E80" i="13"/>
  <c r="D80" i="13"/>
  <c r="C80" i="13"/>
  <c r="B80" i="13"/>
  <c r="L79" i="13"/>
  <c r="K79" i="13"/>
  <c r="J79" i="13"/>
  <c r="I79" i="13"/>
  <c r="H79" i="13"/>
  <c r="G79" i="13"/>
  <c r="F79" i="13"/>
  <c r="E79" i="13"/>
  <c r="D79" i="13"/>
  <c r="C79" i="13"/>
  <c r="B79" i="13"/>
  <c r="L78" i="13"/>
  <c r="K78" i="13"/>
  <c r="J78" i="13"/>
  <c r="I78" i="13"/>
  <c r="H78" i="13"/>
  <c r="G78" i="13"/>
  <c r="F78" i="13"/>
  <c r="E78" i="13"/>
  <c r="D78" i="13"/>
  <c r="C78" i="13"/>
  <c r="B78" i="13"/>
  <c r="L77" i="13"/>
  <c r="K77" i="13"/>
  <c r="J77" i="13"/>
  <c r="I77" i="13"/>
  <c r="H77" i="13"/>
  <c r="G77" i="13"/>
  <c r="F77" i="13"/>
  <c r="E77" i="13"/>
  <c r="D77" i="13"/>
  <c r="C77" i="13"/>
  <c r="B77" i="13"/>
  <c r="L76" i="13"/>
  <c r="K76" i="13"/>
  <c r="J76" i="13"/>
  <c r="I76" i="13"/>
  <c r="H76" i="13"/>
  <c r="G76" i="13"/>
  <c r="F76" i="13"/>
  <c r="E76" i="13"/>
  <c r="D76" i="13"/>
  <c r="C76" i="13"/>
  <c r="B76" i="13"/>
  <c r="L75" i="13"/>
  <c r="K75" i="13"/>
  <c r="J75" i="13"/>
  <c r="I75" i="13"/>
  <c r="H75" i="13"/>
  <c r="G75" i="13"/>
  <c r="F75" i="13"/>
  <c r="E75" i="13"/>
  <c r="D75" i="13"/>
  <c r="C75" i="13"/>
  <c r="B75" i="13"/>
  <c r="L74" i="13"/>
  <c r="K74" i="13"/>
  <c r="J74" i="13"/>
  <c r="I74" i="13"/>
  <c r="H74" i="13"/>
  <c r="G74" i="13"/>
  <c r="F74" i="13"/>
  <c r="E74" i="13"/>
  <c r="D74" i="13"/>
  <c r="C74" i="13"/>
  <c r="B74" i="13"/>
  <c r="L73" i="13"/>
  <c r="K73" i="13"/>
  <c r="J73" i="13"/>
  <c r="I73" i="13"/>
  <c r="H73" i="13"/>
  <c r="G73" i="13"/>
  <c r="F73" i="13"/>
  <c r="E73" i="13"/>
  <c r="D73" i="13"/>
  <c r="C73" i="13"/>
  <c r="B73" i="13"/>
  <c r="L72" i="13"/>
  <c r="K72" i="13"/>
  <c r="J72" i="13"/>
  <c r="I72" i="13"/>
  <c r="H72" i="13"/>
  <c r="G72" i="13"/>
  <c r="F72" i="13"/>
  <c r="E72" i="13"/>
  <c r="D72" i="13"/>
  <c r="C72" i="13"/>
  <c r="B72" i="13"/>
  <c r="L71" i="13"/>
  <c r="K71" i="13"/>
  <c r="J71" i="13"/>
  <c r="I71" i="13"/>
  <c r="H71" i="13"/>
  <c r="G71" i="13"/>
  <c r="F71" i="13"/>
  <c r="E71" i="13"/>
  <c r="D71" i="13"/>
  <c r="C71" i="13"/>
  <c r="B71" i="13"/>
  <c r="L70" i="13"/>
  <c r="K70" i="13"/>
  <c r="J70" i="13"/>
  <c r="I70" i="13"/>
  <c r="H70" i="13"/>
  <c r="G70" i="13"/>
  <c r="F70" i="13"/>
  <c r="E70" i="13"/>
  <c r="D70" i="13"/>
  <c r="C70" i="13"/>
  <c r="B70" i="13"/>
  <c r="L69" i="13"/>
  <c r="K69" i="13"/>
  <c r="J69" i="13"/>
  <c r="I69" i="13"/>
  <c r="H69" i="13"/>
  <c r="G69" i="13"/>
  <c r="F69" i="13"/>
  <c r="E69" i="13"/>
  <c r="D69" i="13"/>
  <c r="C69" i="13"/>
  <c r="B69" i="13"/>
  <c r="L68" i="13"/>
  <c r="K68" i="13"/>
  <c r="J68" i="13"/>
  <c r="I68" i="13"/>
  <c r="H68" i="13"/>
  <c r="G68" i="13"/>
  <c r="F68" i="13"/>
  <c r="E68" i="13"/>
  <c r="D68" i="13"/>
  <c r="C68" i="13"/>
  <c r="B68" i="13"/>
  <c r="L67" i="13"/>
  <c r="K67" i="13"/>
  <c r="J67" i="13"/>
  <c r="I67" i="13"/>
  <c r="H67" i="13"/>
  <c r="G67" i="13"/>
  <c r="F67" i="13"/>
  <c r="E67" i="13"/>
  <c r="D67" i="13"/>
  <c r="C67" i="13"/>
  <c r="B67" i="13"/>
  <c r="L66" i="13"/>
  <c r="K66" i="13"/>
  <c r="J66" i="13"/>
  <c r="I66" i="13"/>
  <c r="H66" i="13"/>
  <c r="G66" i="13"/>
  <c r="F66" i="13"/>
  <c r="E66" i="13"/>
  <c r="D66" i="13"/>
  <c r="C66" i="13"/>
  <c r="B66" i="13"/>
  <c r="L65" i="13"/>
  <c r="K65" i="13"/>
  <c r="J65" i="13"/>
  <c r="I65" i="13"/>
  <c r="H65" i="13"/>
  <c r="G65" i="13"/>
  <c r="F65" i="13"/>
  <c r="E65" i="13"/>
  <c r="D65" i="13"/>
  <c r="C65" i="13"/>
  <c r="B65" i="13"/>
  <c r="L64" i="13"/>
  <c r="K64" i="13"/>
  <c r="J64" i="13"/>
  <c r="I64" i="13"/>
  <c r="H64" i="13"/>
  <c r="G64" i="13"/>
  <c r="F64" i="13"/>
  <c r="E64" i="13"/>
  <c r="D64" i="13"/>
  <c r="C64" i="13"/>
  <c r="B64" i="13"/>
  <c r="L63" i="13"/>
  <c r="K63" i="13"/>
  <c r="J63" i="13"/>
  <c r="I63" i="13"/>
  <c r="H63" i="13"/>
  <c r="G63" i="13"/>
  <c r="F63" i="13"/>
  <c r="E63" i="13"/>
  <c r="D63" i="13"/>
  <c r="C63" i="13"/>
  <c r="B63" i="13"/>
  <c r="L62" i="13"/>
  <c r="K62" i="13"/>
  <c r="J62" i="13"/>
  <c r="I62" i="13"/>
  <c r="H62" i="13"/>
  <c r="G62" i="13"/>
  <c r="F62" i="13"/>
  <c r="E62" i="13"/>
  <c r="D62" i="13"/>
  <c r="C62" i="13"/>
  <c r="B62" i="13"/>
  <c r="L61" i="13"/>
  <c r="K61" i="13"/>
  <c r="J61" i="13"/>
  <c r="I61" i="13"/>
  <c r="H61" i="13"/>
  <c r="G61" i="13"/>
  <c r="F61" i="13"/>
  <c r="E61" i="13"/>
  <c r="D61" i="13"/>
  <c r="C61" i="13"/>
  <c r="B61" i="13"/>
  <c r="L60" i="13"/>
  <c r="K60" i="13"/>
  <c r="J60" i="13"/>
  <c r="I60" i="13"/>
  <c r="H60" i="13"/>
  <c r="G60" i="13"/>
  <c r="F60" i="13"/>
  <c r="E60" i="13"/>
  <c r="D60" i="13"/>
  <c r="C60" i="13"/>
  <c r="B60" i="13"/>
  <c r="L59" i="13"/>
  <c r="K59" i="13"/>
  <c r="J59" i="13"/>
  <c r="I59" i="13"/>
  <c r="H59" i="13"/>
  <c r="G59" i="13"/>
  <c r="F59" i="13"/>
  <c r="E59" i="13"/>
  <c r="D59" i="13"/>
  <c r="C59" i="13"/>
  <c r="B59" i="13"/>
  <c r="L58" i="13"/>
  <c r="K58" i="13"/>
  <c r="J58" i="13"/>
  <c r="I58" i="13"/>
  <c r="H58" i="13"/>
  <c r="G58" i="13"/>
  <c r="F58" i="13"/>
  <c r="E58" i="13"/>
  <c r="D58" i="13"/>
  <c r="C58" i="13"/>
  <c r="B58" i="13"/>
  <c r="L57" i="13"/>
  <c r="K57" i="13"/>
  <c r="J57" i="13"/>
  <c r="I57" i="13"/>
  <c r="H57" i="13"/>
  <c r="G57" i="13"/>
  <c r="F57" i="13"/>
  <c r="E57" i="13"/>
  <c r="D57" i="13"/>
  <c r="C57" i="13"/>
  <c r="B57" i="13"/>
  <c r="L56" i="13"/>
  <c r="K56" i="13"/>
  <c r="J56" i="13"/>
  <c r="I56" i="13"/>
  <c r="H56" i="13"/>
  <c r="G56" i="13"/>
  <c r="F56" i="13"/>
  <c r="E56" i="13"/>
  <c r="D56" i="13"/>
  <c r="C56" i="13"/>
  <c r="B56" i="13"/>
  <c r="L55" i="13"/>
  <c r="K55" i="13"/>
  <c r="J55" i="13"/>
  <c r="I55" i="13"/>
  <c r="H55" i="13"/>
  <c r="G55" i="13"/>
  <c r="F55" i="13"/>
  <c r="E55" i="13"/>
  <c r="D55" i="13"/>
  <c r="C55" i="13"/>
  <c r="B55" i="13"/>
  <c r="L54" i="13"/>
  <c r="K54" i="13"/>
  <c r="J54" i="13"/>
  <c r="I54" i="13"/>
  <c r="H54" i="13"/>
  <c r="G54" i="13"/>
  <c r="F54" i="13"/>
  <c r="E54" i="13"/>
  <c r="D54" i="13"/>
  <c r="C54" i="13"/>
  <c r="B54" i="13"/>
  <c r="L53" i="13"/>
  <c r="K53" i="13"/>
  <c r="J53" i="13"/>
  <c r="I53" i="13"/>
  <c r="H53" i="13"/>
  <c r="G53" i="13"/>
  <c r="F53" i="13"/>
  <c r="E53" i="13"/>
  <c r="D53" i="13"/>
  <c r="C53" i="13"/>
  <c r="B53" i="13"/>
  <c r="L52" i="13"/>
  <c r="K52" i="13"/>
  <c r="J52" i="13"/>
  <c r="I52" i="13"/>
  <c r="H52" i="13"/>
  <c r="G52" i="13"/>
  <c r="F52" i="13"/>
  <c r="E52" i="13"/>
  <c r="D52" i="13"/>
  <c r="C52" i="13"/>
  <c r="B52" i="13"/>
  <c r="L51" i="13"/>
  <c r="K51" i="13"/>
  <c r="J51" i="13"/>
  <c r="I51" i="13"/>
  <c r="H51" i="13"/>
  <c r="G51" i="13"/>
  <c r="F51" i="13"/>
  <c r="E51" i="13"/>
  <c r="D51" i="13"/>
  <c r="C51" i="13"/>
  <c r="B51" i="13"/>
  <c r="L50" i="13"/>
  <c r="K50" i="13"/>
  <c r="J50" i="13"/>
  <c r="I50" i="13"/>
  <c r="H50" i="13"/>
  <c r="G50" i="13"/>
  <c r="F50" i="13"/>
  <c r="E50" i="13"/>
  <c r="D50" i="13"/>
  <c r="C50" i="13"/>
  <c r="B50" i="13"/>
  <c r="L49" i="13"/>
  <c r="K49" i="13"/>
  <c r="J49" i="13"/>
  <c r="I49" i="13"/>
  <c r="H49" i="13"/>
  <c r="G49" i="13"/>
  <c r="F49" i="13"/>
  <c r="E49" i="13"/>
  <c r="D49" i="13"/>
  <c r="C49" i="13"/>
  <c r="B49" i="13"/>
  <c r="L48" i="13"/>
  <c r="K48" i="13"/>
  <c r="J48" i="13"/>
  <c r="I48" i="13"/>
  <c r="H48" i="13"/>
  <c r="G48" i="13"/>
  <c r="F48" i="13"/>
  <c r="E48" i="13"/>
  <c r="D48" i="13"/>
  <c r="C48" i="13"/>
  <c r="B48" i="13"/>
  <c r="L47" i="13"/>
  <c r="K47" i="13"/>
  <c r="J47" i="13"/>
  <c r="I47" i="13"/>
  <c r="H47" i="13"/>
  <c r="G47" i="13"/>
  <c r="F47" i="13"/>
  <c r="E47" i="13"/>
  <c r="D47" i="13"/>
  <c r="C47" i="13"/>
  <c r="B47" i="13"/>
  <c r="L46" i="13"/>
  <c r="K46" i="13"/>
  <c r="J46" i="13"/>
  <c r="I46" i="13"/>
  <c r="H46" i="13"/>
  <c r="G46" i="13"/>
  <c r="F46" i="13"/>
  <c r="E46" i="13"/>
  <c r="D46" i="13"/>
  <c r="C46" i="13"/>
  <c r="B46" i="13"/>
  <c r="L45" i="13"/>
  <c r="K45" i="13"/>
  <c r="J45" i="13"/>
  <c r="I45" i="13"/>
  <c r="H45" i="13"/>
  <c r="G45" i="13"/>
  <c r="F45" i="13"/>
  <c r="E45" i="13"/>
  <c r="D45" i="13"/>
  <c r="C45" i="13"/>
  <c r="B45" i="13"/>
  <c r="L44" i="13"/>
  <c r="K44" i="13"/>
  <c r="J44" i="13"/>
  <c r="I44" i="13"/>
  <c r="H44" i="13"/>
  <c r="G44" i="13"/>
  <c r="F44" i="13"/>
  <c r="E44" i="13"/>
  <c r="D44" i="13"/>
  <c r="C44" i="13"/>
  <c r="B44" i="13"/>
  <c r="L43" i="13"/>
  <c r="K43" i="13"/>
  <c r="J43" i="13"/>
  <c r="I43" i="13"/>
  <c r="H43" i="13"/>
  <c r="G43" i="13"/>
  <c r="F43" i="13"/>
  <c r="E43" i="13"/>
  <c r="D43" i="13"/>
  <c r="C43" i="13"/>
  <c r="B43" i="13"/>
  <c r="L42" i="13"/>
  <c r="K42" i="13"/>
  <c r="J42" i="13"/>
  <c r="I42" i="13"/>
  <c r="H42" i="13"/>
  <c r="G42" i="13"/>
  <c r="F42" i="13"/>
  <c r="E42" i="13"/>
  <c r="D42" i="13"/>
  <c r="C42" i="13"/>
  <c r="B42" i="13"/>
  <c r="L41" i="13"/>
  <c r="K41" i="13"/>
  <c r="J41" i="13"/>
  <c r="I41" i="13"/>
  <c r="H41" i="13"/>
  <c r="G41" i="13"/>
  <c r="F41" i="13"/>
  <c r="E41" i="13"/>
  <c r="D41" i="13"/>
  <c r="C41" i="13"/>
  <c r="B41" i="13"/>
  <c r="L40" i="13"/>
  <c r="K40" i="13"/>
  <c r="J40" i="13"/>
  <c r="I40" i="13"/>
  <c r="H40" i="13"/>
  <c r="G40" i="13"/>
  <c r="F40" i="13"/>
  <c r="E40" i="13"/>
  <c r="D40" i="13"/>
  <c r="C40" i="13"/>
  <c r="B40" i="13"/>
  <c r="L39" i="13"/>
  <c r="K39" i="13"/>
  <c r="J39" i="13"/>
  <c r="I39" i="13"/>
  <c r="H39" i="13"/>
  <c r="G39" i="13"/>
  <c r="F39" i="13"/>
  <c r="E39" i="13"/>
  <c r="D39" i="13"/>
  <c r="C39" i="13"/>
  <c r="B39" i="13"/>
  <c r="L38" i="13"/>
  <c r="K38" i="13"/>
  <c r="J38" i="13"/>
  <c r="I38" i="13"/>
  <c r="H38" i="13"/>
  <c r="G38" i="13"/>
  <c r="F38" i="13"/>
  <c r="E38" i="13"/>
  <c r="D38" i="13"/>
  <c r="C38" i="13"/>
  <c r="B38" i="13"/>
  <c r="L37" i="13"/>
  <c r="K37" i="13"/>
  <c r="J37" i="13"/>
  <c r="I37" i="13"/>
  <c r="H37" i="13"/>
  <c r="G37" i="13"/>
  <c r="F37" i="13"/>
  <c r="E37" i="13"/>
  <c r="D37" i="13"/>
  <c r="C37" i="13"/>
  <c r="B37" i="13"/>
  <c r="L36" i="13"/>
  <c r="K36" i="13"/>
  <c r="J36" i="13"/>
  <c r="I36" i="13"/>
  <c r="H36" i="13"/>
  <c r="G36" i="13"/>
  <c r="F36" i="13"/>
  <c r="E36" i="13"/>
  <c r="D36" i="13"/>
  <c r="C36" i="13"/>
  <c r="B36" i="13"/>
  <c r="L35" i="13"/>
  <c r="K35" i="13"/>
  <c r="J35" i="13"/>
  <c r="I35" i="13"/>
  <c r="H35" i="13"/>
  <c r="G35" i="13"/>
  <c r="F35" i="13"/>
  <c r="E35" i="13"/>
  <c r="D35" i="13"/>
  <c r="C35" i="13"/>
  <c r="B35" i="13"/>
  <c r="L34" i="13"/>
  <c r="K34" i="13"/>
  <c r="J34" i="13"/>
  <c r="I34" i="13"/>
  <c r="H34" i="13"/>
  <c r="G34" i="13"/>
  <c r="F34" i="13"/>
  <c r="E34" i="13"/>
  <c r="D34" i="13"/>
  <c r="C34" i="13"/>
  <c r="B34" i="13"/>
  <c r="L33" i="13"/>
  <c r="K33" i="13"/>
  <c r="J33" i="13"/>
  <c r="I33" i="13"/>
  <c r="H33" i="13"/>
  <c r="G33" i="13"/>
  <c r="F33" i="13"/>
  <c r="E33" i="13"/>
  <c r="D33" i="13"/>
  <c r="C33" i="13"/>
  <c r="B33" i="13"/>
  <c r="L32" i="13"/>
  <c r="K32" i="13"/>
  <c r="J32" i="13"/>
  <c r="I32" i="13"/>
  <c r="H32" i="13"/>
  <c r="G32" i="13"/>
  <c r="F32" i="13"/>
  <c r="E32" i="13"/>
  <c r="D32" i="13"/>
  <c r="C32" i="13"/>
  <c r="B32" i="13"/>
  <c r="L31" i="13"/>
  <c r="K31" i="13"/>
  <c r="J31" i="13"/>
  <c r="I31" i="13"/>
  <c r="H31" i="13"/>
  <c r="G31" i="13"/>
  <c r="F31" i="13"/>
  <c r="E31" i="13"/>
  <c r="D31" i="13"/>
  <c r="C31" i="13"/>
  <c r="B31" i="13"/>
  <c r="L30" i="13"/>
  <c r="K30" i="13"/>
  <c r="J30" i="13"/>
  <c r="I30" i="13"/>
  <c r="H30" i="13"/>
  <c r="G30" i="13"/>
  <c r="F30" i="13"/>
  <c r="E30" i="13"/>
  <c r="D30" i="13"/>
  <c r="C30" i="13"/>
  <c r="B30" i="13"/>
  <c r="L29" i="13"/>
  <c r="K29" i="13"/>
  <c r="J29" i="13"/>
  <c r="I29" i="13"/>
  <c r="H29" i="13"/>
  <c r="G29" i="13"/>
  <c r="F29" i="13"/>
  <c r="E29" i="13"/>
  <c r="D29" i="13"/>
  <c r="C29" i="13"/>
  <c r="B29" i="13"/>
  <c r="L28" i="13"/>
  <c r="K28" i="13"/>
  <c r="J28" i="13"/>
  <c r="I28" i="13"/>
  <c r="H28" i="13"/>
  <c r="G28" i="13"/>
  <c r="F28" i="13"/>
  <c r="E28" i="13"/>
  <c r="D28" i="13"/>
  <c r="C28" i="13"/>
  <c r="B28" i="13"/>
  <c r="L27" i="13"/>
  <c r="K27" i="13"/>
  <c r="J27" i="13"/>
  <c r="I27" i="13"/>
  <c r="H27" i="13"/>
  <c r="G27" i="13"/>
  <c r="F27" i="13"/>
  <c r="E27" i="13"/>
  <c r="D27" i="13"/>
  <c r="C27" i="13"/>
  <c r="B27" i="13"/>
  <c r="L26" i="13"/>
  <c r="K26" i="13"/>
  <c r="J26" i="13"/>
  <c r="I26" i="13"/>
  <c r="H26" i="13"/>
  <c r="G26" i="13"/>
  <c r="F26" i="13"/>
  <c r="E26" i="13"/>
  <c r="D26" i="13"/>
  <c r="C26" i="13"/>
  <c r="B26" i="13"/>
  <c r="L25" i="13"/>
  <c r="K25" i="13"/>
  <c r="J25" i="13"/>
  <c r="I25" i="13"/>
  <c r="H25" i="13"/>
  <c r="G25" i="13"/>
  <c r="F25" i="13"/>
  <c r="E25" i="13"/>
  <c r="D25" i="13"/>
  <c r="C25" i="13"/>
  <c r="B25" i="13"/>
  <c r="L24" i="13"/>
  <c r="K24" i="13"/>
  <c r="J24" i="13"/>
  <c r="I24" i="13"/>
  <c r="H24" i="13"/>
  <c r="G24" i="13"/>
  <c r="F24" i="13"/>
  <c r="E24" i="13"/>
  <c r="D24" i="13"/>
  <c r="C24" i="13"/>
  <c r="B24" i="13"/>
  <c r="L23" i="13"/>
  <c r="K23" i="13"/>
  <c r="J23" i="13"/>
  <c r="I23" i="13"/>
  <c r="H23" i="13"/>
  <c r="G23" i="13"/>
  <c r="F23" i="13"/>
  <c r="E23" i="13"/>
  <c r="D23" i="13"/>
  <c r="C23" i="13"/>
  <c r="B23" i="13"/>
  <c r="L22" i="13"/>
  <c r="K22" i="13"/>
  <c r="J22" i="13"/>
  <c r="I22" i="13"/>
  <c r="H22" i="13"/>
  <c r="G22" i="13"/>
  <c r="F22" i="13"/>
  <c r="E22" i="13"/>
  <c r="D22" i="13"/>
  <c r="C22" i="13"/>
  <c r="B22" i="13"/>
  <c r="L21" i="13"/>
  <c r="K21" i="13"/>
  <c r="J21" i="13"/>
  <c r="I21" i="13"/>
  <c r="H21" i="13"/>
  <c r="G21" i="13"/>
  <c r="F21" i="13"/>
  <c r="E21" i="13"/>
  <c r="D21" i="13"/>
  <c r="C21" i="13"/>
  <c r="B21" i="13"/>
  <c r="L20" i="13"/>
  <c r="K20" i="13"/>
  <c r="J20" i="13"/>
  <c r="I20" i="13"/>
  <c r="H20" i="13"/>
  <c r="G20" i="13"/>
  <c r="F20" i="13"/>
  <c r="E20" i="13"/>
  <c r="D20" i="13"/>
  <c r="C20" i="13"/>
  <c r="B20" i="13"/>
  <c r="L19" i="13"/>
  <c r="K19" i="13"/>
  <c r="J19" i="13"/>
  <c r="I19" i="13"/>
  <c r="H19" i="13"/>
  <c r="G19" i="13"/>
  <c r="F19" i="13"/>
  <c r="E19" i="13"/>
  <c r="D19" i="13"/>
  <c r="C19" i="13"/>
  <c r="B19" i="13"/>
  <c r="L18" i="13"/>
  <c r="K18" i="13"/>
  <c r="J18" i="13"/>
  <c r="I18" i="13"/>
  <c r="H18" i="13"/>
  <c r="G18" i="13"/>
  <c r="F18" i="13"/>
  <c r="E18" i="13"/>
  <c r="D18" i="13"/>
  <c r="C18" i="13"/>
  <c r="B18" i="13"/>
  <c r="L17" i="13"/>
  <c r="K17" i="13"/>
  <c r="J17" i="13"/>
  <c r="I17" i="13"/>
  <c r="H17" i="13"/>
  <c r="G17" i="13"/>
  <c r="F17" i="13"/>
  <c r="E17" i="13"/>
  <c r="D17" i="13"/>
  <c r="C17" i="13"/>
  <c r="B17" i="13"/>
  <c r="L16" i="13"/>
  <c r="K16" i="13"/>
  <c r="J16" i="13"/>
  <c r="I16" i="13"/>
  <c r="H16" i="13"/>
  <c r="G16" i="13"/>
  <c r="F16" i="13"/>
  <c r="E16" i="13"/>
  <c r="D16" i="13"/>
  <c r="C16" i="13"/>
  <c r="B16" i="13"/>
  <c r="L15" i="13"/>
  <c r="K15" i="13"/>
  <c r="J15" i="13"/>
  <c r="I15" i="13"/>
  <c r="H15" i="13"/>
  <c r="G15" i="13"/>
  <c r="F15" i="13"/>
  <c r="E15" i="13"/>
  <c r="D15" i="13"/>
  <c r="C15" i="13"/>
  <c r="B15" i="13"/>
  <c r="L14" i="13"/>
  <c r="K14" i="13"/>
  <c r="J14" i="13"/>
  <c r="I14" i="13"/>
  <c r="H14" i="13"/>
  <c r="G14" i="13"/>
  <c r="F14" i="13"/>
  <c r="E14" i="13"/>
  <c r="D14" i="13"/>
  <c r="C14" i="13"/>
  <c r="B14" i="13"/>
  <c r="L13" i="13"/>
  <c r="K13" i="13"/>
  <c r="J13" i="13"/>
  <c r="I13" i="13"/>
  <c r="H13" i="13"/>
  <c r="G13" i="13"/>
  <c r="F13" i="13"/>
  <c r="E13" i="13"/>
  <c r="D13" i="13"/>
  <c r="C13" i="13"/>
  <c r="B13" i="13"/>
  <c r="L12" i="13"/>
  <c r="K12" i="13"/>
  <c r="J12" i="13"/>
  <c r="I12" i="13"/>
  <c r="H12" i="13"/>
  <c r="G12" i="13"/>
  <c r="F12" i="13"/>
  <c r="E12" i="13"/>
  <c r="D12" i="13"/>
  <c r="C12" i="13"/>
  <c r="B12" i="13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L6" i="13"/>
  <c r="K6" i="13"/>
  <c r="J6" i="13"/>
  <c r="I6" i="13"/>
  <c r="H6" i="13"/>
  <c r="G6" i="13"/>
  <c r="F6" i="13"/>
  <c r="E6" i="13"/>
  <c r="D6" i="13"/>
  <c r="C6" i="13"/>
  <c r="B6" i="13"/>
  <c r="E1" i="13"/>
  <c r="H155" i="12"/>
  <c r="G155" i="12"/>
  <c r="F155" i="12"/>
  <c r="E155" i="12"/>
  <c r="D155" i="12"/>
  <c r="C155" i="12"/>
  <c r="B155" i="12"/>
  <c r="H154" i="12"/>
  <c r="G154" i="12"/>
  <c r="F154" i="12"/>
  <c r="E154" i="12"/>
  <c r="D154" i="12"/>
  <c r="C154" i="12"/>
  <c r="B154" i="12"/>
  <c r="H153" i="12"/>
  <c r="G153" i="12"/>
  <c r="F153" i="12"/>
  <c r="E153" i="12"/>
  <c r="D153" i="12"/>
  <c r="C153" i="12"/>
  <c r="B153" i="12"/>
  <c r="H152" i="12"/>
  <c r="G152" i="12"/>
  <c r="F152" i="12"/>
  <c r="E152" i="12"/>
  <c r="D152" i="12"/>
  <c r="C152" i="12"/>
  <c r="B152" i="12"/>
  <c r="H151" i="12"/>
  <c r="G151" i="12"/>
  <c r="F151" i="12"/>
  <c r="E151" i="12"/>
  <c r="D151" i="12"/>
  <c r="C151" i="12"/>
  <c r="B151" i="12"/>
  <c r="H150" i="12"/>
  <c r="G150" i="12"/>
  <c r="F150" i="12"/>
  <c r="E150" i="12"/>
  <c r="D150" i="12"/>
  <c r="C150" i="12"/>
  <c r="B150" i="12"/>
  <c r="H149" i="12"/>
  <c r="G149" i="12"/>
  <c r="F149" i="12"/>
  <c r="E149" i="12"/>
  <c r="D149" i="12"/>
  <c r="C149" i="12"/>
  <c r="B149" i="12"/>
  <c r="H148" i="12"/>
  <c r="G148" i="12"/>
  <c r="F148" i="12"/>
  <c r="E148" i="12"/>
  <c r="D148" i="12"/>
  <c r="C148" i="12"/>
  <c r="B148" i="12"/>
  <c r="H147" i="12"/>
  <c r="G147" i="12"/>
  <c r="F147" i="12"/>
  <c r="E147" i="12"/>
  <c r="D147" i="12"/>
  <c r="C147" i="12"/>
  <c r="B147" i="12"/>
  <c r="H146" i="12"/>
  <c r="G146" i="12"/>
  <c r="F146" i="12"/>
  <c r="E146" i="12"/>
  <c r="D146" i="12"/>
  <c r="C146" i="12"/>
  <c r="B146" i="12"/>
  <c r="H145" i="12"/>
  <c r="G145" i="12"/>
  <c r="F145" i="12"/>
  <c r="E145" i="12"/>
  <c r="D145" i="12"/>
  <c r="C145" i="12"/>
  <c r="B145" i="12"/>
  <c r="H144" i="12"/>
  <c r="G144" i="12"/>
  <c r="F144" i="12"/>
  <c r="E144" i="12"/>
  <c r="D144" i="12"/>
  <c r="C144" i="12"/>
  <c r="B144" i="12"/>
  <c r="H143" i="12"/>
  <c r="G143" i="12"/>
  <c r="F143" i="12"/>
  <c r="E143" i="12"/>
  <c r="D143" i="12"/>
  <c r="C143" i="12"/>
  <c r="B143" i="12"/>
  <c r="H142" i="12"/>
  <c r="G142" i="12"/>
  <c r="F142" i="12"/>
  <c r="E142" i="12"/>
  <c r="D142" i="12"/>
  <c r="C142" i="12"/>
  <c r="B142" i="12"/>
  <c r="H141" i="12"/>
  <c r="G141" i="12"/>
  <c r="F141" i="12"/>
  <c r="E141" i="12"/>
  <c r="D141" i="12"/>
  <c r="C141" i="12"/>
  <c r="B141" i="12"/>
  <c r="H140" i="12"/>
  <c r="G140" i="12"/>
  <c r="F140" i="12"/>
  <c r="E140" i="12"/>
  <c r="D140" i="12"/>
  <c r="C140" i="12"/>
  <c r="B140" i="12"/>
  <c r="H139" i="12"/>
  <c r="G139" i="12"/>
  <c r="F139" i="12"/>
  <c r="E139" i="12"/>
  <c r="D139" i="12"/>
  <c r="C139" i="12"/>
  <c r="B139" i="12"/>
  <c r="H138" i="12"/>
  <c r="G138" i="12"/>
  <c r="F138" i="12"/>
  <c r="E138" i="12"/>
  <c r="D138" i="12"/>
  <c r="C138" i="12"/>
  <c r="B138" i="12"/>
  <c r="H137" i="12"/>
  <c r="G137" i="12"/>
  <c r="F137" i="12"/>
  <c r="E137" i="12"/>
  <c r="D137" i="12"/>
  <c r="C137" i="12"/>
  <c r="B137" i="12"/>
  <c r="H136" i="12"/>
  <c r="G136" i="12"/>
  <c r="F136" i="12"/>
  <c r="E136" i="12"/>
  <c r="D136" i="12"/>
  <c r="C136" i="12"/>
  <c r="B136" i="12"/>
  <c r="H135" i="12"/>
  <c r="G135" i="12"/>
  <c r="F135" i="12"/>
  <c r="E135" i="12"/>
  <c r="D135" i="12"/>
  <c r="C135" i="12"/>
  <c r="B135" i="12"/>
  <c r="H134" i="12"/>
  <c r="G134" i="12"/>
  <c r="F134" i="12"/>
  <c r="E134" i="12"/>
  <c r="D134" i="12"/>
  <c r="C134" i="12"/>
  <c r="B134" i="12"/>
  <c r="H133" i="12"/>
  <c r="G133" i="12"/>
  <c r="F133" i="12"/>
  <c r="E133" i="12"/>
  <c r="D133" i="12"/>
  <c r="C133" i="12"/>
  <c r="B133" i="12"/>
  <c r="H132" i="12"/>
  <c r="G132" i="12"/>
  <c r="F132" i="12"/>
  <c r="E132" i="12"/>
  <c r="D132" i="12"/>
  <c r="C132" i="12"/>
  <c r="B132" i="12"/>
  <c r="H131" i="12"/>
  <c r="G131" i="12"/>
  <c r="F131" i="12"/>
  <c r="E131" i="12"/>
  <c r="D131" i="12"/>
  <c r="C131" i="12"/>
  <c r="B131" i="12"/>
  <c r="H130" i="12"/>
  <c r="G130" i="12"/>
  <c r="F130" i="12"/>
  <c r="E130" i="12"/>
  <c r="D130" i="12"/>
  <c r="C130" i="12"/>
  <c r="B130" i="12"/>
  <c r="H129" i="12"/>
  <c r="G129" i="12"/>
  <c r="F129" i="12"/>
  <c r="E129" i="12"/>
  <c r="D129" i="12"/>
  <c r="C129" i="12"/>
  <c r="B129" i="12"/>
  <c r="H128" i="12"/>
  <c r="G128" i="12"/>
  <c r="F128" i="12"/>
  <c r="E128" i="12"/>
  <c r="D128" i="12"/>
  <c r="C128" i="12"/>
  <c r="B128" i="12"/>
  <c r="H127" i="12"/>
  <c r="G127" i="12"/>
  <c r="F127" i="12"/>
  <c r="E127" i="12"/>
  <c r="D127" i="12"/>
  <c r="C127" i="12"/>
  <c r="B127" i="12"/>
  <c r="H126" i="12"/>
  <c r="G126" i="12"/>
  <c r="F126" i="12"/>
  <c r="E126" i="12"/>
  <c r="D126" i="12"/>
  <c r="C126" i="12"/>
  <c r="B126" i="12"/>
  <c r="H125" i="12"/>
  <c r="G125" i="12"/>
  <c r="F125" i="12"/>
  <c r="E125" i="12"/>
  <c r="D125" i="12"/>
  <c r="C125" i="12"/>
  <c r="B125" i="12"/>
  <c r="H124" i="12"/>
  <c r="G124" i="12"/>
  <c r="F124" i="12"/>
  <c r="E124" i="12"/>
  <c r="D124" i="12"/>
  <c r="C124" i="12"/>
  <c r="B124" i="12"/>
  <c r="H123" i="12"/>
  <c r="G123" i="12"/>
  <c r="F123" i="12"/>
  <c r="E123" i="12"/>
  <c r="D123" i="12"/>
  <c r="C123" i="12"/>
  <c r="B123" i="12"/>
  <c r="H122" i="12"/>
  <c r="G122" i="12"/>
  <c r="F122" i="12"/>
  <c r="E122" i="12"/>
  <c r="D122" i="12"/>
  <c r="C122" i="12"/>
  <c r="B122" i="12"/>
  <c r="H121" i="12"/>
  <c r="G121" i="12"/>
  <c r="F121" i="12"/>
  <c r="E121" i="12"/>
  <c r="D121" i="12"/>
  <c r="C121" i="12"/>
  <c r="B121" i="12"/>
  <c r="H120" i="12"/>
  <c r="G120" i="12"/>
  <c r="F120" i="12"/>
  <c r="E120" i="12"/>
  <c r="D120" i="12"/>
  <c r="C120" i="12"/>
  <c r="B120" i="12"/>
  <c r="H119" i="12"/>
  <c r="G119" i="12"/>
  <c r="F119" i="12"/>
  <c r="E119" i="12"/>
  <c r="D119" i="12"/>
  <c r="C119" i="12"/>
  <c r="B119" i="12"/>
  <c r="H118" i="12"/>
  <c r="G118" i="12"/>
  <c r="F118" i="12"/>
  <c r="E118" i="12"/>
  <c r="D118" i="12"/>
  <c r="C118" i="12"/>
  <c r="B118" i="12"/>
  <c r="H117" i="12"/>
  <c r="G117" i="12"/>
  <c r="F117" i="12"/>
  <c r="E117" i="12"/>
  <c r="D117" i="12"/>
  <c r="C117" i="12"/>
  <c r="B117" i="12"/>
  <c r="H116" i="12"/>
  <c r="G116" i="12"/>
  <c r="F116" i="12"/>
  <c r="E116" i="12"/>
  <c r="D116" i="12"/>
  <c r="C116" i="12"/>
  <c r="B116" i="12"/>
  <c r="H115" i="12"/>
  <c r="G115" i="12"/>
  <c r="F115" i="12"/>
  <c r="E115" i="12"/>
  <c r="D115" i="12"/>
  <c r="C115" i="12"/>
  <c r="B115" i="12"/>
  <c r="H114" i="12"/>
  <c r="G114" i="12"/>
  <c r="F114" i="12"/>
  <c r="E114" i="12"/>
  <c r="D114" i="12"/>
  <c r="C114" i="12"/>
  <c r="B114" i="12"/>
  <c r="H113" i="12"/>
  <c r="G113" i="12"/>
  <c r="F113" i="12"/>
  <c r="E113" i="12"/>
  <c r="D113" i="12"/>
  <c r="C113" i="12"/>
  <c r="B113" i="12"/>
  <c r="H112" i="12"/>
  <c r="G112" i="12"/>
  <c r="F112" i="12"/>
  <c r="E112" i="12"/>
  <c r="D112" i="12"/>
  <c r="C112" i="12"/>
  <c r="B112" i="12"/>
  <c r="H111" i="12"/>
  <c r="G111" i="12"/>
  <c r="F111" i="12"/>
  <c r="E111" i="12"/>
  <c r="D111" i="12"/>
  <c r="C111" i="12"/>
  <c r="B111" i="12"/>
  <c r="H110" i="12"/>
  <c r="G110" i="12"/>
  <c r="F110" i="12"/>
  <c r="E110" i="12"/>
  <c r="D110" i="12"/>
  <c r="C110" i="12"/>
  <c r="B110" i="12"/>
  <c r="H109" i="12"/>
  <c r="G109" i="12"/>
  <c r="F109" i="12"/>
  <c r="E109" i="12"/>
  <c r="D109" i="12"/>
  <c r="C109" i="12"/>
  <c r="B109" i="12"/>
  <c r="H108" i="12"/>
  <c r="G108" i="12"/>
  <c r="F108" i="12"/>
  <c r="E108" i="12"/>
  <c r="D108" i="12"/>
  <c r="C108" i="12"/>
  <c r="B108" i="12"/>
  <c r="H107" i="12"/>
  <c r="G107" i="12"/>
  <c r="F107" i="12"/>
  <c r="E107" i="12"/>
  <c r="D107" i="12"/>
  <c r="C107" i="12"/>
  <c r="B107" i="12"/>
  <c r="H106" i="12"/>
  <c r="G106" i="12"/>
  <c r="F106" i="12"/>
  <c r="E106" i="12"/>
  <c r="D106" i="12"/>
  <c r="C106" i="12"/>
  <c r="B106" i="12"/>
  <c r="H105" i="12"/>
  <c r="G105" i="12"/>
  <c r="F105" i="12"/>
  <c r="E105" i="12"/>
  <c r="D105" i="12"/>
  <c r="C105" i="12"/>
  <c r="B105" i="12"/>
  <c r="H104" i="12"/>
  <c r="G104" i="12"/>
  <c r="F104" i="12"/>
  <c r="E104" i="12"/>
  <c r="D104" i="12"/>
  <c r="C104" i="12"/>
  <c r="B104" i="12"/>
  <c r="H103" i="12"/>
  <c r="G103" i="12"/>
  <c r="F103" i="12"/>
  <c r="E103" i="12"/>
  <c r="D103" i="12"/>
  <c r="C103" i="12"/>
  <c r="B103" i="12"/>
  <c r="H102" i="12"/>
  <c r="G102" i="12"/>
  <c r="F102" i="12"/>
  <c r="E102" i="12"/>
  <c r="D102" i="12"/>
  <c r="C102" i="12"/>
  <c r="B102" i="12"/>
  <c r="H101" i="12"/>
  <c r="G101" i="12"/>
  <c r="F101" i="12"/>
  <c r="E101" i="12"/>
  <c r="D101" i="12"/>
  <c r="C101" i="12"/>
  <c r="B101" i="12"/>
  <c r="H100" i="12"/>
  <c r="G100" i="12"/>
  <c r="F100" i="12"/>
  <c r="E100" i="12"/>
  <c r="D100" i="12"/>
  <c r="C100" i="12"/>
  <c r="B100" i="12"/>
  <c r="H99" i="12"/>
  <c r="G99" i="12"/>
  <c r="F99" i="12"/>
  <c r="E99" i="12"/>
  <c r="D99" i="12"/>
  <c r="C99" i="12"/>
  <c r="B99" i="12"/>
  <c r="H98" i="12"/>
  <c r="G98" i="12"/>
  <c r="F98" i="12"/>
  <c r="E98" i="12"/>
  <c r="D98" i="12"/>
  <c r="C98" i="12"/>
  <c r="B98" i="12"/>
  <c r="H97" i="12"/>
  <c r="G97" i="12"/>
  <c r="F97" i="12"/>
  <c r="E97" i="12"/>
  <c r="D97" i="12"/>
  <c r="C97" i="12"/>
  <c r="B97" i="12"/>
  <c r="H96" i="12"/>
  <c r="G96" i="12"/>
  <c r="F96" i="12"/>
  <c r="E96" i="12"/>
  <c r="D96" i="12"/>
  <c r="C96" i="12"/>
  <c r="B96" i="12"/>
  <c r="H95" i="12"/>
  <c r="G95" i="12"/>
  <c r="F95" i="12"/>
  <c r="E95" i="12"/>
  <c r="D95" i="12"/>
  <c r="C95" i="12"/>
  <c r="B95" i="12"/>
  <c r="H94" i="12"/>
  <c r="G94" i="12"/>
  <c r="F94" i="12"/>
  <c r="E94" i="12"/>
  <c r="D94" i="12"/>
  <c r="C94" i="12"/>
  <c r="B94" i="12"/>
  <c r="H93" i="12"/>
  <c r="G93" i="12"/>
  <c r="F93" i="12"/>
  <c r="E93" i="12"/>
  <c r="D93" i="12"/>
  <c r="C93" i="12"/>
  <c r="B93" i="12"/>
  <c r="H92" i="12"/>
  <c r="G92" i="12"/>
  <c r="F92" i="12"/>
  <c r="E92" i="12"/>
  <c r="D92" i="12"/>
  <c r="C92" i="12"/>
  <c r="B92" i="12"/>
  <c r="H91" i="12"/>
  <c r="G91" i="12"/>
  <c r="F91" i="12"/>
  <c r="E91" i="12"/>
  <c r="D91" i="12"/>
  <c r="C91" i="12"/>
  <c r="B91" i="12"/>
  <c r="H90" i="12"/>
  <c r="G90" i="12"/>
  <c r="F90" i="12"/>
  <c r="E90" i="12"/>
  <c r="D90" i="12"/>
  <c r="C90" i="12"/>
  <c r="B90" i="12"/>
  <c r="H89" i="12"/>
  <c r="G89" i="12"/>
  <c r="F89" i="12"/>
  <c r="E89" i="12"/>
  <c r="D89" i="12"/>
  <c r="C89" i="12"/>
  <c r="B89" i="12"/>
  <c r="H88" i="12"/>
  <c r="G88" i="12"/>
  <c r="F88" i="12"/>
  <c r="E88" i="12"/>
  <c r="D88" i="12"/>
  <c r="C88" i="12"/>
  <c r="B88" i="12"/>
  <c r="H87" i="12"/>
  <c r="G87" i="12"/>
  <c r="F87" i="12"/>
  <c r="E87" i="12"/>
  <c r="D87" i="12"/>
  <c r="C87" i="12"/>
  <c r="B87" i="12"/>
  <c r="H86" i="12"/>
  <c r="G86" i="12"/>
  <c r="F86" i="12"/>
  <c r="E86" i="12"/>
  <c r="D86" i="12"/>
  <c r="C86" i="12"/>
  <c r="B86" i="12"/>
  <c r="H85" i="12"/>
  <c r="G85" i="12"/>
  <c r="F85" i="12"/>
  <c r="E85" i="12"/>
  <c r="D85" i="12"/>
  <c r="C85" i="12"/>
  <c r="B85" i="12"/>
  <c r="H84" i="12"/>
  <c r="G84" i="12"/>
  <c r="F84" i="12"/>
  <c r="E84" i="12"/>
  <c r="D84" i="12"/>
  <c r="C84" i="12"/>
  <c r="B84" i="12"/>
  <c r="H83" i="12"/>
  <c r="G83" i="12"/>
  <c r="F83" i="12"/>
  <c r="E83" i="12"/>
  <c r="D83" i="12"/>
  <c r="C83" i="12"/>
  <c r="B83" i="12"/>
  <c r="H82" i="12"/>
  <c r="G82" i="12"/>
  <c r="F82" i="12"/>
  <c r="E82" i="12"/>
  <c r="D82" i="12"/>
  <c r="C82" i="12"/>
  <c r="B82" i="12"/>
  <c r="H81" i="12"/>
  <c r="G81" i="12"/>
  <c r="F81" i="12"/>
  <c r="E81" i="12"/>
  <c r="D81" i="12"/>
  <c r="C81" i="12"/>
  <c r="B81" i="12"/>
  <c r="H80" i="12"/>
  <c r="G80" i="12"/>
  <c r="F80" i="12"/>
  <c r="E80" i="12"/>
  <c r="D80" i="12"/>
  <c r="C80" i="12"/>
  <c r="B80" i="12"/>
  <c r="H79" i="12"/>
  <c r="G79" i="12"/>
  <c r="F79" i="12"/>
  <c r="E79" i="12"/>
  <c r="D79" i="12"/>
  <c r="C79" i="12"/>
  <c r="B79" i="12"/>
  <c r="H78" i="12"/>
  <c r="G78" i="12"/>
  <c r="F78" i="12"/>
  <c r="E78" i="12"/>
  <c r="D78" i="12"/>
  <c r="C78" i="12"/>
  <c r="B78" i="12"/>
  <c r="H77" i="12"/>
  <c r="G77" i="12"/>
  <c r="F77" i="12"/>
  <c r="E77" i="12"/>
  <c r="D77" i="12"/>
  <c r="C77" i="12"/>
  <c r="B77" i="12"/>
  <c r="H76" i="12"/>
  <c r="G76" i="12"/>
  <c r="F76" i="12"/>
  <c r="E76" i="12"/>
  <c r="D76" i="12"/>
  <c r="C76" i="12"/>
  <c r="B76" i="12"/>
  <c r="H75" i="12"/>
  <c r="G75" i="12"/>
  <c r="F75" i="12"/>
  <c r="E75" i="12"/>
  <c r="D75" i="12"/>
  <c r="C75" i="12"/>
  <c r="B75" i="12"/>
  <c r="H74" i="12"/>
  <c r="G74" i="12"/>
  <c r="F74" i="12"/>
  <c r="E74" i="12"/>
  <c r="D74" i="12"/>
  <c r="C74" i="12"/>
  <c r="B74" i="12"/>
  <c r="H73" i="12"/>
  <c r="G73" i="12"/>
  <c r="F73" i="12"/>
  <c r="E73" i="12"/>
  <c r="D73" i="12"/>
  <c r="C73" i="12"/>
  <c r="B73" i="12"/>
  <c r="H72" i="12"/>
  <c r="G72" i="12"/>
  <c r="F72" i="12"/>
  <c r="E72" i="12"/>
  <c r="D72" i="12"/>
  <c r="C72" i="12"/>
  <c r="B72" i="12"/>
  <c r="H71" i="12"/>
  <c r="G71" i="12"/>
  <c r="F71" i="12"/>
  <c r="E71" i="12"/>
  <c r="D71" i="12"/>
  <c r="C71" i="12"/>
  <c r="B71" i="12"/>
  <c r="H70" i="12"/>
  <c r="G70" i="12"/>
  <c r="F70" i="12"/>
  <c r="E70" i="12"/>
  <c r="D70" i="12"/>
  <c r="C70" i="12"/>
  <c r="B70" i="12"/>
  <c r="H69" i="12"/>
  <c r="G69" i="12"/>
  <c r="F69" i="12"/>
  <c r="E69" i="12"/>
  <c r="D69" i="12"/>
  <c r="C69" i="12"/>
  <c r="B69" i="12"/>
  <c r="H68" i="12"/>
  <c r="G68" i="12"/>
  <c r="F68" i="12"/>
  <c r="E68" i="12"/>
  <c r="D68" i="12"/>
  <c r="C68" i="12"/>
  <c r="B68" i="12"/>
  <c r="H67" i="12"/>
  <c r="G67" i="12"/>
  <c r="F67" i="12"/>
  <c r="E67" i="12"/>
  <c r="D67" i="12"/>
  <c r="C67" i="12"/>
  <c r="B67" i="12"/>
  <c r="H66" i="12"/>
  <c r="G66" i="12"/>
  <c r="F66" i="12"/>
  <c r="E66" i="12"/>
  <c r="D66" i="12"/>
  <c r="C66" i="12"/>
  <c r="B66" i="12"/>
  <c r="H65" i="12"/>
  <c r="G65" i="12"/>
  <c r="F65" i="12"/>
  <c r="E65" i="12"/>
  <c r="D65" i="12"/>
  <c r="C65" i="12"/>
  <c r="B65" i="12"/>
  <c r="H64" i="12"/>
  <c r="G64" i="12"/>
  <c r="F64" i="12"/>
  <c r="E64" i="12"/>
  <c r="D64" i="12"/>
  <c r="C64" i="12"/>
  <c r="B64" i="12"/>
  <c r="H63" i="12"/>
  <c r="G63" i="12"/>
  <c r="F63" i="12"/>
  <c r="E63" i="12"/>
  <c r="D63" i="12"/>
  <c r="C63" i="12"/>
  <c r="B63" i="12"/>
  <c r="H62" i="12"/>
  <c r="G62" i="12"/>
  <c r="F62" i="12"/>
  <c r="E62" i="12"/>
  <c r="D62" i="12"/>
  <c r="C62" i="12"/>
  <c r="B62" i="12"/>
  <c r="H61" i="12"/>
  <c r="G61" i="12"/>
  <c r="F61" i="12"/>
  <c r="E61" i="12"/>
  <c r="D61" i="12"/>
  <c r="C61" i="12"/>
  <c r="B61" i="12"/>
  <c r="H60" i="12"/>
  <c r="G60" i="12"/>
  <c r="F60" i="12"/>
  <c r="E60" i="12"/>
  <c r="D60" i="12"/>
  <c r="C60" i="12"/>
  <c r="B60" i="12"/>
  <c r="H59" i="12"/>
  <c r="G59" i="12"/>
  <c r="F59" i="12"/>
  <c r="E59" i="12"/>
  <c r="D59" i="12"/>
  <c r="C59" i="12"/>
  <c r="B59" i="12"/>
  <c r="H58" i="12"/>
  <c r="G58" i="12"/>
  <c r="F58" i="12"/>
  <c r="E58" i="12"/>
  <c r="D58" i="12"/>
  <c r="C58" i="12"/>
  <c r="B58" i="12"/>
  <c r="H57" i="12"/>
  <c r="G57" i="12"/>
  <c r="F57" i="12"/>
  <c r="E57" i="12"/>
  <c r="D57" i="12"/>
  <c r="C57" i="12"/>
  <c r="B57" i="12"/>
  <c r="H56" i="12"/>
  <c r="G56" i="12"/>
  <c r="F56" i="12"/>
  <c r="E56" i="12"/>
  <c r="D56" i="12"/>
  <c r="C56" i="12"/>
  <c r="B56" i="12"/>
  <c r="H55" i="12"/>
  <c r="G55" i="12"/>
  <c r="F55" i="12"/>
  <c r="E55" i="12"/>
  <c r="D55" i="12"/>
  <c r="C55" i="12"/>
  <c r="B55" i="12"/>
  <c r="H54" i="12"/>
  <c r="G54" i="12"/>
  <c r="F54" i="12"/>
  <c r="E54" i="12"/>
  <c r="D54" i="12"/>
  <c r="C54" i="12"/>
  <c r="B54" i="12"/>
  <c r="H53" i="12"/>
  <c r="G53" i="12"/>
  <c r="F53" i="12"/>
  <c r="E53" i="12"/>
  <c r="D53" i="12"/>
  <c r="C53" i="12"/>
  <c r="B53" i="12"/>
  <c r="H52" i="12"/>
  <c r="G52" i="12"/>
  <c r="F52" i="12"/>
  <c r="E52" i="12"/>
  <c r="D52" i="12"/>
  <c r="C52" i="12"/>
  <c r="B52" i="12"/>
  <c r="H51" i="12"/>
  <c r="G51" i="12"/>
  <c r="F51" i="12"/>
  <c r="E51" i="12"/>
  <c r="D51" i="12"/>
  <c r="C51" i="12"/>
  <c r="B51" i="12"/>
  <c r="H50" i="12"/>
  <c r="G50" i="12"/>
  <c r="F50" i="12"/>
  <c r="E50" i="12"/>
  <c r="D50" i="12"/>
  <c r="C50" i="12"/>
  <c r="B50" i="12"/>
  <c r="H49" i="12"/>
  <c r="G49" i="12"/>
  <c r="F49" i="12"/>
  <c r="E49" i="12"/>
  <c r="D49" i="12"/>
  <c r="C49" i="12"/>
  <c r="B49" i="12"/>
  <c r="H48" i="12"/>
  <c r="G48" i="12"/>
  <c r="F48" i="12"/>
  <c r="E48" i="12"/>
  <c r="D48" i="12"/>
  <c r="C48" i="12"/>
  <c r="B48" i="12"/>
  <c r="H47" i="12"/>
  <c r="G47" i="12"/>
  <c r="F47" i="12"/>
  <c r="E47" i="12"/>
  <c r="D47" i="12"/>
  <c r="C47" i="12"/>
  <c r="B47" i="12"/>
  <c r="H46" i="12"/>
  <c r="G46" i="12"/>
  <c r="F46" i="12"/>
  <c r="E46" i="12"/>
  <c r="D46" i="12"/>
  <c r="C46" i="12"/>
  <c r="B46" i="12"/>
  <c r="H45" i="12"/>
  <c r="G45" i="12"/>
  <c r="F45" i="12"/>
  <c r="E45" i="12"/>
  <c r="D45" i="12"/>
  <c r="C45" i="12"/>
  <c r="B45" i="12"/>
  <c r="H44" i="12"/>
  <c r="G44" i="12"/>
  <c r="F44" i="12"/>
  <c r="E44" i="12"/>
  <c r="D44" i="12"/>
  <c r="C44" i="12"/>
  <c r="B44" i="12"/>
  <c r="H43" i="12"/>
  <c r="G43" i="12"/>
  <c r="F43" i="12"/>
  <c r="E43" i="12"/>
  <c r="D43" i="12"/>
  <c r="C43" i="12"/>
  <c r="B43" i="12"/>
  <c r="H42" i="12"/>
  <c r="G42" i="12"/>
  <c r="F42" i="12"/>
  <c r="E42" i="12"/>
  <c r="D42" i="12"/>
  <c r="C42" i="12"/>
  <c r="B42" i="12"/>
  <c r="H41" i="12"/>
  <c r="G41" i="12"/>
  <c r="F41" i="12"/>
  <c r="E41" i="12"/>
  <c r="D41" i="12"/>
  <c r="C41" i="12"/>
  <c r="B41" i="12"/>
  <c r="H40" i="12"/>
  <c r="G40" i="12"/>
  <c r="F40" i="12"/>
  <c r="E40" i="12"/>
  <c r="D40" i="12"/>
  <c r="C40" i="12"/>
  <c r="B40" i="12"/>
  <c r="H39" i="12"/>
  <c r="G39" i="12"/>
  <c r="F39" i="12"/>
  <c r="E39" i="12"/>
  <c r="D39" i="12"/>
  <c r="C39" i="12"/>
  <c r="B39" i="12"/>
  <c r="H38" i="12"/>
  <c r="G38" i="12"/>
  <c r="F38" i="12"/>
  <c r="E38" i="12"/>
  <c r="D38" i="12"/>
  <c r="C38" i="12"/>
  <c r="B38" i="12"/>
  <c r="H37" i="12"/>
  <c r="G37" i="12"/>
  <c r="F37" i="12"/>
  <c r="E37" i="12"/>
  <c r="D37" i="12"/>
  <c r="C37" i="12"/>
  <c r="B37" i="12"/>
  <c r="H36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H34" i="12"/>
  <c r="G34" i="12"/>
  <c r="F34" i="12"/>
  <c r="E34" i="12"/>
  <c r="D34" i="12"/>
  <c r="C34" i="12"/>
  <c r="B34" i="12"/>
  <c r="H33" i="12"/>
  <c r="G33" i="12"/>
  <c r="F33" i="12"/>
  <c r="E33" i="12"/>
  <c r="D33" i="12"/>
  <c r="C33" i="12"/>
  <c r="B33" i="12"/>
  <c r="H32" i="12"/>
  <c r="G32" i="12"/>
  <c r="F32" i="12"/>
  <c r="E32" i="12"/>
  <c r="D32" i="12"/>
  <c r="C32" i="12"/>
  <c r="B32" i="12"/>
  <c r="H31" i="12"/>
  <c r="G31" i="12"/>
  <c r="F31" i="12"/>
  <c r="E31" i="12"/>
  <c r="D31" i="12"/>
  <c r="C31" i="12"/>
  <c r="B31" i="12"/>
  <c r="H30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H28" i="12"/>
  <c r="G28" i="12"/>
  <c r="F28" i="12"/>
  <c r="E28" i="12"/>
  <c r="D28" i="12"/>
  <c r="C28" i="12"/>
  <c r="B28" i="12"/>
  <c r="H27" i="12"/>
  <c r="G27" i="12"/>
  <c r="F27" i="12"/>
  <c r="E27" i="12"/>
  <c r="D27" i="12"/>
  <c r="C27" i="12"/>
  <c r="B27" i="12"/>
  <c r="H26" i="12"/>
  <c r="G26" i="12"/>
  <c r="F26" i="12"/>
  <c r="E26" i="12"/>
  <c r="D26" i="12"/>
  <c r="C26" i="12"/>
  <c r="B26" i="12"/>
  <c r="H25" i="12"/>
  <c r="G25" i="12"/>
  <c r="F25" i="12"/>
  <c r="E25" i="12"/>
  <c r="D25" i="12"/>
  <c r="C25" i="12"/>
  <c r="B25" i="12"/>
  <c r="H24" i="12"/>
  <c r="G24" i="12"/>
  <c r="F24" i="12"/>
  <c r="E24" i="12"/>
  <c r="D24" i="12"/>
  <c r="C24" i="12"/>
  <c r="B24" i="12"/>
  <c r="H23" i="12"/>
  <c r="G23" i="12"/>
  <c r="F23" i="12"/>
  <c r="E23" i="12"/>
  <c r="D23" i="12"/>
  <c r="C23" i="12"/>
  <c r="B23" i="12"/>
  <c r="H22" i="12"/>
  <c r="G22" i="12"/>
  <c r="F22" i="12"/>
  <c r="E22" i="12"/>
  <c r="D22" i="12"/>
  <c r="C22" i="12"/>
  <c r="B22" i="12"/>
  <c r="H21" i="12"/>
  <c r="G21" i="12"/>
  <c r="F21" i="12"/>
  <c r="E21" i="12"/>
  <c r="D21" i="12"/>
  <c r="C21" i="12"/>
  <c r="B21" i="12"/>
  <c r="H20" i="12"/>
  <c r="G20" i="12"/>
  <c r="F20" i="12"/>
  <c r="E20" i="12"/>
  <c r="D20" i="12"/>
  <c r="C20" i="12"/>
  <c r="B20" i="12"/>
  <c r="H19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H17" i="12"/>
  <c r="G17" i="12"/>
  <c r="F17" i="12"/>
  <c r="E17" i="12"/>
  <c r="D17" i="12"/>
  <c r="C17" i="12"/>
  <c r="B17" i="12"/>
  <c r="H16" i="12"/>
  <c r="G16" i="12"/>
  <c r="F16" i="12"/>
  <c r="E16" i="12"/>
  <c r="D16" i="12"/>
  <c r="C16" i="12"/>
  <c r="B16" i="12"/>
  <c r="H15" i="12"/>
  <c r="G15" i="12"/>
  <c r="F15" i="12"/>
  <c r="E15" i="12"/>
  <c r="D15" i="12"/>
  <c r="C15" i="12"/>
  <c r="B15" i="12"/>
  <c r="H14" i="12"/>
  <c r="G14" i="12"/>
  <c r="F14" i="12"/>
  <c r="E14" i="12"/>
  <c r="D14" i="12"/>
  <c r="C14" i="12"/>
  <c r="B14" i="12"/>
  <c r="H13" i="12"/>
  <c r="G13" i="12"/>
  <c r="F13" i="12"/>
  <c r="E13" i="12"/>
  <c r="D13" i="12"/>
  <c r="C13" i="12"/>
  <c r="B13" i="12"/>
  <c r="H12" i="12"/>
  <c r="G12" i="12"/>
  <c r="F12" i="12"/>
  <c r="E12" i="12"/>
  <c r="D12" i="12"/>
  <c r="C12" i="12"/>
  <c r="B12" i="12"/>
  <c r="H11" i="12"/>
  <c r="G11" i="12"/>
  <c r="F11" i="12"/>
  <c r="E11" i="12"/>
  <c r="D11" i="12"/>
  <c r="C11" i="12"/>
  <c r="B11" i="12"/>
  <c r="H10" i="12"/>
  <c r="G10" i="12"/>
  <c r="F10" i="12"/>
  <c r="E10" i="12"/>
  <c r="D10" i="12"/>
  <c r="C10" i="12"/>
  <c r="B10" i="12"/>
  <c r="H9" i="12"/>
  <c r="G9" i="12"/>
  <c r="F9" i="12"/>
  <c r="E9" i="12"/>
  <c r="D9" i="12"/>
  <c r="C9" i="12"/>
  <c r="B9" i="12"/>
  <c r="H8" i="12"/>
  <c r="G8" i="12"/>
  <c r="F8" i="12"/>
  <c r="E8" i="12"/>
  <c r="D8" i="12"/>
  <c r="C8" i="12"/>
  <c r="B8" i="12"/>
  <c r="H7" i="12"/>
  <c r="G7" i="12"/>
  <c r="F7" i="12"/>
  <c r="E7" i="12"/>
  <c r="D7" i="12"/>
  <c r="C7" i="12"/>
  <c r="B7" i="12"/>
  <c r="H6" i="12"/>
  <c r="G6" i="12"/>
  <c r="F6" i="12"/>
  <c r="E6" i="12"/>
  <c r="D6" i="12"/>
  <c r="C6" i="12"/>
  <c r="B6" i="12"/>
  <c r="E1" i="12"/>
  <c r="H155" i="11"/>
  <c r="G155" i="11"/>
  <c r="F155" i="11"/>
  <c r="E155" i="11"/>
  <c r="D155" i="11"/>
  <c r="C155" i="11"/>
  <c r="B155" i="11"/>
  <c r="H154" i="11"/>
  <c r="G154" i="11"/>
  <c r="F154" i="11"/>
  <c r="E154" i="11"/>
  <c r="D154" i="11"/>
  <c r="C154" i="11"/>
  <c r="B154" i="11"/>
  <c r="H153" i="11"/>
  <c r="G153" i="11"/>
  <c r="F153" i="11"/>
  <c r="E153" i="11"/>
  <c r="D153" i="11"/>
  <c r="C153" i="11"/>
  <c r="B153" i="11"/>
  <c r="H152" i="11"/>
  <c r="G152" i="11"/>
  <c r="F152" i="11"/>
  <c r="E152" i="11"/>
  <c r="D152" i="11"/>
  <c r="C152" i="11"/>
  <c r="B152" i="11"/>
  <c r="H151" i="11"/>
  <c r="G151" i="11"/>
  <c r="F151" i="11"/>
  <c r="E151" i="11"/>
  <c r="D151" i="11"/>
  <c r="C151" i="11"/>
  <c r="B151" i="11"/>
  <c r="H150" i="11"/>
  <c r="G150" i="11"/>
  <c r="F150" i="11"/>
  <c r="E150" i="11"/>
  <c r="D150" i="11"/>
  <c r="C150" i="11"/>
  <c r="B150" i="11"/>
  <c r="H149" i="11"/>
  <c r="G149" i="11"/>
  <c r="F149" i="11"/>
  <c r="E149" i="11"/>
  <c r="D149" i="11"/>
  <c r="C149" i="11"/>
  <c r="B149" i="11"/>
  <c r="H148" i="11"/>
  <c r="G148" i="11"/>
  <c r="F148" i="11"/>
  <c r="E148" i="11"/>
  <c r="D148" i="11"/>
  <c r="C148" i="11"/>
  <c r="B148" i="11"/>
  <c r="H147" i="11"/>
  <c r="G147" i="11"/>
  <c r="F147" i="11"/>
  <c r="E147" i="11"/>
  <c r="D147" i="11"/>
  <c r="C147" i="11"/>
  <c r="B147" i="11"/>
  <c r="H146" i="11"/>
  <c r="G146" i="11"/>
  <c r="F146" i="11"/>
  <c r="E146" i="11"/>
  <c r="D146" i="11"/>
  <c r="C146" i="11"/>
  <c r="B146" i="11"/>
  <c r="H145" i="11"/>
  <c r="G145" i="11"/>
  <c r="F145" i="11"/>
  <c r="E145" i="11"/>
  <c r="D145" i="11"/>
  <c r="C145" i="11"/>
  <c r="B145" i="11"/>
  <c r="H144" i="11"/>
  <c r="G144" i="11"/>
  <c r="F144" i="11"/>
  <c r="E144" i="11"/>
  <c r="D144" i="11"/>
  <c r="C144" i="11"/>
  <c r="B144" i="11"/>
  <c r="H143" i="11"/>
  <c r="G143" i="11"/>
  <c r="F143" i="11"/>
  <c r="E143" i="11"/>
  <c r="D143" i="11"/>
  <c r="C143" i="11"/>
  <c r="B143" i="11"/>
  <c r="H142" i="11"/>
  <c r="G142" i="11"/>
  <c r="F142" i="11"/>
  <c r="E142" i="11"/>
  <c r="D142" i="11"/>
  <c r="C142" i="11"/>
  <c r="B142" i="11"/>
  <c r="H141" i="11"/>
  <c r="G141" i="11"/>
  <c r="F141" i="11"/>
  <c r="E141" i="11"/>
  <c r="D141" i="11"/>
  <c r="C141" i="11"/>
  <c r="B141" i="11"/>
  <c r="H140" i="11"/>
  <c r="G140" i="11"/>
  <c r="F140" i="11"/>
  <c r="E140" i="11"/>
  <c r="D140" i="11"/>
  <c r="C140" i="11"/>
  <c r="B140" i="11"/>
  <c r="H139" i="11"/>
  <c r="G139" i="11"/>
  <c r="F139" i="11"/>
  <c r="E139" i="11"/>
  <c r="D139" i="11"/>
  <c r="C139" i="11"/>
  <c r="B139" i="11"/>
  <c r="H138" i="11"/>
  <c r="G138" i="11"/>
  <c r="F138" i="11"/>
  <c r="E138" i="11"/>
  <c r="D138" i="11"/>
  <c r="C138" i="11"/>
  <c r="B138" i="11"/>
  <c r="H137" i="11"/>
  <c r="G137" i="11"/>
  <c r="F137" i="11"/>
  <c r="E137" i="11"/>
  <c r="D137" i="11"/>
  <c r="C137" i="11"/>
  <c r="B137" i="11"/>
  <c r="H136" i="11"/>
  <c r="G136" i="11"/>
  <c r="F136" i="11"/>
  <c r="E136" i="11"/>
  <c r="D136" i="11"/>
  <c r="C136" i="11"/>
  <c r="B136" i="11"/>
  <c r="H135" i="11"/>
  <c r="G135" i="11"/>
  <c r="F135" i="11"/>
  <c r="E135" i="11"/>
  <c r="D135" i="11"/>
  <c r="C135" i="11"/>
  <c r="B135" i="11"/>
  <c r="H134" i="11"/>
  <c r="G134" i="11"/>
  <c r="F134" i="11"/>
  <c r="E134" i="11"/>
  <c r="D134" i="11"/>
  <c r="C134" i="11"/>
  <c r="B134" i="11"/>
  <c r="H133" i="11"/>
  <c r="G133" i="11"/>
  <c r="F133" i="11"/>
  <c r="E133" i="11"/>
  <c r="D133" i="11"/>
  <c r="C133" i="11"/>
  <c r="B133" i="11"/>
  <c r="H132" i="11"/>
  <c r="G132" i="11"/>
  <c r="F132" i="11"/>
  <c r="E132" i="11"/>
  <c r="D132" i="11"/>
  <c r="C132" i="11"/>
  <c r="B132" i="11"/>
  <c r="H131" i="11"/>
  <c r="G131" i="11"/>
  <c r="F131" i="11"/>
  <c r="E131" i="11"/>
  <c r="D131" i="11"/>
  <c r="C131" i="11"/>
  <c r="B131" i="11"/>
  <c r="H130" i="11"/>
  <c r="G130" i="11"/>
  <c r="F130" i="11"/>
  <c r="E130" i="11"/>
  <c r="D130" i="11"/>
  <c r="C130" i="11"/>
  <c r="B130" i="11"/>
  <c r="H129" i="11"/>
  <c r="G129" i="11"/>
  <c r="F129" i="11"/>
  <c r="E129" i="11"/>
  <c r="D129" i="11"/>
  <c r="C129" i="11"/>
  <c r="B129" i="11"/>
  <c r="H128" i="11"/>
  <c r="G128" i="11"/>
  <c r="F128" i="11"/>
  <c r="E128" i="11"/>
  <c r="D128" i="11"/>
  <c r="C128" i="11"/>
  <c r="B128" i="11"/>
  <c r="H127" i="11"/>
  <c r="G127" i="11"/>
  <c r="F127" i="11"/>
  <c r="E127" i="11"/>
  <c r="D127" i="11"/>
  <c r="C127" i="11"/>
  <c r="B127" i="11"/>
  <c r="H126" i="11"/>
  <c r="G126" i="11"/>
  <c r="F126" i="11"/>
  <c r="E126" i="11"/>
  <c r="D126" i="11"/>
  <c r="C126" i="11"/>
  <c r="B126" i="11"/>
  <c r="H125" i="11"/>
  <c r="G125" i="11"/>
  <c r="F125" i="11"/>
  <c r="E125" i="11"/>
  <c r="D125" i="11"/>
  <c r="C125" i="11"/>
  <c r="B125" i="11"/>
  <c r="H124" i="11"/>
  <c r="G124" i="11"/>
  <c r="F124" i="11"/>
  <c r="E124" i="11"/>
  <c r="D124" i="11"/>
  <c r="C124" i="11"/>
  <c r="B124" i="11"/>
  <c r="H123" i="11"/>
  <c r="G123" i="11"/>
  <c r="F123" i="11"/>
  <c r="E123" i="11"/>
  <c r="D123" i="11"/>
  <c r="C123" i="11"/>
  <c r="B123" i="11"/>
  <c r="H122" i="11"/>
  <c r="G122" i="11"/>
  <c r="F122" i="11"/>
  <c r="E122" i="11"/>
  <c r="D122" i="11"/>
  <c r="C122" i="11"/>
  <c r="B122" i="11"/>
  <c r="H121" i="11"/>
  <c r="G121" i="11"/>
  <c r="F121" i="11"/>
  <c r="E121" i="11"/>
  <c r="D121" i="11"/>
  <c r="C121" i="11"/>
  <c r="B121" i="11"/>
  <c r="H120" i="11"/>
  <c r="G120" i="11"/>
  <c r="F120" i="11"/>
  <c r="E120" i="11"/>
  <c r="D120" i="11"/>
  <c r="C120" i="11"/>
  <c r="B120" i="11"/>
  <c r="H119" i="11"/>
  <c r="G119" i="11"/>
  <c r="F119" i="11"/>
  <c r="E119" i="11"/>
  <c r="D119" i="11"/>
  <c r="C119" i="11"/>
  <c r="B119" i="11"/>
  <c r="H118" i="11"/>
  <c r="G118" i="11"/>
  <c r="F118" i="11"/>
  <c r="E118" i="11"/>
  <c r="D118" i="11"/>
  <c r="C118" i="11"/>
  <c r="B118" i="11"/>
  <c r="H117" i="11"/>
  <c r="G117" i="11"/>
  <c r="F117" i="11"/>
  <c r="E117" i="11"/>
  <c r="D117" i="11"/>
  <c r="C117" i="11"/>
  <c r="B117" i="11"/>
  <c r="H116" i="11"/>
  <c r="G116" i="11"/>
  <c r="F116" i="11"/>
  <c r="E116" i="11"/>
  <c r="D116" i="11"/>
  <c r="C116" i="11"/>
  <c r="B116" i="11"/>
  <c r="H115" i="11"/>
  <c r="G115" i="11"/>
  <c r="F115" i="11"/>
  <c r="E115" i="11"/>
  <c r="D115" i="11"/>
  <c r="C115" i="11"/>
  <c r="B115" i="11"/>
  <c r="H114" i="11"/>
  <c r="G114" i="11"/>
  <c r="F114" i="11"/>
  <c r="E114" i="11"/>
  <c r="D114" i="11"/>
  <c r="C114" i="11"/>
  <c r="B114" i="11"/>
  <c r="H113" i="11"/>
  <c r="G113" i="11"/>
  <c r="F113" i="11"/>
  <c r="E113" i="11"/>
  <c r="D113" i="11"/>
  <c r="C113" i="11"/>
  <c r="B113" i="11"/>
  <c r="H112" i="11"/>
  <c r="G112" i="11"/>
  <c r="F112" i="11"/>
  <c r="E112" i="11"/>
  <c r="D112" i="11"/>
  <c r="C112" i="11"/>
  <c r="B112" i="11"/>
  <c r="H111" i="11"/>
  <c r="G111" i="11"/>
  <c r="F111" i="11"/>
  <c r="E111" i="11"/>
  <c r="D111" i="11"/>
  <c r="C111" i="11"/>
  <c r="B111" i="11"/>
  <c r="H110" i="11"/>
  <c r="G110" i="11"/>
  <c r="F110" i="11"/>
  <c r="E110" i="11"/>
  <c r="D110" i="11"/>
  <c r="C110" i="11"/>
  <c r="B110" i="11"/>
  <c r="H109" i="11"/>
  <c r="G109" i="11"/>
  <c r="F109" i="11"/>
  <c r="E109" i="11"/>
  <c r="D109" i="11"/>
  <c r="C109" i="11"/>
  <c r="B109" i="11"/>
  <c r="H108" i="11"/>
  <c r="G108" i="11"/>
  <c r="F108" i="11"/>
  <c r="E108" i="11"/>
  <c r="D108" i="11"/>
  <c r="C108" i="11"/>
  <c r="B108" i="11"/>
  <c r="H107" i="11"/>
  <c r="G107" i="11"/>
  <c r="F107" i="11"/>
  <c r="E107" i="11"/>
  <c r="D107" i="11"/>
  <c r="C107" i="11"/>
  <c r="B107" i="11"/>
  <c r="H106" i="11"/>
  <c r="G106" i="11"/>
  <c r="F106" i="11"/>
  <c r="E106" i="11"/>
  <c r="D106" i="11"/>
  <c r="C106" i="11"/>
  <c r="B106" i="11"/>
  <c r="H105" i="11"/>
  <c r="G105" i="11"/>
  <c r="F105" i="11"/>
  <c r="E105" i="11"/>
  <c r="D105" i="11"/>
  <c r="C105" i="11"/>
  <c r="B105" i="11"/>
  <c r="H104" i="11"/>
  <c r="G104" i="11"/>
  <c r="F104" i="11"/>
  <c r="E104" i="11"/>
  <c r="D104" i="11"/>
  <c r="C104" i="11"/>
  <c r="B104" i="11"/>
  <c r="H103" i="11"/>
  <c r="G103" i="11"/>
  <c r="F103" i="11"/>
  <c r="E103" i="11"/>
  <c r="D103" i="11"/>
  <c r="C103" i="11"/>
  <c r="B103" i="11"/>
  <c r="H102" i="11"/>
  <c r="G102" i="11"/>
  <c r="F102" i="11"/>
  <c r="E102" i="11"/>
  <c r="D102" i="11"/>
  <c r="C102" i="11"/>
  <c r="B102" i="11"/>
  <c r="H101" i="11"/>
  <c r="G101" i="11"/>
  <c r="F101" i="11"/>
  <c r="E101" i="11"/>
  <c r="D101" i="11"/>
  <c r="C101" i="11"/>
  <c r="B101" i="11"/>
  <c r="H100" i="11"/>
  <c r="G100" i="11"/>
  <c r="F100" i="11"/>
  <c r="E100" i="11"/>
  <c r="D100" i="11"/>
  <c r="C100" i="11"/>
  <c r="B100" i="11"/>
  <c r="H99" i="11"/>
  <c r="G99" i="11"/>
  <c r="F99" i="11"/>
  <c r="E99" i="11"/>
  <c r="D99" i="11"/>
  <c r="C99" i="11"/>
  <c r="B99" i="11"/>
  <c r="H98" i="11"/>
  <c r="G98" i="11"/>
  <c r="F98" i="11"/>
  <c r="E98" i="11"/>
  <c r="D98" i="11"/>
  <c r="C98" i="11"/>
  <c r="B98" i="11"/>
  <c r="H97" i="11"/>
  <c r="G97" i="11"/>
  <c r="F97" i="11"/>
  <c r="E97" i="11"/>
  <c r="D97" i="11"/>
  <c r="C97" i="11"/>
  <c r="B97" i="11"/>
  <c r="H96" i="11"/>
  <c r="G96" i="11"/>
  <c r="F96" i="11"/>
  <c r="E96" i="11"/>
  <c r="D96" i="11"/>
  <c r="C96" i="11"/>
  <c r="B96" i="11"/>
  <c r="H95" i="11"/>
  <c r="G95" i="11"/>
  <c r="F95" i="11"/>
  <c r="E95" i="11"/>
  <c r="D95" i="11"/>
  <c r="C95" i="11"/>
  <c r="B95" i="11"/>
  <c r="H94" i="11"/>
  <c r="G94" i="11"/>
  <c r="F94" i="11"/>
  <c r="E94" i="11"/>
  <c r="D94" i="11"/>
  <c r="C94" i="11"/>
  <c r="B94" i="11"/>
  <c r="H93" i="11"/>
  <c r="G93" i="11"/>
  <c r="F93" i="11"/>
  <c r="E93" i="11"/>
  <c r="D93" i="11"/>
  <c r="C93" i="11"/>
  <c r="B93" i="11"/>
  <c r="H92" i="11"/>
  <c r="G92" i="11"/>
  <c r="F92" i="11"/>
  <c r="E92" i="11"/>
  <c r="D92" i="11"/>
  <c r="C92" i="11"/>
  <c r="B92" i="11"/>
  <c r="H91" i="11"/>
  <c r="G91" i="11"/>
  <c r="F91" i="11"/>
  <c r="E91" i="11"/>
  <c r="D91" i="11"/>
  <c r="C91" i="11"/>
  <c r="B91" i="11"/>
  <c r="H90" i="11"/>
  <c r="G90" i="11"/>
  <c r="F90" i="11"/>
  <c r="E90" i="11"/>
  <c r="D90" i="11"/>
  <c r="C90" i="11"/>
  <c r="B90" i="11"/>
  <c r="H89" i="11"/>
  <c r="G89" i="11"/>
  <c r="F89" i="11"/>
  <c r="E89" i="11"/>
  <c r="D89" i="11"/>
  <c r="C89" i="11"/>
  <c r="B89" i="11"/>
  <c r="H88" i="11"/>
  <c r="G88" i="11"/>
  <c r="F88" i="11"/>
  <c r="E88" i="11"/>
  <c r="D88" i="11"/>
  <c r="C88" i="11"/>
  <c r="B88" i="11"/>
  <c r="H87" i="11"/>
  <c r="G87" i="11"/>
  <c r="F87" i="11"/>
  <c r="E87" i="11"/>
  <c r="D87" i="11"/>
  <c r="C87" i="11"/>
  <c r="B87" i="11"/>
  <c r="H86" i="11"/>
  <c r="G86" i="11"/>
  <c r="F86" i="11"/>
  <c r="E86" i="11"/>
  <c r="D86" i="11"/>
  <c r="C86" i="11"/>
  <c r="B86" i="11"/>
  <c r="H85" i="11"/>
  <c r="G85" i="11"/>
  <c r="F85" i="11"/>
  <c r="E85" i="11"/>
  <c r="D85" i="11"/>
  <c r="C85" i="11"/>
  <c r="B85" i="11"/>
  <c r="H84" i="11"/>
  <c r="G84" i="11"/>
  <c r="F84" i="11"/>
  <c r="E84" i="11"/>
  <c r="D84" i="11"/>
  <c r="C84" i="11"/>
  <c r="B84" i="11"/>
  <c r="H83" i="11"/>
  <c r="G83" i="11"/>
  <c r="F83" i="11"/>
  <c r="E83" i="11"/>
  <c r="D83" i="11"/>
  <c r="C83" i="11"/>
  <c r="B83" i="11"/>
  <c r="H82" i="11"/>
  <c r="G82" i="11"/>
  <c r="F82" i="11"/>
  <c r="E82" i="11"/>
  <c r="D82" i="11"/>
  <c r="C82" i="11"/>
  <c r="B82" i="11"/>
  <c r="H81" i="11"/>
  <c r="G81" i="11"/>
  <c r="F81" i="11"/>
  <c r="E81" i="11"/>
  <c r="D81" i="11"/>
  <c r="C81" i="11"/>
  <c r="B81" i="11"/>
  <c r="H80" i="11"/>
  <c r="G80" i="11"/>
  <c r="F80" i="11"/>
  <c r="E80" i="11"/>
  <c r="D80" i="11"/>
  <c r="C80" i="11"/>
  <c r="B80" i="11"/>
  <c r="H79" i="11"/>
  <c r="G79" i="11"/>
  <c r="F79" i="11"/>
  <c r="E79" i="11"/>
  <c r="D79" i="11"/>
  <c r="C79" i="11"/>
  <c r="B79" i="11"/>
  <c r="H78" i="11"/>
  <c r="G78" i="11"/>
  <c r="F78" i="11"/>
  <c r="E78" i="11"/>
  <c r="D78" i="11"/>
  <c r="C78" i="11"/>
  <c r="B78" i="11"/>
  <c r="H77" i="11"/>
  <c r="G77" i="11"/>
  <c r="F77" i="11"/>
  <c r="E77" i="11"/>
  <c r="D77" i="11"/>
  <c r="C77" i="11"/>
  <c r="B77" i="11"/>
  <c r="H76" i="11"/>
  <c r="G76" i="11"/>
  <c r="F76" i="11"/>
  <c r="E76" i="11"/>
  <c r="D76" i="11"/>
  <c r="C76" i="11"/>
  <c r="B76" i="11"/>
  <c r="H75" i="11"/>
  <c r="G75" i="11"/>
  <c r="F75" i="11"/>
  <c r="E75" i="11"/>
  <c r="D75" i="11"/>
  <c r="C75" i="11"/>
  <c r="B75" i="11"/>
  <c r="H74" i="11"/>
  <c r="G74" i="11"/>
  <c r="F74" i="11"/>
  <c r="E74" i="11"/>
  <c r="D74" i="11"/>
  <c r="C74" i="11"/>
  <c r="B74" i="11"/>
  <c r="H73" i="11"/>
  <c r="G73" i="11"/>
  <c r="F73" i="11"/>
  <c r="E73" i="11"/>
  <c r="D73" i="11"/>
  <c r="C73" i="11"/>
  <c r="B73" i="11"/>
  <c r="H72" i="11"/>
  <c r="G72" i="11"/>
  <c r="F72" i="11"/>
  <c r="E72" i="11"/>
  <c r="D72" i="11"/>
  <c r="C72" i="11"/>
  <c r="B72" i="11"/>
  <c r="H71" i="11"/>
  <c r="G71" i="11"/>
  <c r="F71" i="11"/>
  <c r="E71" i="11"/>
  <c r="D71" i="11"/>
  <c r="C71" i="11"/>
  <c r="B71" i="11"/>
  <c r="H70" i="11"/>
  <c r="G70" i="11"/>
  <c r="F70" i="11"/>
  <c r="E70" i="11"/>
  <c r="D70" i="11"/>
  <c r="C70" i="11"/>
  <c r="B70" i="11"/>
  <c r="H69" i="11"/>
  <c r="G69" i="11"/>
  <c r="F69" i="11"/>
  <c r="E69" i="11"/>
  <c r="D69" i="11"/>
  <c r="C69" i="11"/>
  <c r="B69" i="11"/>
  <c r="H68" i="11"/>
  <c r="G68" i="11"/>
  <c r="F68" i="11"/>
  <c r="E68" i="11"/>
  <c r="D68" i="11"/>
  <c r="C68" i="11"/>
  <c r="B68" i="11"/>
  <c r="H67" i="11"/>
  <c r="G67" i="11"/>
  <c r="F67" i="11"/>
  <c r="E67" i="11"/>
  <c r="D67" i="11"/>
  <c r="C67" i="11"/>
  <c r="B67" i="11"/>
  <c r="H66" i="11"/>
  <c r="G66" i="11"/>
  <c r="F66" i="11"/>
  <c r="E66" i="11"/>
  <c r="D66" i="11"/>
  <c r="C66" i="11"/>
  <c r="B66" i="11"/>
  <c r="H65" i="11"/>
  <c r="G65" i="11"/>
  <c r="F65" i="11"/>
  <c r="E65" i="11"/>
  <c r="D65" i="11"/>
  <c r="C65" i="11"/>
  <c r="B65" i="11"/>
  <c r="H64" i="11"/>
  <c r="G64" i="11"/>
  <c r="F64" i="11"/>
  <c r="E64" i="11"/>
  <c r="D64" i="11"/>
  <c r="C64" i="11"/>
  <c r="B64" i="11"/>
  <c r="H63" i="11"/>
  <c r="G63" i="11"/>
  <c r="F63" i="11"/>
  <c r="E63" i="11"/>
  <c r="D63" i="11"/>
  <c r="C63" i="11"/>
  <c r="B63" i="11"/>
  <c r="H62" i="11"/>
  <c r="G62" i="11"/>
  <c r="F62" i="11"/>
  <c r="E62" i="11"/>
  <c r="D62" i="11"/>
  <c r="C62" i="11"/>
  <c r="B62" i="11"/>
  <c r="H61" i="11"/>
  <c r="G61" i="11"/>
  <c r="F61" i="11"/>
  <c r="E61" i="11"/>
  <c r="D61" i="11"/>
  <c r="C61" i="11"/>
  <c r="B61" i="11"/>
  <c r="H60" i="11"/>
  <c r="G60" i="11"/>
  <c r="F60" i="11"/>
  <c r="E60" i="11"/>
  <c r="D60" i="11"/>
  <c r="C60" i="11"/>
  <c r="B60" i="11"/>
  <c r="H59" i="11"/>
  <c r="G59" i="11"/>
  <c r="F59" i="11"/>
  <c r="E59" i="11"/>
  <c r="D59" i="11"/>
  <c r="C59" i="11"/>
  <c r="B59" i="11"/>
  <c r="H58" i="11"/>
  <c r="G58" i="11"/>
  <c r="F58" i="11"/>
  <c r="E58" i="11"/>
  <c r="D58" i="11"/>
  <c r="C58" i="11"/>
  <c r="B58" i="11"/>
  <c r="H57" i="11"/>
  <c r="G57" i="11"/>
  <c r="F57" i="11"/>
  <c r="E57" i="11"/>
  <c r="D57" i="11"/>
  <c r="C57" i="11"/>
  <c r="B57" i="11"/>
  <c r="H56" i="11"/>
  <c r="G56" i="11"/>
  <c r="F56" i="11"/>
  <c r="E56" i="11"/>
  <c r="D56" i="11"/>
  <c r="C56" i="11"/>
  <c r="B56" i="11"/>
  <c r="H55" i="11"/>
  <c r="G55" i="11"/>
  <c r="F55" i="11"/>
  <c r="E55" i="11"/>
  <c r="D55" i="11"/>
  <c r="C55" i="11"/>
  <c r="B55" i="11"/>
  <c r="H54" i="11"/>
  <c r="G54" i="11"/>
  <c r="F54" i="11"/>
  <c r="E54" i="11"/>
  <c r="D54" i="11"/>
  <c r="C54" i="11"/>
  <c r="B54" i="11"/>
  <c r="H53" i="11"/>
  <c r="G53" i="11"/>
  <c r="F53" i="11"/>
  <c r="E53" i="11"/>
  <c r="D53" i="11"/>
  <c r="C53" i="11"/>
  <c r="B53" i="11"/>
  <c r="H52" i="11"/>
  <c r="G52" i="11"/>
  <c r="F52" i="11"/>
  <c r="E52" i="11"/>
  <c r="D52" i="11"/>
  <c r="C52" i="11"/>
  <c r="B52" i="11"/>
  <c r="H51" i="11"/>
  <c r="G51" i="11"/>
  <c r="F51" i="11"/>
  <c r="E51" i="11"/>
  <c r="D51" i="11"/>
  <c r="C51" i="11"/>
  <c r="B51" i="11"/>
  <c r="H50" i="11"/>
  <c r="G50" i="11"/>
  <c r="F50" i="11"/>
  <c r="E50" i="11"/>
  <c r="D50" i="11"/>
  <c r="C50" i="11"/>
  <c r="B50" i="11"/>
  <c r="H49" i="11"/>
  <c r="G49" i="11"/>
  <c r="F49" i="11"/>
  <c r="E49" i="11"/>
  <c r="D49" i="11"/>
  <c r="C49" i="11"/>
  <c r="B49" i="11"/>
  <c r="H48" i="11"/>
  <c r="G48" i="11"/>
  <c r="F48" i="11"/>
  <c r="E48" i="11"/>
  <c r="D48" i="11"/>
  <c r="C48" i="11"/>
  <c r="B48" i="11"/>
  <c r="H47" i="11"/>
  <c r="G47" i="11"/>
  <c r="F47" i="11"/>
  <c r="E47" i="11"/>
  <c r="D47" i="11"/>
  <c r="C47" i="11"/>
  <c r="B47" i="11"/>
  <c r="H46" i="11"/>
  <c r="G46" i="11"/>
  <c r="F46" i="11"/>
  <c r="E46" i="11"/>
  <c r="D46" i="11"/>
  <c r="C46" i="11"/>
  <c r="B46" i="11"/>
  <c r="H45" i="11"/>
  <c r="G45" i="11"/>
  <c r="F45" i="11"/>
  <c r="E45" i="11"/>
  <c r="D45" i="11"/>
  <c r="C45" i="11"/>
  <c r="B45" i="11"/>
  <c r="H44" i="11"/>
  <c r="G44" i="11"/>
  <c r="F44" i="11"/>
  <c r="E44" i="11"/>
  <c r="D44" i="11"/>
  <c r="C44" i="11"/>
  <c r="B44" i="11"/>
  <c r="H43" i="11"/>
  <c r="G43" i="11"/>
  <c r="F43" i="11"/>
  <c r="E43" i="11"/>
  <c r="D43" i="11"/>
  <c r="C43" i="11"/>
  <c r="B43" i="11"/>
  <c r="H42" i="11"/>
  <c r="G42" i="11"/>
  <c r="F42" i="11"/>
  <c r="E42" i="11"/>
  <c r="D42" i="11"/>
  <c r="C42" i="11"/>
  <c r="B42" i="11"/>
  <c r="H41" i="11"/>
  <c r="G41" i="11"/>
  <c r="F41" i="11"/>
  <c r="E41" i="11"/>
  <c r="D41" i="11"/>
  <c r="C41" i="11"/>
  <c r="B41" i="11"/>
  <c r="H40" i="11"/>
  <c r="G40" i="11"/>
  <c r="F40" i="11"/>
  <c r="E40" i="11"/>
  <c r="D40" i="11"/>
  <c r="C40" i="11"/>
  <c r="B40" i="11"/>
  <c r="H39" i="11"/>
  <c r="G39" i="11"/>
  <c r="F39" i="11"/>
  <c r="E39" i="11"/>
  <c r="D39" i="11"/>
  <c r="C39" i="11"/>
  <c r="B39" i="11"/>
  <c r="H38" i="11"/>
  <c r="G38" i="11"/>
  <c r="F38" i="11"/>
  <c r="E38" i="11"/>
  <c r="D38" i="11"/>
  <c r="C38" i="11"/>
  <c r="B38" i="11"/>
  <c r="H37" i="11"/>
  <c r="G37" i="11"/>
  <c r="F37" i="11"/>
  <c r="E37" i="11"/>
  <c r="D37" i="11"/>
  <c r="C37" i="11"/>
  <c r="B37" i="11"/>
  <c r="H36" i="11"/>
  <c r="G36" i="11"/>
  <c r="F36" i="11"/>
  <c r="E36" i="11"/>
  <c r="D36" i="11"/>
  <c r="C36" i="11"/>
  <c r="B36" i="11"/>
  <c r="H35" i="11"/>
  <c r="G35" i="11"/>
  <c r="F35" i="11"/>
  <c r="E35" i="11"/>
  <c r="D35" i="11"/>
  <c r="C35" i="11"/>
  <c r="B35" i="11"/>
  <c r="H34" i="11"/>
  <c r="G34" i="11"/>
  <c r="F34" i="11"/>
  <c r="E34" i="11"/>
  <c r="D34" i="11"/>
  <c r="C34" i="11"/>
  <c r="B34" i="11"/>
  <c r="H33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H31" i="11"/>
  <c r="G31" i="11"/>
  <c r="F31" i="11"/>
  <c r="E31" i="11"/>
  <c r="D31" i="11"/>
  <c r="C31" i="11"/>
  <c r="B31" i="11"/>
  <c r="H30" i="11"/>
  <c r="G30" i="11"/>
  <c r="F30" i="11"/>
  <c r="E30" i="11"/>
  <c r="D30" i="11"/>
  <c r="C30" i="11"/>
  <c r="B30" i="11"/>
  <c r="H29" i="11"/>
  <c r="G29" i="11"/>
  <c r="F29" i="11"/>
  <c r="E29" i="11"/>
  <c r="D29" i="11"/>
  <c r="C29" i="11"/>
  <c r="B29" i="11"/>
  <c r="H28" i="11"/>
  <c r="G28" i="11"/>
  <c r="F28" i="11"/>
  <c r="E28" i="11"/>
  <c r="D28" i="11"/>
  <c r="C28" i="11"/>
  <c r="B28" i="11"/>
  <c r="H27" i="11"/>
  <c r="G27" i="11"/>
  <c r="F27" i="11"/>
  <c r="E27" i="11"/>
  <c r="D27" i="11"/>
  <c r="C27" i="11"/>
  <c r="B27" i="11"/>
  <c r="H26" i="11"/>
  <c r="G26" i="11"/>
  <c r="F26" i="11"/>
  <c r="E26" i="11"/>
  <c r="D26" i="11"/>
  <c r="C26" i="11"/>
  <c r="B26" i="11"/>
  <c r="H25" i="11"/>
  <c r="G25" i="11"/>
  <c r="F25" i="11"/>
  <c r="E25" i="11"/>
  <c r="D25" i="11"/>
  <c r="C25" i="11"/>
  <c r="B25" i="11"/>
  <c r="H24" i="11"/>
  <c r="G24" i="11"/>
  <c r="F24" i="11"/>
  <c r="E24" i="11"/>
  <c r="D24" i="11"/>
  <c r="C24" i="11"/>
  <c r="B24" i="11"/>
  <c r="H23" i="11"/>
  <c r="G23" i="11"/>
  <c r="F23" i="11"/>
  <c r="E23" i="11"/>
  <c r="D23" i="11"/>
  <c r="C23" i="11"/>
  <c r="B23" i="11"/>
  <c r="H22" i="11"/>
  <c r="G22" i="11"/>
  <c r="F22" i="11"/>
  <c r="E22" i="11"/>
  <c r="D22" i="11"/>
  <c r="C22" i="11"/>
  <c r="B22" i="11"/>
  <c r="H21" i="11"/>
  <c r="G21" i="11"/>
  <c r="F21" i="11"/>
  <c r="E21" i="11"/>
  <c r="D21" i="11"/>
  <c r="C21" i="11"/>
  <c r="B21" i="11"/>
  <c r="H20" i="11"/>
  <c r="G20" i="11"/>
  <c r="F20" i="11"/>
  <c r="E20" i="11"/>
  <c r="D20" i="11"/>
  <c r="C20" i="11"/>
  <c r="B20" i="11"/>
  <c r="H19" i="11"/>
  <c r="G19" i="11"/>
  <c r="F19" i="11"/>
  <c r="E19" i="11"/>
  <c r="D19" i="11"/>
  <c r="C19" i="11"/>
  <c r="B19" i="11"/>
  <c r="H18" i="11"/>
  <c r="G18" i="11"/>
  <c r="F18" i="11"/>
  <c r="E18" i="11"/>
  <c r="D18" i="11"/>
  <c r="C18" i="11"/>
  <c r="B18" i="11"/>
  <c r="H17" i="11"/>
  <c r="G17" i="11"/>
  <c r="F17" i="11"/>
  <c r="E17" i="11"/>
  <c r="D17" i="11"/>
  <c r="C17" i="11"/>
  <c r="B17" i="11"/>
  <c r="H16" i="11"/>
  <c r="G16" i="11"/>
  <c r="F16" i="11"/>
  <c r="E16" i="11"/>
  <c r="D16" i="11"/>
  <c r="C16" i="11"/>
  <c r="B16" i="11"/>
  <c r="H15" i="11"/>
  <c r="G15" i="11"/>
  <c r="F15" i="11"/>
  <c r="E15" i="11"/>
  <c r="D15" i="11"/>
  <c r="C15" i="11"/>
  <c r="B15" i="11"/>
  <c r="H14" i="11"/>
  <c r="G14" i="11"/>
  <c r="F14" i="11"/>
  <c r="E14" i="11"/>
  <c r="D14" i="11"/>
  <c r="C14" i="11"/>
  <c r="B14" i="11"/>
  <c r="H13" i="11"/>
  <c r="G13" i="11"/>
  <c r="F13" i="11"/>
  <c r="E13" i="11"/>
  <c r="D13" i="11"/>
  <c r="C13" i="11"/>
  <c r="B13" i="11"/>
  <c r="H12" i="11"/>
  <c r="G12" i="11"/>
  <c r="F12" i="11"/>
  <c r="E12" i="11"/>
  <c r="D12" i="11"/>
  <c r="C12" i="11"/>
  <c r="B12" i="11"/>
  <c r="H11" i="11"/>
  <c r="G11" i="11"/>
  <c r="F11" i="11"/>
  <c r="E11" i="11"/>
  <c r="D11" i="11"/>
  <c r="C11" i="11"/>
  <c r="B11" i="11"/>
  <c r="H10" i="11"/>
  <c r="G10" i="11"/>
  <c r="F10" i="11"/>
  <c r="E10" i="11"/>
  <c r="D10" i="11"/>
  <c r="C10" i="11"/>
  <c r="B10" i="11"/>
  <c r="H9" i="11"/>
  <c r="G9" i="11"/>
  <c r="F9" i="11"/>
  <c r="E9" i="11"/>
  <c r="D9" i="11"/>
  <c r="C9" i="11"/>
  <c r="B9" i="11"/>
  <c r="H8" i="11"/>
  <c r="G8" i="11"/>
  <c r="F8" i="11"/>
  <c r="E8" i="11"/>
  <c r="D8" i="11"/>
  <c r="C8" i="11"/>
  <c r="B8" i="11"/>
  <c r="H7" i="11"/>
  <c r="G7" i="11"/>
  <c r="F7" i="11"/>
  <c r="E7" i="11"/>
  <c r="D7" i="11"/>
  <c r="C7" i="11"/>
  <c r="B7" i="11"/>
  <c r="H6" i="11"/>
  <c r="G6" i="11"/>
  <c r="F6" i="11"/>
  <c r="E6" i="11"/>
  <c r="D6" i="11"/>
  <c r="C6" i="11"/>
  <c r="B6" i="11"/>
  <c r="E1" i="11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B105" i="10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C105" i="9"/>
  <c r="B105" i="9"/>
  <c r="K73" i="8"/>
  <c r="J73" i="8"/>
  <c r="I73" i="8"/>
  <c r="H73" i="8"/>
  <c r="G73" i="8"/>
  <c r="F73" i="8"/>
  <c r="E73" i="8"/>
  <c r="D73" i="8"/>
  <c r="C73" i="8"/>
  <c r="B73" i="8"/>
  <c r="AD23" i="8"/>
  <c r="AD22" i="8"/>
  <c r="AD21" i="8"/>
  <c r="AD20" i="8"/>
  <c r="AD19" i="8"/>
  <c r="AD18" i="8"/>
  <c r="AD17" i="8"/>
  <c r="M17" i="8"/>
  <c r="AD16" i="8"/>
  <c r="M16" i="8"/>
  <c r="AD15" i="8"/>
  <c r="M15" i="8"/>
  <c r="AD14" i="8"/>
  <c r="M14" i="8"/>
  <c r="AD13" i="8"/>
  <c r="M13" i="8"/>
  <c r="AD12" i="8"/>
  <c r="M12" i="8"/>
  <c r="AD11" i="8"/>
  <c r="M11" i="8"/>
  <c r="AD10" i="8"/>
  <c r="M10" i="8"/>
  <c r="AD9" i="8"/>
  <c r="M9" i="8"/>
  <c r="AD8" i="8"/>
  <c r="M8" i="8"/>
  <c r="AD7" i="8"/>
  <c r="M7" i="8"/>
  <c r="AD6" i="8"/>
  <c r="M6" i="8"/>
  <c r="AD5" i="8"/>
  <c r="M5" i="8"/>
  <c r="AD4" i="8"/>
  <c r="M4" i="8"/>
  <c r="AD3" i="8"/>
  <c r="M3" i="8"/>
  <c r="AD2" i="8"/>
  <c r="M2" i="8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B120" i="7"/>
  <c r="L154" i="5"/>
  <c r="K154" i="5"/>
  <c r="J154" i="5"/>
  <c r="I154" i="5"/>
  <c r="H154" i="5"/>
  <c r="G154" i="5"/>
  <c r="F154" i="5"/>
  <c r="E154" i="5"/>
  <c r="D154" i="5"/>
  <c r="C154" i="5"/>
  <c r="B154" i="5"/>
  <c r="D47" i="24" l="1"/>
  <c r="E47" i="24"/>
  <c r="H47" i="24"/>
  <c r="B47" i="24"/>
  <c r="J47" i="24"/>
  <c r="F47" i="24"/>
  <c r="I47" i="24"/>
  <c r="K47" i="24"/>
  <c r="G47" i="24"/>
  <c r="C47" i="24"/>
  <c r="K46" i="24"/>
  <c r="G46" i="24"/>
  <c r="C46" i="24"/>
  <c r="J46" i="24"/>
  <c r="I46" i="24"/>
  <c r="D46" i="24"/>
  <c r="H46" i="24"/>
  <c r="E46" i="24"/>
  <c r="B46" i="24"/>
  <c r="F46" i="24"/>
  <c r="J45" i="24"/>
  <c r="F45" i="24"/>
  <c r="C45" i="24"/>
  <c r="E45" i="24"/>
  <c r="H45" i="24"/>
  <c r="I45" i="24"/>
  <c r="K45" i="24"/>
  <c r="G45" i="24"/>
  <c r="B45" i="24"/>
  <c r="D45" i="24"/>
  <c r="J44" i="24"/>
  <c r="F44" i="24"/>
  <c r="K44" i="24"/>
  <c r="G44" i="24"/>
  <c r="I44" i="24"/>
  <c r="E44" i="24"/>
  <c r="C44" i="24"/>
  <c r="B44" i="24"/>
  <c r="H44" i="24"/>
  <c r="D44" i="24"/>
  <c r="I43" i="24"/>
  <c r="C43" i="24"/>
  <c r="B43" i="24"/>
  <c r="D43" i="24"/>
  <c r="F43" i="24"/>
  <c r="K43" i="24"/>
  <c r="H43" i="24"/>
  <c r="E43" i="24"/>
  <c r="G43" i="24"/>
  <c r="K42" i="24"/>
  <c r="H42" i="24"/>
  <c r="F42" i="24"/>
  <c r="C42" i="24"/>
  <c r="I42" i="24"/>
  <c r="B42" i="24"/>
  <c r="D42" i="24"/>
  <c r="G42" i="24"/>
  <c r="J42" i="24"/>
  <c r="E42" i="24"/>
  <c r="J41" i="24"/>
  <c r="I41" i="24"/>
  <c r="C41" i="24"/>
  <c r="B41" i="24"/>
  <c r="E41" i="24"/>
  <c r="H41" i="24"/>
  <c r="D41" i="24"/>
  <c r="K41" i="24"/>
  <c r="F41" i="24"/>
  <c r="G41" i="24"/>
  <c r="G40" i="24"/>
  <c r="J40" i="24"/>
  <c r="C40" i="24"/>
  <c r="F40" i="24"/>
  <c r="I40" i="24"/>
  <c r="H40" i="24"/>
  <c r="B40" i="24"/>
  <c r="E40" i="24"/>
  <c r="K40" i="24"/>
  <c r="D40" i="24"/>
  <c r="C39" i="24"/>
  <c r="E39" i="24"/>
  <c r="J39" i="24"/>
  <c r="H39" i="24"/>
  <c r="D39" i="24"/>
  <c r="K39" i="24"/>
  <c r="B39" i="24"/>
  <c r="I39" i="24"/>
  <c r="F39" i="24"/>
  <c r="G39" i="24"/>
  <c r="K38" i="24"/>
  <c r="G38" i="24"/>
  <c r="C38" i="24"/>
  <c r="H38" i="24"/>
  <c r="I38" i="24"/>
  <c r="D38" i="24"/>
  <c r="J38" i="24"/>
  <c r="E38" i="24"/>
  <c r="F38" i="24"/>
  <c r="B38" i="24"/>
  <c r="C37" i="24"/>
  <c r="B37" i="24"/>
  <c r="E37" i="24"/>
  <c r="D37" i="24"/>
  <c r="H37" i="24"/>
  <c r="I37" i="24"/>
  <c r="J37" i="24"/>
  <c r="F37" i="24"/>
  <c r="K37" i="24"/>
  <c r="G37" i="24"/>
  <c r="E36" i="24"/>
  <c r="I36" i="24"/>
  <c r="C36" i="24"/>
  <c r="B36" i="24"/>
  <c r="G36" i="24"/>
  <c r="F36" i="24"/>
  <c r="K36" i="24"/>
  <c r="D36" i="24"/>
  <c r="H36" i="24"/>
  <c r="J36" i="24"/>
  <c r="I35" i="24"/>
  <c r="H35" i="24"/>
  <c r="G35" i="24"/>
  <c r="J35" i="24"/>
  <c r="C35" i="24"/>
  <c r="D35" i="24"/>
  <c r="B35" i="24"/>
  <c r="F35" i="24"/>
  <c r="E35" i="24"/>
  <c r="K35" i="24"/>
  <c r="J34" i="24"/>
  <c r="E34" i="24"/>
  <c r="C34" i="24"/>
  <c r="K34" i="24"/>
  <c r="H34" i="24"/>
  <c r="B34" i="24"/>
  <c r="F34" i="24"/>
  <c r="D34" i="24"/>
  <c r="G34" i="24"/>
  <c r="I34" i="24"/>
  <c r="D33" i="24"/>
  <c r="H33" i="24"/>
  <c r="K33" i="24"/>
  <c r="E33" i="24"/>
  <c r="J33" i="24"/>
  <c r="F33" i="24"/>
  <c r="I33" i="24"/>
  <c r="B33" i="24"/>
  <c r="G33" i="24"/>
  <c r="C33" i="24"/>
  <c r="G32" i="24"/>
  <c r="K32" i="24"/>
  <c r="F32" i="24"/>
  <c r="H32" i="24"/>
  <c r="I32" i="24"/>
  <c r="B32" i="24"/>
  <c r="E32" i="24"/>
  <c r="J32" i="24"/>
  <c r="D32" i="24"/>
  <c r="C32" i="24"/>
  <c r="E31" i="24"/>
  <c r="I31" i="24"/>
  <c r="K31" i="24"/>
  <c r="G31" i="24"/>
  <c r="C31" i="24"/>
  <c r="D31" i="24"/>
  <c r="H31" i="24"/>
  <c r="F31" i="24"/>
  <c r="B31" i="24"/>
  <c r="J31" i="24"/>
  <c r="C30" i="24"/>
  <c r="G30" i="24"/>
  <c r="K30" i="24"/>
  <c r="I30" i="24"/>
  <c r="D30" i="24"/>
  <c r="B30" i="24"/>
  <c r="F30" i="24"/>
  <c r="J30" i="24"/>
  <c r="H30" i="24"/>
  <c r="E30" i="24"/>
  <c r="E29" i="24"/>
  <c r="H29" i="24"/>
  <c r="C29" i="24"/>
  <c r="B29" i="24"/>
  <c r="F29" i="24"/>
  <c r="I29" i="24"/>
  <c r="D29" i="24"/>
  <c r="J29" i="24"/>
  <c r="G29" i="24"/>
  <c r="K29" i="24"/>
  <c r="C28" i="24"/>
  <c r="F28" i="24"/>
  <c r="I28" i="24"/>
  <c r="G28" i="24"/>
  <c r="J28" i="24"/>
  <c r="B28" i="24"/>
  <c r="K28" i="24"/>
  <c r="D28" i="24"/>
  <c r="H28" i="24"/>
  <c r="E28" i="24"/>
  <c r="I27" i="24"/>
  <c r="C27" i="24"/>
  <c r="H27" i="24"/>
  <c r="J27" i="24"/>
  <c r="F27" i="24"/>
  <c r="D27" i="24"/>
  <c r="K27" i="24"/>
  <c r="E27" i="24"/>
  <c r="G27" i="24"/>
  <c r="B27" i="24"/>
  <c r="B26" i="24"/>
  <c r="C26" i="24"/>
  <c r="K26" i="24"/>
  <c r="D26" i="24"/>
  <c r="I26" i="24"/>
  <c r="F26" i="24"/>
  <c r="H26" i="24"/>
  <c r="E26" i="24"/>
  <c r="J26" i="24"/>
  <c r="G26" i="24"/>
  <c r="I25" i="24"/>
  <c r="E25" i="24"/>
  <c r="C25" i="24"/>
  <c r="H25" i="24"/>
  <c r="D25" i="24"/>
  <c r="J25" i="24"/>
  <c r="F25" i="24"/>
  <c r="K25" i="24"/>
  <c r="G25" i="24"/>
  <c r="B25" i="24"/>
  <c r="H24" i="24"/>
  <c r="I24" i="24"/>
  <c r="D24" i="24"/>
  <c r="F24" i="24"/>
  <c r="B24" i="24"/>
  <c r="K24" i="24"/>
  <c r="G24" i="24"/>
  <c r="C24" i="24"/>
  <c r="E24" i="24"/>
  <c r="J24" i="24"/>
  <c r="F23" i="24"/>
  <c r="J23" i="24"/>
  <c r="B23" i="24"/>
  <c r="E23" i="24"/>
  <c r="I23" i="24"/>
  <c r="G23" i="24"/>
  <c r="K23" i="24"/>
  <c r="H23" i="24"/>
  <c r="D23" i="24"/>
  <c r="C23" i="24"/>
  <c r="W34" i="18"/>
  <c r="X34" i="18"/>
  <c r="Y34" i="18"/>
  <c r="R35" i="18"/>
  <c r="S35" i="18"/>
  <c r="T35" i="18"/>
  <c r="U35" i="18"/>
  <c r="V35" i="18"/>
  <c r="W35" i="18"/>
  <c r="X35" i="18"/>
  <c r="Y35" i="18"/>
  <c r="R36" i="18"/>
  <c r="S36" i="18"/>
  <c r="T36" i="18"/>
  <c r="W41" i="18"/>
  <c r="U36" i="18"/>
  <c r="V36" i="18"/>
  <c r="W36" i="18"/>
  <c r="X36" i="18"/>
  <c r="Y36" i="18"/>
  <c r="R37" i="18"/>
  <c r="S37" i="18"/>
  <c r="T37" i="18"/>
  <c r="U37" i="18"/>
  <c r="V37" i="18"/>
  <c r="W37" i="18"/>
  <c r="X37" i="18"/>
  <c r="Y37" i="18"/>
  <c r="R38" i="18"/>
  <c r="X41" i="18"/>
  <c r="S38" i="18"/>
  <c r="T38" i="18"/>
  <c r="U38" i="18"/>
  <c r="V38" i="18"/>
  <c r="W38" i="18"/>
  <c r="X38" i="18"/>
  <c r="Y38" i="18"/>
  <c r="R39" i="18"/>
  <c r="S39" i="18"/>
  <c r="T39" i="18"/>
  <c r="U39" i="18"/>
  <c r="V39" i="18"/>
  <c r="W39" i="18"/>
  <c r="X39" i="18"/>
  <c r="Y41" i="18"/>
  <c r="Y39" i="18"/>
  <c r="R40" i="18"/>
  <c r="S40" i="18"/>
  <c r="T40" i="18"/>
  <c r="U40" i="18"/>
  <c r="V40" i="18"/>
  <c r="W40" i="18"/>
  <c r="X40" i="18"/>
  <c r="Y40" i="18"/>
  <c r="R26" i="18"/>
  <c r="S26" i="18"/>
  <c r="T26" i="18"/>
  <c r="U26" i="18"/>
  <c r="V26" i="18"/>
  <c r="W26" i="18"/>
  <c r="X26" i="18"/>
  <c r="Y26" i="18"/>
  <c r="R27" i="18"/>
  <c r="S27" i="18"/>
  <c r="T27" i="18"/>
  <c r="U27" i="18"/>
  <c r="V27" i="18"/>
  <c r="R41" i="18"/>
  <c r="W27" i="18"/>
  <c r="X27" i="18"/>
  <c r="Y27" i="18"/>
  <c r="R28" i="18"/>
  <c r="S28" i="18"/>
  <c r="T28" i="18"/>
  <c r="U28" i="18"/>
  <c r="V28" i="18"/>
  <c r="W28" i="18"/>
  <c r="X28" i="18"/>
  <c r="Y28" i="18"/>
  <c r="R29" i="18"/>
  <c r="S29" i="18"/>
  <c r="T29" i="18"/>
  <c r="S41" i="18"/>
  <c r="T41" i="18"/>
  <c r="V29" i="18"/>
  <c r="W29" i="18"/>
  <c r="X29" i="18"/>
  <c r="Y29" i="18"/>
  <c r="R30" i="18"/>
  <c r="S30" i="18"/>
  <c r="T30" i="18"/>
  <c r="U30" i="18"/>
  <c r="V30" i="18"/>
  <c r="W30" i="18"/>
  <c r="X30" i="18"/>
  <c r="Y30" i="18"/>
  <c r="R31" i="18"/>
  <c r="U41" i="18"/>
  <c r="S31" i="18"/>
  <c r="T31" i="18"/>
  <c r="U31" i="18"/>
  <c r="V31" i="18"/>
  <c r="W31" i="18"/>
  <c r="X31" i="18"/>
  <c r="Y31" i="18"/>
  <c r="R32" i="18"/>
  <c r="S32" i="18"/>
  <c r="T32" i="18"/>
  <c r="U32" i="18"/>
  <c r="V32" i="18"/>
  <c r="W32" i="18"/>
  <c r="X32" i="18"/>
  <c r="V41" i="18"/>
  <c r="Y32" i="18"/>
  <c r="R33" i="18"/>
  <c r="S33" i="18"/>
  <c r="T33" i="18"/>
  <c r="U33" i="18"/>
  <c r="V33" i="18"/>
  <c r="W33" i="18"/>
  <c r="X33" i="18"/>
  <c r="Y33" i="18"/>
  <c r="R34" i="18"/>
  <c r="S34" i="18"/>
  <c r="T34" i="18"/>
  <c r="U34" i="18"/>
  <c r="V34" i="18"/>
  <c r="U29" i="18"/>
  <c r="P80" i="26"/>
  <c r="P89" i="26"/>
  <c r="P24" i="26"/>
  <c r="P23" i="26"/>
  <c r="P44" i="26"/>
  <c r="P26" i="26"/>
  <c r="P9" i="26"/>
  <c r="P83" i="26"/>
  <c r="P55" i="26"/>
  <c r="P7" i="26"/>
  <c r="P47" i="26"/>
  <c r="P81" i="26"/>
  <c r="P78" i="26"/>
  <c r="P63" i="26"/>
  <c r="P61" i="26"/>
  <c r="P76" i="26"/>
  <c r="P71" i="26"/>
  <c r="P69" i="26"/>
  <c r="P29" i="26"/>
  <c r="P12" i="26"/>
  <c r="P58" i="26"/>
  <c r="P57" i="26"/>
  <c r="P31" i="26"/>
  <c r="P85" i="26"/>
  <c r="P90" i="26"/>
  <c r="P56" i="26"/>
  <c r="P72" i="26"/>
  <c r="P79" i="26"/>
  <c r="P84" i="26"/>
  <c r="P54" i="26"/>
  <c r="P36" i="26"/>
  <c r="P62" i="26"/>
  <c r="P68" i="26"/>
  <c r="P25" i="26"/>
  <c r="P43" i="26"/>
  <c r="P10" i="26"/>
  <c r="P52" i="26"/>
  <c r="P77" i="26"/>
  <c r="P75" i="26"/>
  <c r="P30" i="26"/>
  <c r="P60" i="26"/>
  <c r="P39" i="26"/>
  <c r="P11" i="26"/>
  <c r="P33" i="26"/>
  <c r="P82" i="26"/>
  <c r="P67" i="26"/>
  <c r="P22" i="26"/>
  <c r="P74" i="26"/>
  <c r="P40" i="26"/>
  <c r="P32" i="26"/>
  <c r="P66" i="26"/>
  <c r="P16" i="26"/>
  <c r="P73" i="26"/>
  <c r="P86" i="26"/>
  <c r="P50" i="26"/>
  <c r="P45" i="26"/>
  <c r="P70" i="26"/>
  <c r="P28" i="26"/>
  <c r="P88" i="26"/>
  <c r="P41" i="26"/>
  <c r="P18" i="26"/>
  <c r="P48" i="26"/>
  <c r="P65" i="26"/>
  <c r="P37" i="26"/>
  <c r="P59" i="26"/>
  <c r="P42" i="26"/>
  <c r="P49" i="26"/>
  <c r="P34" i="26"/>
  <c r="P87" i="26"/>
  <c r="P35" i="26"/>
  <c r="P20" i="26"/>
  <c r="P19" i="26"/>
  <c r="P51" i="26"/>
  <c r="P64" i="26"/>
  <c r="P27" i="26"/>
  <c r="P15" i="26"/>
  <c r="P53" i="26"/>
  <c r="P14" i="26"/>
  <c r="P13" i="26"/>
  <c r="P8" i="26"/>
  <c r="P6" i="26"/>
  <c r="P46" i="26"/>
  <c r="P21" i="26"/>
  <c r="P17" i="26"/>
  <c r="P38" i="26"/>
  <c r="O41" i="26"/>
  <c r="O24" i="26"/>
  <c r="O25" i="26"/>
  <c r="O78" i="26"/>
  <c r="O15" i="26"/>
  <c r="O28" i="26"/>
  <c r="O27" i="26"/>
  <c r="O61" i="26"/>
  <c r="O84" i="26"/>
  <c r="O79" i="26"/>
  <c r="O54" i="26"/>
  <c r="O58" i="26"/>
  <c r="O38" i="26"/>
  <c r="O68" i="26"/>
  <c r="O36" i="26"/>
  <c r="O34" i="26"/>
  <c r="O80" i="26"/>
  <c r="O90" i="26"/>
  <c r="O31" i="26"/>
  <c r="O67" i="26"/>
  <c r="O50" i="26"/>
  <c r="O60" i="26"/>
  <c r="O66" i="26"/>
  <c r="O73" i="26"/>
  <c r="O81" i="26"/>
  <c r="O14" i="26"/>
  <c r="O86" i="26"/>
  <c r="O32" i="26"/>
  <c r="O33" i="26"/>
  <c r="O43" i="26"/>
  <c r="O11" i="26"/>
  <c r="O85" i="26"/>
  <c r="O56" i="26"/>
  <c r="O39" i="26"/>
  <c r="O35" i="26"/>
  <c r="O37" i="26"/>
  <c r="O64" i="26"/>
  <c r="O53" i="26"/>
  <c r="O8" i="26"/>
  <c r="O40" i="26"/>
  <c r="O82" i="26"/>
  <c r="O89" i="26"/>
  <c r="O57" i="26"/>
  <c r="O45" i="26"/>
  <c r="O22" i="26"/>
  <c r="O63" i="26"/>
  <c r="O21" i="26"/>
  <c r="O70" i="26"/>
  <c r="O59" i="26"/>
  <c r="O9" i="26"/>
  <c r="O83" i="26"/>
  <c r="O75" i="26"/>
  <c r="O88" i="26"/>
  <c r="O6" i="26"/>
  <c r="O71" i="26"/>
  <c r="O16" i="26"/>
  <c r="O42" i="26"/>
  <c r="O46" i="26"/>
  <c r="O49" i="26"/>
  <c r="O51" i="26"/>
  <c r="O44" i="26"/>
  <c r="O87" i="26"/>
  <c r="O13" i="26"/>
  <c r="O30" i="26"/>
  <c r="O12" i="26"/>
  <c r="O77" i="26"/>
  <c r="O7" i="26"/>
  <c r="O76" i="26"/>
  <c r="O47" i="26"/>
  <c r="O19" i="26"/>
  <c r="O17" i="26"/>
  <c r="O55" i="26"/>
  <c r="O52" i="26"/>
  <c r="O48" i="26"/>
  <c r="O10" i="26"/>
  <c r="O62" i="26"/>
  <c r="O72" i="26"/>
  <c r="O29" i="26"/>
  <c r="O26" i="26"/>
  <c r="O23" i="26"/>
  <c r="O74" i="26"/>
  <c r="O20" i="26"/>
  <c r="O18" i="26"/>
  <c r="O65" i="26"/>
  <c r="O69" i="26"/>
  <c r="N87" i="26"/>
  <c r="N57" i="26"/>
  <c r="N51" i="26"/>
  <c r="N9" i="26"/>
  <c r="N56" i="26"/>
  <c r="N12" i="26"/>
  <c r="N55" i="26"/>
  <c r="N47" i="26"/>
  <c r="N24" i="26"/>
  <c r="N39" i="26"/>
  <c r="N25" i="26"/>
  <c r="N38" i="26"/>
  <c r="N27" i="26"/>
  <c r="N28" i="26"/>
  <c r="N10" i="26"/>
  <c r="N29" i="26"/>
  <c r="N36" i="26"/>
  <c r="N31" i="26"/>
  <c r="N50" i="26"/>
  <c r="N43" i="26"/>
  <c r="N33" i="26"/>
  <c r="N85" i="26"/>
  <c r="N90" i="26"/>
  <c r="N83" i="26"/>
  <c r="N45" i="26"/>
  <c r="N35" i="26"/>
  <c r="N89" i="26"/>
  <c r="N78" i="26"/>
  <c r="N26" i="26"/>
  <c r="N49" i="26"/>
  <c r="N30" i="26"/>
  <c r="N23" i="26"/>
  <c r="N79" i="26"/>
  <c r="N54" i="26"/>
  <c r="N68" i="26"/>
  <c r="N80" i="26"/>
  <c r="N67" i="26"/>
  <c r="N66" i="26"/>
  <c r="N88" i="26"/>
  <c r="N81" i="26"/>
  <c r="N86" i="26"/>
  <c r="N65" i="26"/>
  <c r="N69" i="26"/>
  <c r="N34" i="26"/>
  <c r="N41" i="26"/>
  <c r="N53" i="26"/>
  <c r="N64" i="26"/>
  <c r="N22" i="26"/>
  <c r="N70" i="26"/>
  <c r="N46" i="26"/>
  <c r="N77" i="26"/>
  <c r="N37" i="26"/>
  <c r="N76" i="26"/>
  <c r="N42" i="26"/>
  <c r="N8" i="26"/>
  <c r="N63" i="26"/>
  <c r="N44" i="26"/>
  <c r="N20" i="26"/>
  <c r="N75" i="26"/>
  <c r="N48" i="26"/>
  <c r="N62" i="26"/>
  <c r="N52" i="26"/>
  <c r="N15" i="26"/>
  <c r="N74" i="26"/>
  <c r="N14" i="26"/>
  <c r="N61" i="26"/>
  <c r="N11" i="26"/>
  <c r="N13" i="26"/>
  <c r="N82" i="26"/>
  <c r="N7" i="26"/>
  <c r="N84" i="26"/>
  <c r="N6" i="26"/>
  <c r="N73" i="26"/>
  <c r="N60" i="26"/>
  <c r="N32" i="26"/>
  <c r="N59" i="26"/>
  <c r="N21" i="26"/>
  <c r="N72" i="26"/>
  <c r="N19" i="26"/>
  <c r="N58" i="26"/>
  <c r="N18" i="26"/>
  <c r="N40" i="26"/>
  <c r="N17" i="26"/>
  <c r="N71" i="26"/>
  <c r="N16" i="26"/>
  <c r="M78" i="26"/>
  <c r="M45" i="26"/>
  <c r="M25" i="26"/>
  <c r="M10" i="26"/>
  <c r="M84" i="26"/>
  <c r="M9" i="26"/>
  <c r="M22" i="26"/>
  <c r="M34" i="26"/>
  <c r="M24" i="26"/>
  <c r="M23" i="26"/>
  <c r="M52" i="26"/>
  <c r="M44" i="26"/>
  <c r="M89" i="26"/>
  <c r="M82" i="26"/>
  <c r="M7" i="26"/>
  <c r="M55" i="26"/>
  <c r="M62" i="26"/>
  <c r="M72" i="26"/>
  <c r="M6" i="26"/>
  <c r="M75" i="26"/>
  <c r="M21" i="26"/>
  <c r="M59" i="26"/>
  <c r="M8" i="26"/>
  <c r="M39" i="26"/>
  <c r="M26" i="26"/>
  <c r="M60" i="26"/>
  <c r="M37" i="26"/>
  <c r="M88" i="26"/>
  <c r="M63" i="26"/>
  <c r="M76" i="26"/>
  <c r="M18" i="26"/>
  <c r="M43" i="26"/>
  <c r="M47" i="26"/>
  <c r="M12" i="26"/>
  <c r="M86" i="26"/>
  <c r="M16" i="26"/>
  <c r="M64" i="26"/>
  <c r="M53" i="26"/>
  <c r="M71" i="26"/>
  <c r="M51" i="26"/>
  <c r="M35" i="26"/>
  <c r="M65" i="26"/>
  <c r="M33" i="26"/>
  <c r="M14" i="26"/>
  <c r="M48" i="26"/>
  <c r="M83" i="26"/>
  <c r="M66" i="26"/>
  <c r="M81" i="26"/>
  <c r="M42" i="26"/>
  <c r="M67" i="26"/>
  <c r="M58" i="26"/>
  <c r="M40" i="26"/>
  <c r="M57" i="26"/>
  <c r="M19" i="26"/>
  <c r="M32" i="26"/>
  <c r="M17" i="26"/>
  <c r="M56" i="26"/>
  <c r="M69" i="26"/>
  <c r="M73" i="26"/>
  <c r="M85" i="26"/>
  <c r="M61" i="26"/>
  <c r="M13" i="26"/>
  <c r="M54" i="26"/>
  <c r="M80" i="26"/>
  <c r="M41" i="26"/>
  <c r="M30" i="26"/>
  <c r="M11" i="26"/>
  <c r="M49" i="26"/>
  <c r="M50" i="26"/>
  <c r="M27" i="26"/>
  <c r="M28" i="26"/>
  <c r="M70" i="26"/>
  <c r="M36" i="26"/>
  <c r="M68" i="26"/>
  <c r="M38" i="26"/>
  <c r="M20" i="26"/>
  <c r="M46" i="26"/>
  <c r="M79" i="26"/>
  <c r="M31" i="26"/>
  <c r="M74" i="26"/>
  <c r="M90" i="26"/>
  <c r="M29" i="26"/>
  <c r="M15" i="26"/>
  <c r="M77" i="26"/>
  <c r="M87" i="26"/>
  <c r="L42" i="26"/>
  <c r="L30" i="26"/>
  <c r="L85" i="26"/>
  <c r="L83" i="26"/>
  <c r="L47" i="26"/>
  <c r="L12" i="26"/>
  <c r="L38" i="26"/>
  <c r="L46" i="26"/>
  <c r="L70" i="26"/>
  <c r="L25" i="26"/>
  <c r="L27" i="26"/>
  <c r="L45" i="26"/>
  <c r="L31" i="26"/>
  <c r="L43" i="26"/>
  <c r="L39" i="26"/>
  <c r="L55" i="26"/>
  <c r="L56" i="26"/>
  <c r="L57" i="26"/>
  <c r="L40" i="26"/>
  <c r="L58" i="26"/>
  <c r="L59" i="26"/>
  <c r="L60" i="26"/>
  <c r="L61" i="26"/>
  <c r="L62" i="26"/>
  <c r="L82" i="26"/>
  <c r="L63" i="26"/>
  <c r="L64" i="26"/>
  <c r="L65" i="26"/>
  <c r="L66" i="26"/>
  <c r="L67" i="26"/>
  <c r="L68" i="26"/>
  <c r="L28" i="26"/>
  <c r="L24" i="26"/>
  <c r="L22" i="26"/>
  <c r="L78" i="26"/>
  <c r="L48" i="26"/>
  <c r="L20" i="26"/>
  <c r="L79" i="26"/>
  <c r="L80" i="26"/>
  <c r="L54" i="26"/>
  <c r="L81" i="26"/>
  <c r="L32" i="26"/>
  <c r="L33" i="26"/>
  <c r="L35" i="26"/>
  <c r="L15" i="26"/>
  <c r="L53" i="26"/>
  <c r="L76" i="26"/>
  <c r="L14" i="26"/>
  <c r="L75" i="26"/>
  <c r="L37" i="26"/>
  <c r="L74" i="26"/>
  <c r="L52" i="26"/>
  <c r="L10" i="26"/>
  <c r="L73" i="26"/>
  <c r="L8" i="26"/>
  <c r="L13" i="26"/>
  <c r="L7" i="26"/>
  <c r="L72" i="26"/>
  <c r="L71" i="26"/>
  <c r="L6" i="26"/>
  <c r="L29" i="26"/>
  <c r="L11" i="26"/>
  <c r="L51" i="26"/>
  <c r="L26" i="26"/>
  <c r="L41" i="26"/>
  <c r="L23" i="26"/>
  <c r="L34" i="26"/>
  <c r="L90" i="26"/>
  <c r="L21" i="26"/>
  <c r="L36" i="26"/>
  <c r="L50" i="26"/>
  <c r="L89" i="26"/>
  <c r="L19" i="26"/>
  <c r="L84" i="26"/>
  <c r="L88" i="26"/>
  <c r="L18" i="26"/>
  <c r="L9" i="26"/>
  <c r="L44" i="26"/>
  <c r="L17" i="26"/>
  <c r="L87" i="26"/>
  <c r="L69" i="26"/>
  <c r="L16" i="26"/>
  <c r="L77" i="26"/>
  <c r="L86" i="26"/>
  <c r="L49" i="26"/>
  <c r="K55" i="26"/>
  <c r="K84" i="26"/>
  <c r="K36" i="26"/>
  <c r="K86" i="26"/>
  <c r="K31" i="26"/>
  <c r="K60" i="26"/>
  <c r="K28" i="26"/>
  <c r="K58" i="26"/>
  <c r="K62" i="26"/>
  <c r="K14" i="26"/>
  <c r="K34" i="26"/>
  <c r="K37" i="26"/>
  <c r="K73" i="26"/>
  <c r="K25" i="26"/>
  <c r="K76" i="26"/>
  <c r="K82" i="26"/>
  <c r="K52" i="26"/>
  <c r="K75" i="26"/>
  <c r="K24" i="26"/>
  <c r="K72" i="26"/>
  <c r="K66" i="26"/>
  <c r="K47" i="26"/>
  <c r="K8" i="26"/>
  <c r="K32" i="26"/>
  <c r="K23" i="26"/>
  <c r="K51" i="26"/>
  <c r="K12" i="26"/>
  <c r="K59" i="26"/>
  <c r="K53" i="26"/>
  <c r="K56" i="26"/>
  <c r="K10" i="26"/>
  <c r="K41" i="26"/>
  <c r="K33" i="26"/>
  <c r="K9" i="26"/>
  <c r="K81" i="26"/>
  <c r="K65" i="26"/>
  <c r="K85" i="26"/>
  <c r="K61" i="26"/>
  <c r="K57" i="26"/>
  <c r="K67" i="26"/>
  <c r="K64" i="26"/>
  <c r="K63" i="26"/>
  <c r="K74" i="26"/>
  <c r="K71" i="26"/>
  <c r="K49" i="26"/>
  <c r="K39" i="26"/>
  <c r="K54" i="26"/>
  <c r="K80" i="26"/>
  <c r="K68" i="26"/>
  <c r="K48" i="26"/>
  <c r="K40" i="26"/>
  <c r="K79" i="26"/>
  <c r="K30" i="26"/>
  <c r="K29" i="26"/>
  <c r="K44" i="26"/>
  <c r="K26" i="26"/>
  <c r="K78" i="26"/>
  <c r="K87" i="26"/>
  <c r="K83" i="26"/>
  <c r="K69" i="26"/>
  <c r="K7" i="26"/>
  <c r="K38" i="26"/>
  <c r="K70" i="26"/>
  <c r="K17" i="26"/>
  <c r="K16" i="26"/>
  <c r="K15" i="26"/>
  <c r="K46" i="26"/>
  <c r="K13" i="26"/>
  <c r="K18" i="26"/>
  <c r="K11" i="26"/>
  <c r="K88" i="26"/>
  <c r="K21" i="26"/>
  <c r="K6" i="26"/>
  <c r="K27" i="26"/>
  <c r="K22" i="26"/>
  <c r="K89" i="26"/>
  <c r="K50" i="26"/>
  <c r="K20" i="26"/>
  <c r="K35" i="26"/>
  <c r="K19" i="26"/>
  <c r="K90" i="26"/>
  <c r="K42" i="26"/>
  <c r="K45" i="26"/>
  <c r="K77" i="26"/>
  <c r="K43" i="26"/>
  <c r="J64" i="26"/>
  <c r="J7" i="26"/>
  <c r="J48" i="26"/>
  <c r="J70" i="26"/>
  <c r="J54" i="26"/>
  <c r="J32" i="26"/>
  <c r="J29" i="26"/>
  <c r="J35" i="26"/>
  <c r="J87" i="26"/>
  <c r="J80" i="26"/>
  <c r="J27" i="26"/>
  <c r="J12" i="26"/>
  <c r="J26" i="26"/>
  <c r="J79" i="26"/>
  <c r="J31" i="26"/>
  <c r="J75" i="26"/>
  <c r="J15" i="26"/>
  <c r="J40" i="26"/>
  <c r="J39" i="26"/>
  <c r="J44" i="26"/>
  <c r="J43" i="26"/>
  <c r="J28" i="26"/>
  <c r="J51" i="26"/>
  <c r="J68" i="26"/>
  <c r="J78" i="26"/>
  <c r="J25" i="26"/>
  <c r="J47" i="26"/>
  <c r="J84" i="26"/>
  <c r="J55" i="26"/>
  <c r="J23" i="26"/>
  <c r="J90" i="26"/>
  <c r="J37" i="26"/>
  <c r="J22" i="26"/>
  <c r="J13" i="26"/>
  <c r="J86" i="26"/>
  <c r="J56" i="26"/>
  <c r="J20" i="26"/>
  <c r="J62" i="26"/>
  <c r="J65" i="26"/>
  <c r="J38" i="26"/>
  <c r="J19" i="26"/>
  <c r="J8" i="26"/>
  <c r="J57" i="26"/>
  <c r="J49" i="26"/>
  <c r="J63" i="26"/>
  <c r="J71" i="26"/>
  <c r="J14" i="26"/>
  <c r="J46" i="26"/>
  <c r="J58" i="26"/>
  <c r="J42" i="26"/>
  <c r="J76" i="26"/>
  <c r="J88" i="26"/>
  <c r="J41" i="26"/>
  <c r="J10" i="26"/>
  <c r="J69" i="26"/>
  <c r="J72" i="26"/>
  <c r="J53" i="26"/>
  <c r="J6" i="26"/>
  <c r="J59" i="26"/>
  <c r="J52" i="26"/>
  <c r="J89" i="26"/>
  <c r="J66" i="26"/>
  <c r="J24" i="26"/>
  <c r="J50" i="26"/>
  <c r="J21" i="26"/>
  <c r="J34" i="26"/>
  <c r="J9" i="26"/>
  <c r="J60" i="26"/>
  <c r="J73" i="26"/>
  <c r="J82" i="26"/>
  <c r="J61" i="26"/>
  <c r="J36" i="26"/>
  <c r="J11" i="26"/>
  <c r="J18" i="26"/>
  <c r="J74" i="26"/>
  <c r="J30" i="26"/>
  <c r="J17" i="26"/>
  <c r="J83" i="26"/>
  <c r="J45" i="26"/>
  <c r="J85" i="26"/>
  <c r="J16" i="26"/>
  <c r="J77" i="26"/>
  <c r="J81" i="26"/>
  <c r="J67" i="26"/>
  <c r="J33" i="26"/>
  <c r="I63" i="26"/>
  <c r="I64" i="26"/>
  <c r="I87" i="26"/>
  <c r="I42" i="26"/>
  <c r="I14" i="26"/>
  <c r="I65" i="26"/>
  <c r="I82" i="26"/>
  <c r="I48" i="26"/>
  <c r="I32" i="26"/>
  <c r="I66" i="26"/>
  <c r="I38" i="26"/>
  <c r="I12" i="26"/>
  <c r="I45" i="26"/>
  <c r="I17" i="26"/>
  <c r="I35" i="26"/>
  <c r="I16" i="26"/>
  <c r="I49" i="26"/>
  <c r="I10" i="26"/>
  <c r="I15" i="26"/>
  <c r="I9" i="26"/>
  <c r="I88" i="26"/>
  <c r="I81" i="26"/>
  <c r="I67" i="26"/>
  <c r="I33" i="26"/>
  <c r="I18" i="26"/>
  <c r="I28" i="26"/>
  <c r="I39" i="26"/>
  <c r="I25" i="26"/>
  <c r="I51" i="26"/>
  <c r="I44" i="26"/>
  <c r="I56" i="26"/>
  <c r="I84" i="26"/>
  <c r="I46" i="26"/>
  <c r="I8" i="26"/>
  <c r="I68" i="26"/>
  <c r="I21" i="26"/>
  <c r="I7" i="26"/>
  <c r="I83" i="26"/>
  <c r="I50" i="26"/>
  <c r="I40" i="26"/>
  <c r="I36" i="26"/>
  <c r="I57" i="26"/>
  <c r="I29" i="26"/>
  <c r="I89" i="26"/>
  <c r="I6" i="26"/>
  <c r="I27" i="26"/>
  <c r="I22" i="26"/>
  <c r="I80" i="26"/>
  <c r="I26" i="26"/>
  <c r="I71" i="26"/>
  <c r="I58" i="26"/>
  <c r="I23" i="26"/>
  <c r="I43" i="26"/>
  <c r="I54" i="26"/>
  <c r="I13" i="26"/>
  <c r="I72" i="26"/>
  <c r="I79" i="26"/>
  <c r="I59" i="26"/>
  <c r="I31" i="26"/>
  <c r="I20" i="26"/>
  <c r="I90" i="26"/>
  <c r="I52" i="26"/>
  <c r="I11" i="26"/>
  <c r="I19" i="26"/>
  <c r="I73" i="26"/>
  <c r="I60" i="26"/>
  <c r="I47" i="26"/>
  <c r="I85" i="26"/>
  <c r="I55" i="26"/>
  <c r="I53" i="26"/>
  <c r="I37" i="26"/>
  <c r="I61" i="26"/>
  <c r="I74" i="26"/>
  <c r="I34" i="26"/>
  <c r="I62" i="26"/>
  <c r="I78" i="26"/>
  <c r="I75" i="26"/>
  <c r="I24" i="26"/>
  <c r="I77" i="26"/>
  <c r="I86" i="26"/>
  <c r="I70" i="26"/>
  <c r="I76" i="26"/>
  <c r="I30" i="26"/>
  <c r="I41" i="26"/>
  <c r="I69" i="26"/>
  <c r="H19" i="26"/>
  <c r="H37" i="26"/>
  <c r="H22" i="26"/>
  <c r="H32" i="26"/>
  <c r="H59" i="26"/>
  <c r="H47" i="26"/>
  <c r="H7" i="26"/>
  <c r="H43" i="26"/>
  <c r="H15" i="26"/>
  <c r="H45" i="26"/>
  <c r="H40" i="26"/>
  <c r="H66" i="26"/>
  <c r="H78" i="26"/>
  <c r="H55" i="26"/>
  <c r="H14" i="26"/>
  <c r="H35" i="26"/>
  <c r="H82" i="26"/>
  <c r="H60" i="26"/>
  <c r="H79" i="26"/>
  <c r="H69" i="26"/>
  <c r="H11" i="26"/>
  <c r="H80" i="26"/>
  <c r="H81" i="26"/>
  <c r="H67" i="26"/>
  <c r="H54" i="26"/>
  <c r="H33" i="26"/>
  <c r="H39" i="26"/>
  <c r="H34" i="26"/>
  <c r="H36" i="26"/>
  <c r="H61" i="26"/>
  <c r="H53" i="26"/>
  <c r="H76" i="26"/>
  <c r="H68" i="26"/>
  <c r="H75" i="26"/>
  <c r="H46" i="26"/>
  <c r="H74" i="26"/>
  <c r="H29" i="26"/>
  <c r="H44" i="26"/>
  <c r="H83" i="26"/>
  <c r="H73" i="26"/>
  <c r="H41" i="26"/>
  <c r="H62" i="26"/>
  <c r="H72" i="26"/>
  <c r="H56" i="26"/>
  <c r="H52" i="26"/>
  <c r="H9" i="26"/>
  <c r="H12" i="26"/>
  <c r="H30" i="26"/>
  <c r="H84" i="26"/>
  <c r="H23" i="26"/>
  <c r="H21" i="26"/>
  <c r="H71" i="26"/>
  <c r="H85" i="26"/>
  <c r="H24" i="26"/>
  <c r="H51" i="26"/>
  <c r="H63" i="26"/>
  <c r="H31" i="26"/>
  <c r="H57" i="26"/>
  <c r="H26" i="26"/>
  <c r="H90" i="26"/>
  <c r="H89" i="26"/>
  <c r="H50" i="26"/>
  <c r="H25" i="26"/>
  <c r="H27" i="26"/>
  <c r="H88" i="26"/>
  <c r="H18" i="26"/>
  <c r="H87" i="26"/>
  <c r="H42" i="26"/>
  <c r="H86" i="26"/>
  <c r="H64" i="26"/>
  <c r="H17" i="26"/>
  <c r="H28" i="26"/>
  <c r="H6" i="26"/>
  <c r="H58" i="26"/>
  <c r="H49" i="26"/>
  <c r="H8" i="26"/>
  <c r="H16" i="26"/>
  <c r="H77" i="26"/>
  <c r="H10" i="26"/>
  <c r="H13" i="26"/>
  <c r="H20" i="26"/>
  <c r="H70" i="26"/>
  <c r="H38" i="26"/>
  <c r="H48" i="26"/>
  <c r="H65" i="26"/>
  <c r="G51" i="26"/>
  <c r="G22" i="26"/>
  <c r="G53" i="26"/>
  <c r="G26" i="26"/>
  <c r="G61" i="26"/>
  <c r="G8" i="26"/>
  <c r="G67" i="26"/>
  <c r="G52" i="26"/>
  <c r="G72" i="26"/>
  <c r="G24" i="26"/>
  <c r="G13" i="26"/>
  <c r="G82" i="26"/>
  <c r="G40" i="26"/>
  <c r="G56" i="26"/>
  <c r="G73" i="26"/>
  <c r="G74" i="26"/>
  <c r="G75" i="26"/>
  <c r="G10" i="26"/>
  <c r="G76" i="26"/>
  <c r="G68" i="26"/>
  <c r="G41" i="26"/>
  <c r="G62" i="26"/>
  <c r="G25" i="26"/>
  <c r="G83" i="26"/>
  <c r="G14" i="26"/>
  <c r="G42" i="26"/>
  <c r="G35" i="26"/>
  <c r="G6" i="26"/>
  <c r="G54" i="26"/>
  <c r="G57" i="26"/>
  <c r="G43" i="26"/>
  <c r="G32" i="26"/>
  <c r="G84" i="26"/>
  <c r="G81" i="26"/>
  <c r="G31" i="26"/>
  <c r="G80" i="26"/>
  <c r="G63" i="26"/>
  <c r="G15" i="26"/>
  <c r="G85" i="26"/>
  <c r="G38" i="26"/>
  <c r="G30" i="26"/>
  <c r="G79" i="26"/>
  <c r="G55" i="26"/>
  <c r="G69" i="26"/>
  <c r="G78" i="26"/>
  <c r="G28" i="26"/>
  <c r="G58" i="26"/>
  <c r="G11" i="26"/>
  <c r="G34" i="26"/>
  <c r="G9" i="26"/>
  <c r="G64" i="26"/>
  <c r="G16" i="26"/>
  <c r="G20" i="26"/>
  <c r="G71" i="26"/>
  <c r="G49" i="26"/>
  <c r="G37" i="26"/>
  <c r="G44" i="26"/>
  <c r="G19" i="26"/>
  <c r="G47" i="26"/>
  <c r="G48" i="26"/>
  <c r="G18" i="26"/>
  <c r="G86" i="26"/>
  <c r="G59" i="26"/>
  <c r="G7" i="26"/>
  <c r="G87" i="26"/>
  <c r="G65" i="26"/>
  <c r="G70" i="26"/>
  <c r="G45" i="26"/>
  <c r="G39" i="26"/>
  <c r="G88" i="26"/>
  <c r="G50" i="26"/>
  <c r="G89" i="26"/>
  <c r="G46" i="26"/>
  <c r="G90" i="26"/>
  <c r="G60" i="26"/>
  <c r="G77" i="26"/>
  <c r="G21" i="26"/>
  <c r="G36" i="26"/>
  <c r="G66" i="26"/>
  <c r="G33" i="26"/>
  <c r="G17" i="26"/>
  <c r="G29" i="26"/>
  <c r="G27" i="26"/>
  <c r="G12" i="26"/>
  <c r="G23" i="26"/>
  <c r="F44" i="26"/>
  <c r="F45" i="26"/>
  <c r="F46" i="26"/>
  <c r="F71" i="26"/>
  <c r="F47" i="26"/>
  <c r="F59" i="26"/>
  <c r="F48" i="26"/>
  <c r="F69" i="26"/>
  <c r="F49" i="26"/>
  <c r="F50" i="26"/>
  <c r="F64" i="26"/>
  <c r="F51" i="26"/>
  <c r="F8" i="26"/>
  <c r="F52" i="26"/>
  <c r="F53" i="26"/>
  <c r="F54" i="26"/>
  <c r="F7" i="26"/>
  <c r="F30" i="26"/>
  <c r="F83" i="26"/>
  <c r="F55" i="26"/>
  <c r="F78" i="26"/>
  <c r="F29" i="26"/>
  <c r="F79" i="26"/>
  <c r="F85" i="26"/>
  <c r="F60" i="26"/>
  <c r="F80" i="26"/>
  <c r="F81" i="26"/>
  <c r="F42" i="26"/>
  <c r="F65" i="26"/>
  <c r="F27" i="26"/>
  <c r="F77" i="26"/>
  <c r="F76" i="26"/>
  <c r="F56" i="26"/>
  <c r="F26" i="26"/>
  <c r="F75" i="26"/>
  <c r="F74" i="26"/>
  <c r="F25" i="26"/>
  <c r="F73" i="26"/>
  <c r="F23" i="26"/>
  <c r="F72" i="26"/>
  <c r="F28" i="26"/>
  <c r="F24" i="26"/>
  <c r="F61" i="26"/>
  <c r="F34" i="26"/>
  <c r="F90" i="26"/>
  <c r="F89" i="26"/>
  <c r="F66" i="26"/>
  <c r="F88" i="26"/>
  <c r="F87" i="26"/>
  <c r="F22" i="26"/>
  <c r="F21" i="26"/>
  <c r="F86" i="26"/>
  <c r="F57" i="26"/>
  <c r="F6" i="26"/>
  <c r="F11" i="26"/>
  <c r="F12" i="26"/>
  <c r="F20" i="26"/>
  <c r="F38" i="26"/>
  <c r="F37" i="26"/>
  <c r="F62" i="26"/>
  <c r="F36" i="26"/>
  <c r="F18" i="26"/>
  <c r="F67" i="26"/>
  <c r="F19" i="26"/>
  <c r="F35" i="26"/>
  <c r="F70" i="26"/>
  <c r="F9" i="26"/>
  <c r="F17" i="26"/>
  <c r="F13" i="26"/>
  <c r="F31" i="26"/>
  <c r="F84" i="26"/>
  <c r="F58" i="26"/>
  <c r="F32" i="26"/>
  <c r="F33" i="26"/>
  <c r="F16" i="26"/>
  <c r="F39" i="26"/>
  <c r="F15" i="26"/>
  <c r="F40" i="26"/>
  <c r="F68" i="26"/>
  <c r="F63" i="26"/>
  <c r="F41" i="26"/>
  <c r="F43" i="26"/>
  <c r="F14" i="26"/>
  <c r="F82" i="26"/>
  <c r="F10" i="26"/>
  <c r="E34" i="26"/>
  <c r="E75" i="26"/>
  <c r="E57" i="26"/>
  <c r="E71" i="26"/>
  <c r="E20" i="26"/>
  <c r="E55" i="26"/>
  <c r="E53" i="26"/>
  <c r="E84" i="26"/>
  <c r="E76" i="26"/>
  <c r="E47" i="26"/>
  <c r="E43" i="26"/>
  <c r="E7" i="26"/>
  <c r="E46" i="26"/>
  <c r="E66" i="26"/>
  <c r="E79" i="26"/>
  <c r="E77" i="26"/>
  <c r="E56" i="26"/>
  <c r="E83" i="26"/>
  <c r="E29" i="26"/>
  <c r="E78" i="26"/>
  <c r="E85" i="26"/>
  <c r="E36" i="26"/>
  <c r="E35" i="26"/>
  <c r="E10" i="26"/>
  <c r="E45" i="26"/>
  <c r="E54" i="26"/>
  <c r="E30" i="26"/>
  <c r="E16" i="26"/>
  <c r="E44" i="26"/>
  <c r="E67" i="26"/>
  <c r="E73" i="26"/>
  <c r="E28" i="26"/>
  <c r="E33" i="26"/>
  <c r="E69" i="26"/>
  <c r="E15" i="26"/>
  <c r="E81" i="26"/>
  <c r="E58" i="26"/>
  <c r="E14" i="26"/>
  <c r="E82" i="26"/>
  <c r="E80" i="26"/>
  <c r="E18" i="26"/>
  <c r="E32" i="26"/>
  <c r="E60" i="26"/>
  <c r="E23" i="26"/>
  <c r="E22" i="26"/>
  <c r="E68" i="26"/>
  <c r="E40" i="26"/>
  <c r="E27" i="26"/>
  <c r="E26" i="26"/>
  <c r="E17" i="26"/>
  <c r="E59" i="26"/>
  <c r="E37" i="26"/>
  <c r="E48" i="26"/>
  <c r="E39" i="26"/>
  <c r="E38" i="26"/>
  <c r="E13" i="26"/>
  <c r="E11" i="26"/>
  <c r="E8" i="26"/>
  <c r="E49" i="26"/>
  <c r="E42" i="26"/>
  <c r="E41" i="26"/>
  <c r="E61" i="26"/>
  <c r="E86" i="26"/>
  <c r="E87" i="26"/>
  <c r="E88" i="26"/>
  <c r="E74" i="26"/>
  <c r="E50" i="26"/>
  <c r="E24" i="26"/>
  <c r="E62" i="26"/>
  <c r="E89" i="26"/>
  <c r="E90" i="26"/>
  <c r="E21" i="26"/>
  <c r="E70" i="26"/>
  <c r="E31" i="26"/>
  <c r="E63" i="26"/>
  <c r="E51" i="26"/>
  <c r="E19" i="26"/>
  <c r="E25" i="26"/>
  <c r="E12" i="26"/>
  <c r="E9" i="26"/>
  <c r="E64" i="26"/>
  <c r="E6" i="26"/>
  <c r="E52" i="26"/>
  <c r="E72" i="26"/>
  <c r="E65" i="26"/>
  <c r="D22" i="26"/>
  <c r="D76" i="26"/>
  <c r="D47" i="26"/>
  <c r="D57" i="26"/>
  <c r="D59" i="26"/>
  <c r="D37" i="26"/>
  <c r="D53" i="26"/>
  <c r="D17" i="26"/>
  <c r="D16" i="26"/>
  <c r="D66" i="26"/>
  <c r="D77" i="26"/>
  <c r="D48" i="26"/>
  <c r="D20" i="26"/>
  <c r="D15" i="26"/>
  <c r="D18" i="26"/>
  <c r="D82" i="26"/>
  <c r="D38" i="26"/>
  <c r="D14" i="26"/>
  <c r="D42" i="26"/>
  <c r="D60" i="26"/>
  <c r="D13" i="26"/>
  <c r="D44" i="26"/>
  <c r="D40" i="26"/>
  <c r="D39" i="26"/>
  <c r="D9" i="26"/>
  <c r="D54" i="26"/>
  <c r="D10" i="26"/>
  <c r="D49" i="26"/>
  <c r="D67" i="26"/>
  <c r="D71" i="26"/>
  <c r="D75" i="26"/>
  <c r="D7" i="26"/>
  <c r="D61" i="26"/>
  <c r="D32" i="26"/>
  <c r="D6" i="26"/>
  <c r="D86" i="26"/>
  <c r="D81" i="26"/>
  <c r="D80" i="26"/>
  <c r="D78" i="26"/>
  <c r="D87" i="26"/>
  <c r="D88" i="26"/>
  <c r="D43" i="26"/>
  <c r="D68" i="26"/>
  <c r="D12" i="26"/>
  <c r="D62" i="26"/>
  <c r="D55" i="26"/>
  <c r="D45" i="26"/>
  <c r="D41" i="26"/>
  <c r="D89" i="26"/>
  <c r="D79" i="26"/>
  <c r="D23" i="26"/>
  <c r="D90" i="26"/>
  <c r="D34" i="26"/>
  <c r="D36" i="26"/>
  <c r="D69" i="26"/>
  <c r="D35" i="26"/>
  <c r="D33" i="26"/>
  <c r="D58" i="26"/>
  <c r="D29" i="26"/>
  <c r="D63" i="26"/>
  <c r="D85" i="26"/>
  <c r="D51" i="26"/>
  <c r="D31" i="26"/>
  <c r="D50" i="26"/>
  <c r="D56" i="26"/>
  <c r="D70" i="26"/>
  <c r="D27" i="26"/>
  <c r="D26" i="26"/>
  <c r="D30" i="26"/>
  <c r="D83" i="26"/>
  <c r="D11" i="26"/>
  <c r="D25" i="26"/>
  <c r="D64" i="26"/>
  <c r="D24" i="26"/>
  <c r="D8" i="26"/>
  <c r="D19" i="26"/>
  <c r="D52" i="26"/>
  <c r="D21" i="26"/>
  <c r="D72" i="26"/>
  <c r="D28" i="26"/>
  <c r="D73" i="26"/>
  <c r="D74" i="26"/>
  <c r="D65" i="26"/>
  <c r="D46" i="26"/>
  <c r="D84" i="26"/>
  <c r="C7" i="26"/>
  <c r="C19" i="26"/>
  <c r="C24" i="26"/>
  <c r="C6" i="26"/>
  <c r="C86" i="26"/>
  <c r="C13" i="26"/>
  <c r="C44" i="26"/>
  <c r="C10" i="26"/>
  <c r="C87" i="26"/>
  <c r="C58" i="26"/>
  <c r="C21" i="26"/>
  <c r="C29" i="26"/>
  <c r="C47" i="26"/>
  <c r="C88" i="26"/>
  <c r="C35" i="26"/>
  <c r="C36" i="26"/>
  <c r="C50" i="26"/>
  <c r="C27" i="26"/>
  <c r="C17" i="26"/>
  <c r="C59" i="26"/>
  <c r="C62" i="26"/>
  <c r="C76" i="26"/>
  <c r="C53" i="26"/>
  <c r="C77" i="26"/>
  <c r="C71" i="26"/>
  <c r="C89" i="26"/>
  <c r="C66" i="26"/>
  <c r="C78" i="26"/>
  <c r="C43" i="26"/>
  <c r="C22" i="26"/>
  <c r="C90" i="26"/>
  <c r="C82" i="26"/>
  <c r="C48" i="26"/>
  <c r="C54" i="26"/>
  <c r="C34" i="26"/>
  <c r="C42" i="26"/>
  <c r="C67" i="26"/>
  <c r="C84" i="26"/>
  <c r="C45" i="26"/>
  <c r="C85" i="26"/>
  <c r="C28" i="26"/>
  <c r="C63" i="26"/>
  <c r="C81" i="26"/>
  <c r="C38" i="26"/>
  <c r="C51" i="26"/>
  <c r="C80" i="26"/>
  <c r="C68" i="26"/>
  <c r="C41" i="26"/>
  <c r="C60" i="26"/>
  <c r="C55" i="26"/>
  <c r="C79" i="26"/>
  <c r="C39" i="26"/>
  <c r="C69" i="26"/>
  <c r="C26" i="26"/>
  <c r="C23" i="26"/>
  <c r="C33" i="26"/>
  <c r="C12" i="26"/>
  <c r="C18" i="26"/>
  <c r="C32" i="26"/>
  <c r="C9" i="26"/>
  <c r="C64" i="26"/>
  <c r="C11" i="26"/>
  <c r="C37" i="26"/>
  <c r="C31" i="26"/>
  <c r="C70" i="26"/>
  <c r="C56" i="26"/>
  <c r="C72" i="26"/>
  <c r="C52" i="26"/>
  <c r="C30" i="26"/>
  <c r="C49" i="26"/>
  <c r="C40" i="26"/>
  <c r="C46" i="26"/>
  <c r="C16" i="26"/>
  <c r="C15" i="26"/>
  <c r="C14" i="26"/>
  <c r="C57" i="26"/>
  <c r="C73" i="26"/>
  <c r="C83" i="26"/>
  <c r="C74" i="26"/>
  <c r="C8" i="26"/>
  <c r="C65" i="26"/>
  <c r="C25" i="26"/>
  <c r="C20" i="26"/>
  <c r="C61" i="26"/>
  <c r="C75" i="26"/>
  <c r="B45" i="26"/>
  <c r="B46" i="26"/>
  <c r="B47" i="26"/>
  <c r="B48" i="26"/>
  <c r="B49" i="26"/>
  <c r="B50" i="26"/>
  <c r="B51" i="26"/>
  <c r="B52" i="26"/>
  <c r="B53" i="26"/>
  <c r="B54" i="26"/>
  <c r="B55" i="26"/>
  <c r="B23" i="26"/>
  <c r="B56" i="26"/>
  <c r="B57" i="26"/>
  <c r="B58" i="26"/>
  <c r="B83" i="26"/>
  <c r="B59" i="26"/>
  <c r="B60" i="26"/>
  <c r="B61" i="26"/>
  <c r="B62" i="26"/>
  <c r="B63" i="26"/>
  <c r="B64" i="26"/>
  <c r="B65" i="26"/>
  <c r="B66" i="26"/>
  <c r="B67" i="26"/>
  <c r="B68" i="26"/>
  <c r="B69" i="26"/>
  <c r="B20" i="26"/>
  <c r="B70" i="26"/>
  <c r="B71" i="26"/>
  <c r="B75" i="26"/>
  <c r="B40" i="26"/>
  <c r="B39" i="26"/>
  <c r="B32" i="26"/>
  <c r="B25" i="26"/>
  <c r="B24" i="26"/>
  <c r="B18" i="26"/>
  <c r="B12" i="26"/>
  <c r="B6" i="26"/>
  <c r="B72" i="26"/>
  <c r="B73" i="26"/>
  <c r="B74" i="26"/>
  <c r="B76" i="26"/>
  <c r="B82" i="26"/>
  <c r="B77" i="26"/>
  <c r="B36" i="26"/>
  <c r="B35" i="26"/>
  <c r="B34" i="26"/>
  <c r="B33" i="26"/>
  <c r="B79" i="26"/>
  <c r="B80" i="26"/>
  <c r="B81" i="26"/>
  <c r="B90" i="26"/>
  <c r="B89" i="26"/>
  <c r="B31" i="26"/>
  <c r="B88" i="26"/>
  <c r="B87" i="26"/>
  <c r="B86" i="26"/>
  <c r="B7" i="26"/>
  <c r="B9" i="26"/>
  <c r="B10" i="26"/>
  <c r="B13" i="26"/>
  <c r="B17" i="26"/>
  <c r="B19" i="26"/>
  <c r="B21" i="26"/>
  <c r="B29" i="26"/>
  <c r="B30" i="26"/>
  <c r="B37" i="26"/>
  <c r="B11" i="26"/>
  <c r="B38" i="26"/>
  <c r="B85" i="26"/>
  <c r="B14" i="26"/>
  <c r="B27" i="26"/>
  <c r="B15" i="26"/>
  <c r="B16" i="26"/>
  <c r="B22" i="26"/>
  <c r="B28" i="26"/>
  <c r="B26" i="26"/>
  <c r="B8" i="26"/>
  <c r="B41" i="26"/>
  <c r="B42" i="26"/>
  <c r="B43" i="26"/>
  <c r="B44" i="26"/>
  <c r="B84" i="26"/>
  <c r="B78" i="26"/>
  <c r="P34" i="27"/>
  <c r="P63" i="27"/>
  <c r="P40" i="27"/>
  <c r="P48" i="27"/>
  <c r="P60" i="27"/>
  <c r="P26" i="27"/>
  <c r="P70" i="27"/>
  <c r="P19" i="27"/>
  <c r="P64" i="27"/>
  <c r="P42" i="27"/>
  <c r="P23" i="27"/>
  <c r="P27" i="27"/>
  <c r="P46" i="27"/>
  <c r="P14" i="27"/>
  <c r="P74" i="27"/>
  <c r="P85" i="27"/>
  <c r="P9" i="27"/>
  <c r="P90" i="27"/>
  <c r="P52" i="27"/>
  <c r="P78" i="27"/>
  <c r="P58" i="27"/>
  <c r="P71" i="27"/>
  <c r="P81" i="27"/>
  <c r="P28" i="27"/>
  <c r="P29" i="27"/>
  <c r="P62" i="27"/>
  <c r="P65" i="27"/>
  <c r="P57" i="27"/>
  <c r="P51" i="27"/>
  <c r="P54" i="27"/>
  <c r="P30" i="27"/>
  <c r="P10" i="27"/>
  <c r="P89" i="27"/>
  <c r="P31" i="27"/>
  <c r="P84" i="27"/>
  <c r="P32" i="27"/>
  <c r="P15" i="27"/>
  <c r="P43" i="27"/>
  <c r="P66" i="27"/>
  <c r="P36" i="27"/>
  <c r="P88" i="27"/>
  <c r="P72" i="27"/>
  <c r="P75" i="27"/>
  <c r="P38" i="27"/>
  <c r="P39" i="27"/>
  <c r="P22" i="27"/>
  <c r="P87" i="27"/>
  <c r="P11" i="27"/>
  <c r="P49" i="27"/>
  <c r="P47" i="27"/>
  <c r="P67" i="27"/>
  <c r="P56" i="27"/>
  <c r="P83" i="27"/>
  <c r="P80" i="27"/>
  <c r="P21" i="27"/>
  <c r="P50" i="27"/>
  <c r="P45" i="27"/>
  <c r="P20" i="27"/>
  <c r="P24" i="27"/>
  <c r="P35" i="27"/>
  <c r="P16" i="27"/>
  <c r="P86" i="27"/>
  <c r="P12" i="27"/>
  <c r="P68" i="27"/>
  <c r="P25" i="27"/>
  <c r="P6" i="27"/>
  <c r="P73" i="27"/>
  <c r="P33" i="27"/>
  <c r="P53" i="27"/>
  <c r="P61" i="27"/>
  <c r="P69" i="27"/>
  <c r="P17" i="27"/>
  <c r="P37" i="27"/>
  <c r="P82" i="27"/>
  <c r="P79" i="27"/>
  <c r="P8" i="27"/>
  <c r="P7" i="27"/>
  <c r="P13" i="27"/>
  <c r="P18" i="27"/>
  <c r="P76" i="27"/>
  <c r="P55" i="27"/>
  <c r="P77" i="27"/>
  <c r="P59" i="27"/>
  <c r="P44" i="27"/>
  <c r="P41" i="27"/>
  <c r="O84" i="27"/>
  <c r="O26" i="27"/>
  <c r="O16" i="27"/>
  <c r="O64" i="27"/>
  <c r="O33" i="27"/>
  <c r="O81" i="27"/>
  <c r="O46" i="27"/>
  <c r="O69" i="27"/>
  <c r="O9" i="27"/>
  <c r="O85" i="27"/>
  <c r="O76" i="27"/>
  <c r="O58" i="27"/>
  <c r="O35" i="27"/>
  <c r="O32" i="27"/>
  <c r="O82" i="27"/>
  <c r="O65" i="27"/>
  <c r="O54" i="27"/>
  <c r="O13" i="27"/>
  <c r="O10" i="27"/>
  <c r="O66" i="27"/>
  <c r="O78" i="27"/>
  <c r="O51" i="27"/>
  <c r="O55" i="27"/>
  <c r="O61" i="27"/>
  <c r="O57" i="27"/>
  <c r="O15" i="27"/>
  <c r="O70" i="27"/>
  <c r="O48" i="27"/>
  <c r="O67" i="27"/>
  <c r="O49" i="27"/>
  <c r="O71" i="27"/>
  <c r="O11" i="27"/>
  <c r="O47" i="27"/>
  <c r="O83" i="27"/>
  <c r="O80" i="27"/>
  <c r="O14" i="27"/>
  <c r="O56" i="27"/>
  <c r="O72" i="27"/>
  <c r="O68" i="27"/>
  <c r="O34" i="27"/>
  <c r="O12" i="27"/>
  <c r="O90" i="27"/>
  <c r="O19" i="27"/>
  <c r="O37" i="27"/>
  <c r="O40" i="27"/>
  <c r="O42" i="27"/>
  <c r="O60" i="27"/>
  <c r="O23" i="27"/>
  <c r="O53" i="27"/>
  <c r="O27" i="27"/>
  <c r="O79" i="27"/>
  <c r="O28" i="27"/>
  <c r="O59" i="27"/>
  <c r="O20" i="27"/>
  <c r="O8" i="27"/>
  <c r="O29" i="27"/>
  <c r="O7" i="27"/>
  <c r="O30" i="27"/>
  <c r="O41" i="27"/>
  <c r="O89" i="27"/>
  <c r="O75" i="27"/>
  <c r="O31" i="27"/>
  <c r="O18" i="27"/>
  <c r="O63" i="27"/>
  <c r="O62" i="27"/>
  <c r="O43" i="27"/>
  <c r="O36" i="27"/>
  <c r="O88" i="27"/>
  <c r="O6" i="27"/>
  <c r="O38" i="27"/>
  <c r="O39" i="27"/>
  <c r="O77" i="27"/>
  <c r="O22" i="27"/>
  <c r="O87" i="27"/>
  <c r="O50" i="27"/>
  <c r="O17" i="27"/>
  <c r="O21" i="27"/>
  <c r="O24" i="27"/>
  <c r="O44" i="27"/>
  <c r="O45" i="27"/>
  <c r="O73" i="27"/>
  <c r="O25" i="27"/>
  <c r="O86" i="27"/>
  <c r="O52" i="27"/>
  <c r="O74" i="27"/>
  <c r="N19" i="27"/>
  <c r="N64" i="27"/>
  <c r="N52" i="27"/>
  <c r="N42" i="27"/>
  <c r="N46" i="27"/>
  <c r="N9" i="27"/>
  <c r="N85" i="27"/>
  <c r="N23" i="27"/>
  <c r="N58" i="27"/>
  <c r="N65" i="27"/>
  <c r="N27" i="27"/>
  <c r="N66" i="27"/>
  <c r="N10" i="27"/>
  <c r="N28" i="27"/>
  <c r="N40" i="27"/>
  <c r="N26" i="27"/>
  <c r="N84" i="27"/>
  <c r="N20" i="27"/>
  <c r="N78" i="27"/>
  <c r="N53" i="27"/>
  <c r="N63" i="27"/>
  <c r="N90" i="27"/>
  <c r="N57" i="27"/>
  <c r="N8" i="27"/>
  <c r="N29" i="27"/>
  <c r="N67" i="27"/>
  <c r="N59" i="27"/>
  <c r="N30" i="27"/>
  <c r="N51" i="27"/>
  <c r="N47" i="27"/>
  <c r="N79" i="27"/>
  <c r="N31" i="27"/>
  <c r="N75" i="27"/>
  <c r="N43" i="27"/>
  <c r="N11" i="27"/>
  <c r="N83" i="27"/>
  <c r="N89" i="27"/>
  <c r="N76" i="27"/>
  <c r="N68" i="27"/>
  <c r="N18" i="27"/>
  <c r="N32" i="27"/>
  <c r="N12" i="27"/>
  <c r="N56" i="27"/>
  <c r="N33" i="27"/>
  <c r="N69" i="27"/>
  <c r="N74" i="27"/>
  <c r="N48" i="27"/>
  <c r="N7" i="27"/>
  <c r="N38" i="27"/>
  <c r="N73" i="27"/>
  <c r="N13" i="27"/>
  <c r="N88" i="27"/>
  <c r="N82" i="27"/>
  <c r="N55" i="27"/>
  <c r="N6" i="27"/>
  <c r="N39" i="27"/>
  <c r="N70" i="27"/>
  <c r="N17" i="27"/>
  <c r="N62" i="27"/>
  <c r="N71" i="27"/>
  <c r="N14" i="27"/>
  <c r="N22" i="27"/>
  <c r="N50" i="27"/>
  <c r="N36" i="27"/>
  <c r="N41" i="27"/>
  <c r="N34" i="27"/>
  <c r="N87" i="27"/>
  <c r="N60" i="27"/>
  <c r="N81" i="27"/>
  <c r="N54" i="27"/>
  <c r="N21" i="27"/>
  <c r="N24" i="27"/>
  <c r="N15" i="27"/>
  <c r="N61" i="27"/>
  <c r="N72" i="27"/>
  <c r="N44" i="27"/>
  <c r="N35" i="27"/>
  <c r="N25" i="27"/>
  <c r="N49" i="27"/>
  <c r="N37" i="27"/>
  <c r="N80" i="27"/>
  <c r="N86" i="27"/>
  <c r="N16" i="27"/>
  <c r="N77" i="27"/>
  <c r="N45" i="27"/>
  <c r="M26" i="27"/>
  <c r="M36" i="27"/>
  <c r="M63" i="27"/>
  <c r="M16" i="27"/>
  <c r="M32" i="27"/>
  <c r="M31" i="27"/>
  <c r="M30" i="27"/>
  <c r="M29" i="27"/>
  <c r="M9" i="27"/>
  <c r="M28" i="27"/>
  <c r="M27" i="27"/>
  <c r="M23" i="27"/>
  <c r="M44" i="27"/>
  <c r="M41" i="27"/>
  <c r="M6" i="27"/>
  <c r="M17" i="27"/>
  <c r="M37" i="27"/>
  <c r="M7" i="27"/>
  <c r="M8" i="27"/>
  <c r="M18" i="27"/>
  <c r="M42" i="27"/>
  <c r="M10" i="27"/>
  <c r="M19" i="27"/>
  <c r="M20" i="27"/>
  <c r="M90" i="27"/>
  <c r="M43" i="27"/>
  <c r="M89" i="27"/>
  <c r="M88" i="27"/>
  <c r="M45" i="27"/>
  <c r="M87" i="27"/>
  <c r="M62" i="27"/>
  <c r="M86" i="27"/>
  <c r="M46" i="27"/>
  <c r="M85" i="27"/>
  <c r="M11" i="27"/>
  <c r="M47" i="27"/>
  <c r="M84" i="27"/>
  <c r="M51" i="27"/>
  <c r="M83" i="27"/>
  <c r="M48" i="27"/>
  <c r="M82" i="27"/>
  <c r="M81" i="27"/>
  <c r="M49" i="27"/>
  <c r="M80" i="27"/>
  <c r="M50" i="27"/>
  <c r="M79" i="27"/>
  <c r="M12" i="27"/>
  <c r="M78" i="27"/>
  <c r="M33" i="27"/>
  <c r="M71" i="27"/>
  <c r="M77" i="27"/>
  <c r="M76" i="27"/>
  <c r="M52" i="27"/>
  <c r="M75" i="27"/>
  <c r="M60" i="27"/>
  <c r="M13" i="27"/>
  <c r="M74" i="27"/>
  <c r="M53" i="27"/>
  <c r="M73" i="27"/>
  <c r="M72" i="27"/>
  <c r="M34" i="27"/>
  <c r="M54" i="27"/>
  <c r="M61" i="27"/>
  <c r="M55" i="27"/>
  <c r="M70" i="27"/>
  <c r="M69" i="27"/>
  <c r="M56" i="27"/>
  <c r="M14" i="27"/>
  <c r="M68" i="27"/>
  <c r="M67" i="27"/>
  <c r="M57" i="27"/>
  <c r="M66" i="27"/>
  <c r="M65" i="27"/>
  <c r="M58" i="27"/>
  <c r="M64" i="27"/>
  <c r="M15" i="27"/>
  <c r="M25" i="27"/>
  <c r="M24" i="27"/>
  <c r="M21" i="27"/>
  <c r="M35" i="27"/>
  <c r="M59" i="27"/>
  <c r="M40" i="27"/>
  <c r="M22" i="27"/>
  <c r="M39" i="27"/>
  <c r="M38" i="27"/>
  <c r="L46" i="27"/>
  <c r="L37" i="27"/>
  <c r="L13" i="27"/>
  <c r="L64" i="27"/>
  <c r="L31" i="27"/>
  <c r="L9" i="27"/>
  <c r="L8" i="27"/>
  <c r="L85" i="27"/>
  <c r="L43" i="27"/>
  <c r="L34" i="27"/>
  <c r="L27" i="27"/>
  <c r="L25" i="27"/>
  <c r="L63" i="27"/>
  <c r="L18" i="27"/>
  <c r="L51" i="27"/>
  <c r="L66" i="27"/>
  <c r="L75" i="27"/>
  <c r="L10" i="27"/>
  <c r="L7" i="27"/>
  <c r="L47" i="27"/>
  <c r="L41" i="27"/>
  <c r="L38" i="27"/>
  <c r="L16" i="27"/>
  <c r="L14" i="27"/>
  <c r="L28" i="27"/>
  <c r="L42" i="27"/>
  <c r="L6" i="27"/>
  <c r="L30" i="27"/>
  <c r="L20" i="27"/>
  <c r="L11" i="27"/>
  <c r="L90" i="27"/>
  <c r="L17" i="27"/>
  <c r="L44" i="27"/>
  <c r="L56" i="27"/>
  <c r="L57" i="27"/>
  <c r="L15" i="27"/>
  <c r="L68" i="27"/>
  <c r="L19" i="27"/>
  <c r="L62" i="27"/>
  <c r="L89" i="27"/>
  <c r="L12" i="27"/>
  <c r="L33" i="27"/>
  <c r="L35" i="27"/>
  <c r="L23" i="27"/>
  <c r="L29" i="27"/>
  <c r="L32" i="27"/>
  <c r="L76" i="27"/>
  <c r="L79" i="27"/>
  <c r="L50" i="27"/>
  <c r="L77" i="27"/>
  <c r="L74" i="27"/>
  <c r="L58" i="27"/>
  <c r="L53" i="27"/>
  <c r="L83" i="27"/>
  <c r="L36" i="27"/>
  <c r="L65" i="27"/>
  <c r="L73" i="27"/>
  <c r="L88" i="27"/>
  <c r="L80" i="27"/>
  <c r="L39" i="27"/>
  <c r="L54" i="27"/>
  <c r="L49" i="27"/>
  <c r="L52" i="27"/>
  <c r="L45" i="27"/>
  <c r="L72" i="27"/>
  <c r="L22" i="27"/>
  <c r="L81" i="27"/>
  <c r="L40" i="27"/>
  <c r="L87" i="27"/>
  <c r="L60" i="27"/>
  <c r="L71" i="27"/>
  <c r="L21" i="27"/>
  <c r="L67" i="27"/>
  <c r="L55" i="27"/>
  <c r="L24" i="27"/>
  <c r="L86" i="27"/>
  <c r="L70" i="27"/>
  <c r="L26" i="27"/>
  <c r="L61" i="27"/>
  <c r="L78" i="27"/>
  <c r="L82" i="27"/>
  <c r="L59" i="27"/>
  <c r="L48" i="27"/>
  <c r="L84" i="27"/>
  <c r="L69" i="27"/>
  <c r="K30" i="27"/>
  <c r="K80" i="27"/>
  <c r="K66" i="27"/>
  <c r="K53" i="27"/>
  <c r="K79" i="27"/>
  <c r="K64" i="27"/>
  <c r="K9" i="27"/>
  <c r="K8" i="27"/>
  <c r="K28" i="27"/>
  <c r="K74" i="27"/>
  <c r="K83" i="27"/>
  <c r="K18" i="27"/>
  <c r="K36" i="27"/>
  <c r="K50" i="27"/>
  <c r="K61" i="27"/>
  <c r="K77" i="27"/>
  <c r="K29" i="27"/>
  <c r="K10" i="27"/>
  <c r="K41" i="27"/>
  <c r="K38" i="27"/>
  <c r="K65" i="27"/>
  <c r="K32" i="27"/>
  <c r="K7" i="27"/>
  <c r="K42" i="27"/>
  <c r="K73" i="27"/>
  <c r="K51" i="27"/>
  <c r="K31" i="27"/>
  <c r="K88" i="27"/>
  <c r="K63" i="27"/>
  <c r="K39" i="27"/>
  <c r="K56" i="27"/>
  <c r="K78" i="27"/>
  <c r="K54" i="27"/>
  <c r="K11" i="27"/>
  <c r="K6" i="27"/>
  <c r="K19" i="27"/>
  <c r="K45" i="27"/>
  <c r="K33" i="27"/>
  <c r="K76" i="27"/>
  <c r="K72" i="27"/>
  <c r="K62" i="27"/>
  <c r="K52" i="27"/>
  <c r="K44" i="27"/>
  <c r="K22" i="27"/>
  <c r="K40" i="27"/>
  <c r="K47" i="27"/>
  <c r="K81" i="27"/>
  <c r="K12" i="27"/>
  <c r="K23" i="27"/>
  <c r="K49" i="27"/>
  <c r="K58" i="27"/>
  <c r="K75" i="27"/>
  <c r="K13" i="27"/>
  <c r="K27" i="27"/>
  <c r="K71" i="27"/>
  <c r="K84" i="27"/>
  <c r="K87" i="27"/>
  <c r="K34" i="27"/>
  <c r="K60" i="27"/>
  <c r="K21" i="27"/>
  <c r="K14" i="27"/>
  <c r="K55" i="27"/>
  <c r="K20" i="27"/>
  <c r="K24" i="27"/>
  <c r="K57" i="27"/>
  <c r="K25" i="27"/>
  <c r="K46" i="27"/>
  <c r="K15" i="27"/>
  <c r="K35" i="27"/>
  <c r="K70" i="27"/>
  <c r="K67" i="27"/>
  <c r="K26" i="27"/>
  <c r="K90" i="27"/>
  <c r="K68" i="27"/>
  <c r="K16" i="27"/>
  <c r="K82" i="27"/>
  <c r="K43" i="27"/>
  <c r="K86" i="27"/>
  <c r="K37" i="27"/>
  <c r="K85" i="27"/>
  <c r="K48" i="27"/>
  <c r="K17" i="27"/>
  <c r="K59" i="27"/>
  <c r="K89" i="27"/>
  <c r="K69" i="27"/>
  <c r="J79" i="27"/>
  <c r="J18" i="27"/>
  <c r="J9" i="27"/>
  <c r="J29" i="27"/>
  <c r="J10" i="27"/>
  <c r="J11" i="27"/>
  <c r="J33" i="27"/>
  <c r="J63" i="27"/>
  <c r="J12" i="27"/>
  <c r="J13" i="27"/>
  <c r="J34" i="27"/>
  <c r="J14" i="27"/>
  <c r="J15" i="27"/>
  <c r="J35" i="27"/>
  <c r="J16" i="27"/>
  <c r="J37" i="27"/>
  <c r="J17" i="27"/>
  <c r="J53" i="27"/>
  <c r="J74" i="27"/>
  <c r="J50" i="27"/>
  <c r="J80" i="27"/>
  <c r="J77" i="27"/>
  <c r="J73" i="27"/>
  <c r="J54" i="27"/>
  <c r="J72" i="27"/>
  <c r="J81" i="27"/>
  <c r="J49" i="27"/>
  <c r="J71" i="27"/>
  <c r="J55" i="27"/>
  <c r="J70" i="27"/>
  <c r="J48" i="27"/>
  <c r="J69" i="27"/>
  <c r="J56" i="27"/>
  <c r="J83" i="27"/>
  <c r="J52" i="27"/>
  <c r="J68" i="27"/>
  <c r="J57" i="27"/>
  <c r="J62" i="27"/>
  <c r="J78" i="27"/>
  <c r="J67" i="27"/>
  <c r="J61" i="27"/>
  <c r="J84" i="27"/>
  <c r="J41" i="27"/>
  <c r="J66" i="27"/>
  <c r="J58" i="27"/>
  <c r="J65" i="27"/>
  <c r="J85" i="27"/>
  <c r="J64" i="27"/>
  <c r="J59" i="27"/>
  <c r="J86" i="27"/>
  <c r="J26" i="27"/>
  <c r="J46" i="27"/>
  <c r="J76" i="27"/>
  <c r="J82" i="27"/>
  <c r="J25" i="27"/>
  <c r="J24" i="27"/>
  <c r="J21" i="27"/>
  <c r="J87" i="27"/>
  <c r="J22" i="27"/>
  <c r="J40" i="27"/>
  <c r="J45" i="27"/>
  <c r="J88" i="27"/>
  <c r="J39" i="27"/>
  <c r="J51" i="27"/>
  <c r="J38" i="27"/>
  <c r="J44" i="27"/>
  <c r="J36" i="27"/>
  <c r="J89" i="27"/>
  <c r="J32" i="27"/>
  <c r="J31" i="27"/>
  <c r="J43" i="27"/>
  <c r="J30" i="27"/>
  <c r="J90" i="27"/>
  <c r="J60" i="27"/>
  <c r="J28" i="27"/>
  <c r="J20" i="27"/>
  <c r="J27" i="27"/>
  <c r="J23" i="27"/>
  <c r="J75" i="27"/>
  <c r="J19" i="27"/>
  <c r="J47" i="27"/>
  <c r="J6" i="27"/>
  <c r="J7" i="27"/>
  <c r="J42" i="27"/>
  <c r="J8" i="27"/>
  <c r="I24" i="27"/>
  <c r="I9" i="27"/>
  <c r="I70" i="27"/>
  <c r="I17" i="27"/>
  <c r="I26" i="27"/>
  <c r="I53" i="27"/>
  <c r="I78" i="27"/>
  <c r="I82" i="27"/>
  <c r="I58" i="27"/>
  <c r="I67" i="27"/>
  <c r="I84" i="27"/>
  <c r="I88" i="27"/>
  <c r="I65" i="27"/>
  <c r="I25" i="27"/>
  <c r="I46" i="27"/>
  <c r="I51" i="27"/>
  <c r="I87" i="27"/>
  <c r="I76" i="27"/>
  <c r="I54" i="27"/>
  <c r="I60" i="27"/>
  <c r="I83" i="27"/>
  <c r="I50" i="27"/>
  <c r="I39" i="27"/>
  <c r="I21" i="27"/>
  <c r="I66" i="27"/>
  <c r="I55" i="27"/>
  <c r="I36" i="27"/>
  <c r="I73" i="27"/>
  <c r="I57" i="27"/>
  <c r="I71" i="27"/>
  <c r="I45" i="27"/>
  <c r="I49" i="27"/>
  <c r="I32" i="27"/>
  <c r="I89" i="27"/>
  <c r="I22" i="27"/>
  <c r="I80" i="27"/>
  <c r="I85" i="27"/>
  <c r="I81" i="27"/>
  <c r="I38" i="27"/>
  <c r="I72" i="27"/>
  <c r="I77" i="27"/>
  <c r="I48" i="27"/>
  <c r="I74" i="27"/>
  <c r="I68" i="27"/>
  <c r="I40" i="27"/>
  <c r="I37" i="27"/>
  <c r="I62" i="27"/>
  <c r="I90" i="27"/>
  <c r="I52" i="27"/>
  <c r="I16" i="27"/>
  <c r="I79" i="27"/>
  <c r="I29" i="27"/>
  <c r="I15" i="27"/>
  <c r="I35" i="27"/>
  <c r="I69" i="27"/>
  <c r="I20" i="27"/>
  <c r="I14" i="27"/>
  <c r="I34" i="27"/>
  <c r="I64" i="27"/>
  <c r="I27" i="27"/>
  <c r="I43" i="27"/>
  <c r="I13" i="27"/>
  <c r="I63" i="27"/>
  <c r="I23" i="27"/>
  <c r="I12" i="27"/>
  <c r="I42" i="27"/>
  <c r="I44" i="27"/>
  <c r="I33" i="27"/>
  <c r="I86" i="27"/>
  <c r="I19" i="27"/>
  <c r="I59" i="27"/>
  <c r="I75" i="27"/>
  <c r="I6" i="27"/>
  <c r="I61" i="27"/>
  <c r="I11" i="27"/>
  <c r="I31" i="27"/>
  <c r="I30" i="27"/>
  <c r="I7" i="27"/>
  <c r="I10" i="27"/>
  <c r="I56" i="27"/>
  <c r="I8" i="27"/>
  <c r="I47" i="27"/>
  <c r="I28" i="27"/>
  <c r="I41" i="27"/>
  <c r="I18" i="27"/>
  <c r="H9" i="27"/>
  <c r="H83" i="27"/>
  <c r="H31" i="27"/>
  <c r="H58" i="27"/>
  <c r="H26" i="27"/>
  <c r="H90" i="27"/>
  <c r="H79" i="27"/>
  <c r="H36" i="27"/>
  <c r="H86" i="27"/>
  <c r="H82" i="27"/>
  <c r="H47" i="27"/>
  <c r="H87" i="27"/>
  <c r="H49" i="27"/>
  <c r="H16" i="27"/>
  <c r="H78" i="27"/>
  <c r="H48" i="27"/>
  <c r="H15" i="27"/>
  <c r="H21" i="27"/>
  <c r="H69" i="27"/>
  <c r="H35" i="27"/>
  <c r="H85" i="27"/>
  <c r="H28" i="27"/>
  <c r="H66" i="27"/>
  <c r="H71" i="27"/>
  <c r="H20" i="27"/>
  <c r="H76" i="27"/>
  <c r="H63" i="27"/>
  <c r="H84" i="27"/>
  <c r="H55" i="27"/>
  <c r="H22" i="27"/>
  <c r="H27" i="27"/>
  <c r="H37" i="27"/>
  <c r="H24" i="27"/>
  <c r="H60" i="27"/>
  <c r="H77" i="27"/>
  <c r="H43" i="27"/>
  <c r="H57" i="27"/>
  <c r="H13" i="27"/>
  <c r="H72" i="27"/>
  <c r="H64" i="27"/>
  <c r="H81" i="27"/>
  <c r="H23" i="27"/>
  <c r="H67" i="27"/>
  <c r="H40" i="27"/>
  <c r="H88" i="27"/>
  <c r="H12" i="27"/>
  <c r="H62" i="27"/>
  <c r="H54" i="27"/>
  <c r="H33" i="27"/>
  <c r="H59" i="27"/>
  <c r="H65" i="27"/>
  <c r="H46" i="27"/>
  <c r="H19" i="27"/>
  <c r="H39" i="27"/>
  <c r="H45" i="27"/>
  <c r="H73" i="27"/>
  <c r="H6" i="27"/>
  <c r="H61" i="27"/>
  <c r="H14" i="27"/>
  <c r="H32" i="27"/>
  <c r="H80" i="27"/>
  <c r="H75" i="27"/>
  <c r="H11" i="27"/>
  <c r="H17" i="27"/>
  <c r="H68" i="27"/>
  <c r="H44" i="27"/>
  <c r="H7" i="27"/>
  <c r="H89" i="27"/>
  <c r="H52" i="27"/>
  <c r="H41" i="27"/>
  <c r="H30" i="27"/>
  <c r="H50" i="27"/>
  <c r="H74" i="27"/>
  <c r="H10" i="27"/>
  <c r="H29" i="27"/>
  <c r="H8" i="27"/>
  <c r="H34" i="27"/>
  <c r="H51" i="27"/>
  <c r="H53" i="27"/>
  <c r="H42" i="27"/>
  <c r="H56" i="27"/>
  <c r="H70" i="27"/>
  <c r="H38" i="27"/>
  <c r="H18" i="27"/>
  <c r="H25" i="27"/>
  <c r="G87" i="27"/>
  <c r="G86" i="27"/>
  <c r="G85" i="27"/>
  <c r="G84" i="27"/>
  <c r="G30" i="27"/>
  <c r="G83" i="27"/>
  <c r="G24" i="27"/>
  <c r="G23" i="27"/>
  <c r="G21" i="27"/>
  <c r="G81" i="27"/>
  <c r="G80" i="27"/>
  <c r="G29" i="27"/>
  <c r="G79" i="27"/>
  <c r="G78" i="27"/>
  <c r="G77" i="27"/>
  <c r="G76" i="27"/>
  <c r="G75" i="27"/>
  <c r="G74" i="27"/>
  <c r="G73" i="27"/>
  <c r="G72" i="27"/>
  <c r="G71" i="27"/>
  <c r="G22" i="27"/>
  <c r="G70" i="27"/>
  <c r="G69" i="27"/>
  <c r="G67" i="27"/>
  <c r="G66" i="27"/>
  <c r="G65" i="27"/>
  <c r="G64" i="27"/>
  <c r="G63" i="27"/>
  <c r="G62" i="27"/>
  <c r="G61" i="27"/>
  <c r="G35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68" i="27"/>
  <c r="G38" i="27"/>
  <c r="G6" i="27"/>
  <c r="G41" i="27"/>
  <c r="G40" i="27"/>
  <c r="G39" i="27"/>
  <c r="G37" i="27"/>
  <c r="G34" i="27"/>
  <c r="G32" i="27"/>
  <c r="G31" i="27"/>
  <c r="G28" i="27"/>
  <c r="G27" i="27"/>
  <c r="G36" i="27"/>
  <c r="G7" i="27"/>
  <c r="G82" i="27"/>
  <c r="G33" i="27"/>
  <c r="G9" i="27"/>
  <c r="G10" i="27"/>
  <c r="G11" i="27"/>
  <c r="G12" i="27"/>
  <c r="G26" i="27"/>
  <c r="G13" i="27"/>
  <c r="G14" i="27"/>
  <c r="G8" i="27"/>
  <c r="G15" i="27"/>
  <c r="G16" i="27"/>
  <c r="G17" i="27"/>
  <c r="G18" i="27"/>
  <c r="G19" i="27"/>
  <c r="G20" i="27"/>
  <c r="G25" i="27"/>
  <c r="G90" i="27"/>
  <c r="G89" i="27"/>
  <c r="G88" i="27"/>
  <c r="F83" i="27"/>
  <c r="F72" i="27"/>
  <c r="F60" i="27"/>
  <c r="F46" i="27"/>
  <c r="F42" i="27"/>
  <c r="F38" i="27"/>
  <c r="F19" i="27"/>
  <c r="F16" i="27"/>
  <c r="F87" i="27"/>
  <c r="F86" i="27"/>
  <c r="F82" i="27"/>
  <c r="F54" i="27"/>
  <c r="F6" i="27"/>
  <c r="F88" i="27"/>
  <c r="F47" i="27"/>
  <c r="F85" i="27"/>
  <c r="F18" i="27"/>
  <c r="F45" i="27"/>
  <c r="F50" i="27"/>
  <c r="F66" i="27"/>
  <c r="F8" i="27"/>
  <c r="F23" i="27"/>
  <c r="F84" i="27"/>
  <c r="F73" i="27"/>
  <c r="F63" i="27"/>
  <c r="F81" i="27"/>
  <c r="F67" i="27"/>
  <c r="F48" i="27"/>
  <c r="F80" i="27"/>
  <c r="F89" i="27"/>
  <c r="F7" i="27"/>
  <c r="F44" i="27"/>
  <c r="F37" i="27"/>
  <c r="F17" i="27"/>
  <c r="F90" i="27"/>
  <c r="F20" i="27"/>
  <c r="F49" i="27"/>
  <c r="F22" i="27"/>
  <c r="F43" i="27"/>
  <c r="F36" i="27"/>
  <c r="F41" i="27"/>
  <c r="F15" i="27"/>
  <c r="F35" i="27"/>
  <c r="F24" i="27"/>
  <c r="F21" i="27"/>
  <c r="F25" i="27"/>
  <c r="F26" i="27"/>
  <c r="F14" i="27"/>
  <c r="F69" i="27"/>
  <c r="F27" i="27"/>
  <c r="F79" i="27"/>
  <c r="F64" i="27"/>
  <c r="F61" i="27"/>
  <c r="F13" i="27"/>
  <c r="F51" i="27"/>
  <c r="F12" i="27"/>
  <c r="F57" i="27"/>
  <c r="F78" i="27"/>
  <c r="F33" i="27"/>
  <c r="F77" i="27"/>
  <c r="F70" i="27"/>
  <c r="F39" i="27"/>
  <c r="F11" i="27"/>
  <c r="F59" i="27"/>
  <c r="F31" i="27"/>
  <c r="F9" i="27"/>
  <c r="F52" i="27"/>
  <c r="F30" i="27"/>
  <c r="F68" i="27"/>
  <c r="F62" i="27"/>
  <c r="F10" i="27"/>
  <c r="F55" i="27"/>
  <c r="F29" i="27"/>
  <c r="F76" i="27"/>
  <c r="F28" i="27"/>
  <c r="F71" i="27"/>
  <c r="F75" i="27"/>
  <c r="F32" i="27"/>
  <c r="F40" i="27"/>
  <c r="F53" i="27"/>
  <c r="F74" i="27"/>
  <c r="F56" i="27"/>
  <c r="F65" i="27"/>
  <c r="F34" i="27"/>
  <c r="F58" i="27"/>
  <c r="E80" i="27"/>
  <c r="E25" i="27"/>
  <c r="E35" i="27"/>
  <c r="E15" i="27"/>
  <c r="E46" i="27"/>
  <c r="E21" i="27"/>
  <c r="E36" i="27"/>
  <c r="E54" i="27"/>
  <c r="E87" i="27"/>
  <c r="E86" i="27"/>
  <c r="E88" i="27"/>
  <c r="E14" i="27"/>
  <c r="E85" i="27"/>
  <c r="E45" i="27"/>
  <c r="E41" i="27"/>
  <c r="E84" i="27"/>
  <c r="E34" i="27"/>
  <c r="E44" i="27"/>
  <c r="E79" i="27"/>
  <c r="E48" i="27"/>
  <c r="E13" i="27"/>
  <c r="E51" i="27"/>
  <c r="E89" i="27"/>
  <c r="E28" i="27"/>
  <c r="E7" i="27"/>
  <c r="E12" i="27"/>
  <c r="E90" i="27"/>
  <c r="E20" i="27"/>
  <c r="E43" i="27"/>
  <c r="E57" i="27"/>
  <c r="E78" i="27"/>
  <c r="E60" i="27"/>
  <c r="E67" i="27"/>
  <c r="E32" i="27"/>
  <c r="E8" i="27"/>
  <c r="E77" i="27"/>
  <c r="E83" i="27"/>
  <c r="E11" i="27"/>
  <c r="E19" i="27"/>
  <c r="E63" i="27"/>
  <c r="E55" i="27"/>
  <c r="E52" i="27"/>
  <c r="E42" i="27"/>
  <c r="E30" i="27"/>
  <c r="E6" i="27"/>
  <c r="E49" i="27"/>
  <c r="E47" i="27"/>
  <c r="E40" i="27"/>
  <c r="E73" i="27"/>
  <c r="E10" i="27"/>
  <c r="E39" i="27"/>
  <c r="E18" i="27"/>
  <c r="E29" i="27"/>
  <c r="E24" i="27"/>
  <c r="E76" i="27"/>
  <c r="E31" i="27"/>
  <c r="E59" i="27"/>
  <c r="E82" i="27"/>
  <c r="E38" i="27"/>
  <c r="E81" i="27"/>
  <c r="E71" i="27"/>
  <c r="E27" i="27"/>
  <c r="E17" i="27"/>
  <c r="E68" i="27"/>
  <c r="E9" i="27"/>
  <c r="E64" i="27"/>
  <c r="E53" i="27"/>
  <c r="E37" i="27"/>
  <c r="E62" i="27"/>
  <c r="E75" i="27"/>
  <c r="E50" i="27"/>
  <c r="E70" i="27"/>
  <c r="E65" i="27"/>
  <c r="E26" i="27"/>
  <c r="E23" i="27"/>
  <c r="E33" i="27"/>
  <c r="E72" i="27"/>
  <c r="E74" i="27"/>
  <c r="E16" i="27"/>
  <c r="E22" i="27"/>
  <c r="E66" i="27"/>
  <c r="E61" i="27"/>
  <c r="E69" i="27"/>
  <c r="E58" i="27"/>
  <c r="E56" i="27"/>
  <c r="D87" i="27"/>
  <c r="D85" i="27"/>
  <c r="D60" i="27"/>
  <c r="D86" i="27"/>
  <c r="D88" i="27"/>
  <c r="D45" i="27"/>
  <c r="D89" i="27"/>
  <c r="D90" i="27"/>
  <c r="D63" i="27"/>
  <c r="D20" i="27"/>
  <c r="D13" i="27"/>
  <c r="D64" i="27"/>
  <c r="D38" i="27"/>
  <c r="D18" i="27"/>
  <c r="D17" i="27"/>
  <c r="D36" i="27"/>
  <c r="D41" i="27"/>
  <c r="D16" i="27"/>
  <c r="D35" i="27"/>
  <c r="D15" i="27"/>
  <c r="D14" i="27"/>
  <c r="D34" i="27"/>
  <c r="D12" i="27"/>
  <c r="D33" i="27"/>
  <c r="D61" i="27"/>
  <c r="D32" i="27"/>
  <c r="D31" i="27"/>
  <c r="D11" i="27"/>
  <c r="D30" i="27"/>
  <c r="D10" i="27"/>
  <c r="D28" i="27"/>
  <c r="D59" i="27"/>
  <c r="D9" i="27"/>
  <c r="D65" i="27"/>
  <c r="D66" i="27"/>
  <c r="D58" i="27"/>
  <c r="D67" i="27"/>
  <c r="D21" i="27"/>
  <c r="D68" i="27"/>
  <c r="D57" i="27"/>
  <c r="D22" i="27"/>
  <c r="D69" i="27"/>
  <c r="D26" i="27"/>
  <c r="D56" i="27"/>
  <c r="D70" i="27"/>
  <c r="D23" i="27"/>
  <c r="D40" i="27"/>
  <c r="D71" i="27"/>
  <c r="D55" i="27"/>
  <c r="D39" i="27"/>
  <c r="D72" i="27"/>
  <c r="D73" i="27"/>
  <c r="D37" i="27"/>
  <c r="D62" i="27"/>
  <c r="D54" i="27"/>
  <c r="D19" i="27"/>
  <c r="D74" i="27"/>
  <c r="D75" i="27"/>
  <c r="D53" i="27"/>
  <c r="D76" i="27"/>
  <c r="D77" i="27"/>
  <c r="D52" i="27"/>
  <c r="D29" i="27"/>
  <c r="D78" i="27"/>
  <c r="D51" i="27"/>
  <c r="D79" i="27"/>
  <c r="D27" i="27"/>
  <c r="D25" i="27"/>
  <c r="D80" i="27"/>
  <c r="D24" i="27"/>
  <c r="D50" i="27"/>
  <c r="D42" i="27"/>
  <c r="D43" i="27"/>
  <c r="D44" i="27"/>
  <c r="D81" i="27"/>
  <c r="D82" i="27"/>
  <c r="D46" i="27"/>
  <c r="D47" i="27"/>
  <c r="D49" i="27"/>
  <c r="D6" i="27"/>
  <c r="D83" i="27"/>
  <c r="D7" i="27"/>
  <c r="D48" i="27"/>
  <c r="D84" i="27"/>
  <c r="D8" i="27"/>
  <c r="C60" i="27"/>
  <c r="C46" i="27"/>
  <c r="C30" i="27"/>
  <c r="C22" i="27"/>
  <c r="C54" i="27"/>
  <c r="C28" i="27"/>
  <c r="C11" i="27"/>
  <c r="C74" i="27"/>
  <c r="C13" i="27"/>
  <c r="C36" i="27"/>
  <c r="C31" i="27"/>
  <c r="C25" i="27"/>
  <c r="C35" i="27"/>
  <c r="C87" i="27"/>
  <c r="C66" i="27"/>
  <c r="C34" i="27"/>
  <c r="C52" i="27"/>
  <c r="C27" i="27"/>
  <c r="C51" i="27"/>
  <c r="C65" i="27"/>
  <c r="C55" i="27"/>
  <c r="C75" i="27"/>
  <c r="C71" i="27"/>
  <c r="C70" i="27"/>
  <c r="C62" i="27"/>
  <c r="C59" i="27"/>
  <c r="C9" i="27"/>
  <c r="C26" i="27"/>
  <c r="C32" i="27"/>
  <c r="C78" i="27"/>
  <c r="C53" i="27"/>
  <c r="C80" i="27"/>
  <c r="C33" i="27"/>
  <c r="C12" i="27"/>
  <c r="C76" i="27"/>
  <c r="C15" i="27"/>
  <c r="C79" i="27"/>
  <c r="C14" i="27"/>
  <c r="C10" i="27"/>
  <c r="C29" i="27"/>
  <c r="C57" i="27"/>
  <c r="C77" i="27"/>
  <c r="C69" i="27"/>
  <c r="C61" i="27"/>
  <c r="C16" i="27"/>
  <c r="C50" i="27"/>
  <c r="C37" i="27"/>
  <c r="C72" i="27"/>
  <c r="C17" i="27"/>
  <c r="C81" i="27"/>
  <c r="C43" i="27"/>
  <c r="C23" i="27"/>
  <c r="C21" i="27"/>
  <c r="C41" i="27"/>
  <c r="C68" i="27"/>
  <c r="C18" i="27"/>
  <c r="C82" i="27"/>
  <c r="C73" i="27"/>
  <c r="C39" i="27"/>
  <c r="C40" i="27"/>
  <c r="C47" i="27"/>
  <c r="C56" i="27"/>
  <c r="C64" i="27"/>
  <c r="C24" i="27"/>
  <c r="C49" i="27"/>
  <c r="C6" i="27"/>
  <c r="C38" i="27"/>
  <c r="C42" i="27"/>
  <c r="C19" i="27"/>
  <c r="C83" i="27"/>
  <c r="C20" i="27"/>
  <c r="C84" i="27"/>
  <c r="C7" i="27"/>
  <c r="C67" i="27"/>
  <c r="C90" i="27"/>
  <c r="C44" i="27"/>
  <c r="C48" i="27"/>
  <c r="C63" i="27"/>
  <c r="C89" i="27"/>
  <c r="C85" i="27"/>
  <c r="C8" i="27"/>
  <c r="C45" i="27"/>
  <c r="C86" i="27"/>
  <c r="C58" i="27"/>
  <c r="C88" i="27"/>
  <c r="B24" i="27"/>
  <c r="B16" i="27"/>
  <c r="B46" i="27"/>
  <c r="B54" i="27"/>
  <c r="B61" i="27"/>
  <c r="B36" i="27"/>
  <c r="B17" i="27"/>
  <c r="B55" i="27"/>
  <c r="B74" i="27"/>
  <c r="B50" i="27"/>
  <c r="B25" i="27"/>
  <c r="B81" i="27"/>
  <c r="B42" i="27"/>
  <c r="B56" i="27"/>
  <c r="B40" i="27"/>
  <c r="B66" i="27"/>
  <c r="B26" i="27"/>
  <c r="B33" i="27"/>
  <c r="B75" i="27"/>
  <c r="B65" i="27"/>
  <c r="B59" i="27"/>
  <c r="B18" i="27"/>
  <c r="B27" i="27"/>
  <c r="B82" i="27"/>
  <c r="B62" i="27"/>
  <c r="B73" i="27"/>
  <c r="B38" i="27"/>
  <c r="B53" i="27"/>
  <c r="B28" i="27"/>
  <c r="B76" i="27"/>
  <c r="B47" i="27"/>
  <c r="B22" i="27"/>
  <c r="B10" i="27"/>
  <c r="B31" i="27"/>
  <c r="B41" i="27"/>
  <c r="B77" i="27"/>
  <c r="B11" i="27"/>
  <c r="B6" i="27"/>
  <c r="B30" i="27"/>
  <c r="B72" i="27"/>
  <c r="B64" i="27"/>
  <c r="B19" i="27"/>
  <c r="B52" i="27"/>
  <c r="B32" i="27"/>
  <c r="B9" i="27"/>
  <c r="B83" i="27"/>
  <c r="B12" i="27"/>
  <c r="B68" i="27"/>
  <c r="B20" i="27"/>
  <c r="B78" i="27"/>
  <c r="B84" i="27"/>
  <c r="B29" i="27"/>
  <c r="B7" i="27"/>
  <c r="B69" i="27"/>
  <c r="B43" i="27"/>
  <c r="B79" i="27"/>
  <c r="B63" i="27"/>
  <c r="B90" i="27"/>
  <c r="B44" i="27"/>
  <c r="B13" i="27"/>
  <c r="B70" i="27"/>
  <c r="B57" i="27"/>
  <c r="B48" i="27"/>
  <c r="B49" i="27"/>
  <c r="B51" i="27"/>
  <c r="B34" i="27"/>
  <c r="B85" i="27"/>
  <c r="B14" i="27"/>
  <c r="B8" i="27"/>
  <c r="B80" i="27"/>
  <c r="B67" i="27"/>
  <c r="B45" i="27"/>
  <c r="B15" i="27"/>
  <c r="B71" i="27"/>
  <c r="B60" i="27"/>
  <c r="B21" i="27"/>
  <c r="B58" i="27"/>
  <c r="B89" i="27"/>
  <c r="B86" i="27"/>
  <c r="B23" i="27"/>
  <c r="B39" i="27"/>
  <c r="B35" i="27"/>
  <c r="B88" i="27"/>
  <c r="B87" i="27"/>
  <c r="B37" i="27"/>
  <c r="P92" i="28"/>
  <c r="P15" i="28"/>
  <c r="P14" i="28"/>
  <c r="P86" i="28"/>
  <c r="P98" i="28"/>
  <c r="P13" i="28"/>
  <c r="P12" i="28"/>
  <c r="P11" i="28"/>
  <c r="P10" i="28"/>
  <c r="P9" i="28"/>
  <c r="P8" i="28"/>
  <c r="P7" i="28"/>
  <c r="P6" i="28"/>
  <c r="P80" i="28"/>
  <c r="P104" i="28"/>
  <c r="P105" i="28"/>
  <c r="P79" i="28"/>
  <c r="P91" i="28"/>
  <c r="P78" i="28"/>
  <c r="P77" i="28"/>
  <c r="P97" i="28"/>
  <c r="P76" i="28"/>
  <c r="P85" i="28"/>
  <c r="P75" i="28"/>
  <c r="P74" i="28"/>
  <c r="P73" i="28"/>
  <c r="P72" i="28"/>
  <c r="P71" i="28"/>
  <c r="P70" i="28"/>
  <c r="P103" i="28"/>
  <c r="P69" i="28"/>
  <c r="P68" i="28"/>
  <c r="P67" i="28"/>
  <c r="P66" i="28"/>
  <c r="P90" i="28"/>
  <c r="P65" i="28"/>
  <c r="P96" i="28"/>
  <c r="P64" i="28"/>
  <c r="P63" i="28"/>
  <c r="P62" i="28"/>
  <c r="P84" i="28"/>
  <c r="P61" i="28"/>
  <c r="P60" i="28"/>
  <c r="P59" i="28"/>
  <c r="P102" i="28"/>
  <c r="P58" i="28"/>
  <c r="P57" i="28"/>
  <c r="P56" i="28"/>
  <c r="P55" i="28"/>
  <c r="P54" i="28"/>
  <c r="P53" i="28"/>
  <c r="P89" i="28"/>
  <c r="P95" i="28"/>
  <c r="P52" i="28"/>
  <c r="P51" i="28"/>
  <c r="P50" i="28"/>
  <c r="P49" i="28"/>
  <c r="P48" i="28"/>
  <c r="P83" i="28"/>
  <c r="P101" i="28"/>
  <c r="P47" i="28"/>
  <c r="P46" i="28"/>
  <c r="P45" i="28"/>
  <c r="P44" i="28"/>
  <c r="P43" i="28"/>
  <c r="P42" i="28"/>
  <c r="P41" i="28"/>
  <c r="P40" i="28"/>
  <c r="P94" i="28"/>
  <c r="P88" i="28"/>
  <c r="P39" i="28"/>
  <c r="P38" i="28"/>
  <c r="P37" i="28"/>
  <c r="P36" i="28"/>
  <c r="P100" i="28"/>
  <c r="P35" i="28"/>
  <c r="P34" i="28"/>
  <c r="P82" i="28"/>
  <c r="P33" i="28"/>
  <c r="P32" i="28"/>
  <c r="P31" i="28"/>
  <c r="P30" i="28"/>
  <c r="P29" i="28"/>
  <c r="P28" i="28"/>
  <c r="P93" i="28"/>
  <c r="P27" i="28"/>
  <c r="P87" i="28"/>
  <c r="P26" i="28"/>
  <c r="P25" i="28"/>
  <c r="P99" i="28"/>
  <c r="P24" i="28"/>
  <c r="P23" i="28"/>
  <c r="P22" i="28"/>
  <c r="P21" i="28"/>
  <c r="P20" i="28"/>
  <c r="P81" i="28"/>
  <c r="P19" i="28"/>
  <c r="P18" i="28"/>
  <c r="P17" i="28"/>
  <c r="P16" i="28"/>
  <c r="O105" i="28"/>
  <c r="O32" i="28"/>
  <c r="O10" i="28"/>
  <c r="O35" i="28"/>
  <c r="O85" i="28"/>
  <c r="O47" i="28"/>
  <c r="O74" i="28"/>
  <c r="O50" i="28"/>
  <c r="O46" i="28"/>
  <c r="O58" i="28"/>
  <c r="O55" i="28"/>
  <c r="O97" i="28"/>
  <c r="O61" i="28"/>
  <c r="O41" i="28"/>
  <c r="O104" i="28"/>
  <c r="O9" i="28"/>
  <c r="O45" i="28"/>
  <c r="O90" i="28"/>
  <c r="O8" i="28"/>
  <c r="O23" i="28"/>
  <c r="O42" i="28"/>
  <c r="O22" i="28"/>
  <c r="O84" i="28"/>
  <c r="O78" i="28"/>
  <c r="O21" i="28"/>
  <c r="O88" i="28"/>
  <c r="O36" i="28"/>
  <c r="O20" i="28"/>
  <c r="O103" i="28"/>
  <c r="O6" i="28"/>
  <c r="O96" i="28"/>
  <c r="O79" i="28"/>
  <c r="O73" i="28"/>
  <c r="O89" i="28"/>
  <c r="O72" i="28"/>
  <c r="O75" i="28"/>
  <c r="O19" i="28"/>
  <c r="O71" i="28"/>
  <c r="O52" i="28"/>
  <c r="O49" i="28"/>
  <c r="O7" i="28"/>
  <c r="O60" i="28"/>
  <c r="O102" i="28"/>
  <c r="O83" i="28"/>
  <c r="O37" i="28"/>
  <c r="O18" i="28"/>
  <c r="O57" i="28"/>
  <c r="O95" i="28"/>
  <c r="O54" i="28"/>
  <c r="O70" i="28"/>
  <c r="O69" i="28"/>
  <c r="O68" i="28"/>
  <c r="O28" i="28"/>
  <c r="O17" i="28"/>
  <c r="O43" i="28"/>
  <c r="O67" i="28"/>
  <c r="O101" i="28"/>
  <c r="O94" i="28"/>
  <c r="O38" i="28"/>
  <c r="O66" i="28"/>
  <c r="O16" i="28"/>
  <c r="O82" i="28"/>
  <c r="O65" i="28"/>
  <c r="O76" i="28"/>
  <c r="O15" i="28"/>
  <c r="O64" i="28"/>
  <c r="O63" i="28"/>
  <c r="O87" i="28"/>
  <c r="O93" i="28"/>
  <c r="O14" i="28"/>
  <c r="O100" i="28"/>
  <c r="O62" i="28"/>
  <c r="O48" i="28"/>
  <c r="O51" i="28"/>
  <c r="O44" i="28"/>
  <c r="O39" i="28"/>
  <c r="O13" i="28"/>
  <c r="O81" i="28"/>
  <c r="O56" i="28"/>
  <c r="O30" i="28"/>
  <c r="O59" i="28"/>
  <c r="O33" i="28"/>
  <c r="O12" i="28"/>
  <c r="O92" i="28"/>
  <c r="O99" i="28"/>
  <c r="O27" i="28"/>
  <c r="O53" i="28"/>
  <c r="O86" i="28"/>
  <c r="O31" i="28"/>
  <c r="O26" i="28"/>
  <c r="O77" i="28"/>
  <c r="O29" i="28"/>
  <c r="O34" i="28"/>
  <c r="O80" i="28"/>
  <c r="O25" i="28"/>
  <c r="O40" i="28"/>
  <c r="O11" i="28"/>
  <c r="O91" i="28"/>
  <c r="O98" i="28"/>
  <c r="O24" i="28"/>
  <c r="N105" i="28"/>
  <c r="N35" i="28"/>
  <c r="N45" i="28"/>
  <c r="N74" i="28"/>
  <c r="N50" i="28"/>
  <c r="N33" i="28"/>
  <c r="N55" i="28"/>
  <c r="N61" i="28"/>
  <c r="N104" i="28"/>
  <c r="N90" i="28"/>
  <c r="N23" i="28"/>
  <c r="N22" i="28"/>
  <c r="N36" i="28"/>
  <c r="N103" i="28"/>
  <c r="N20" i="28"/>
  <c r="N75" i="28"/>
  <c r="N89" i="28"/>
  <c r="N19" i="28"/>
  <c r="N37" i="28"/>
  <c r="N49" i="28"/>
  <c r="N102" i="28"/>
  <c r="N18" i="28"/>
  <c r="N79" i="28"/>
  <c r="N54" i="28"/>
  <c r="N21" i="28"/>
  <c r="N88" i="28"/>
  <c r="N60" i="28"/>
  <c r="N17" i="28"/>
  <c r="N38" i="28"/>
  <c r="N101" i="28"/>
  <c r="N46" i="28"/>
  <c r="N76" i="28"/>
  <c r="N16" i="28"/>
  <c r="N15" i="28"/>
  <c r="N39" i="28"/>
  <c r="N87" i="28"/>
  <c r="N100" i="28"/>
  <c r="N14" i="28"/>
  <c r="N32" i="28"/>
  <c r="N13" i="28"/>
  <c r="N48" i="28"/>
  <c r="N59" i="28"/>
  <c r="N78" i="28"/>
  <c r="N99" i="28"/>
  <c r="N86" i="28"/>
  <c r="N77" i="28"/>
  <c r="N7" i="28"/>
  <c r="N12" i="28"/>
  <c r="N30" i="28"/>
  <c r="N40" i="28"/>
  <c r="N53" i="28"/>
  <c r="N98" i="28"/>
  <c r="N96" i="28"/>
  <c r="N85" i="28"/>
  <c r="N73" i="28"/>
  <c r="N94" i="28"/>
  <c r="N67" i="28"/>
  <c r="N9" i="28"/>
  <c r="N66" i="28"/>
  <c r="N72" i="28"/>
  <c r="N82" i="28"/>
  <c r="N44" i="28"/>
  <c r="N10" i="28"/>
  <c r="N65" i="28"/>
  <c r="N8" i="28"/>
  <c r="N64" i="28"/>
  <c r="N52" i="28"/>
  <c r="N63" i="28"/>
  <c r="N28" i="28"/>
  <c r="N93" i="28"/>
  <c r="N29" i="28"/>
  <c r="N42" i="28"/>
  <c r="N71" i="28"/>
  <c r="N51" i="28"/>
  <c r="N58" i="28"/>
  <c r="N41" i="28"/>
  <c r="N81" i="28"/>
  <c r="N80" i="28"/>
  <c r="N84" i="28"/>
  <c r="N56" i="28"/>
  <c r="N62" i="28"/>
  <c r="N95" i="28"/>
  <c r="N83" i="28"/>
  <c r="N92" i="28"/>
  <c r="N43" i="28"/>
  <c r="N27" i="28"/>
  <c r="N11" i="28"/>
  <c r="N70" i="28"/>
  <c r="N6" i="28"/>
  <c r="N26" i="28"/>
  <c r="N31" i="28"/>
  <c r="N34" i="28"/>
  <c r="N69" i="28"/>
  <c r="N97" i="28"/>
  <c r="N47" i="28"/>
  <c r="N25" i="28"/>
  <c r="N57" i="28"/>
  <c r="N91" i="28"/>
  <c r="N68" i="28"/>
  <c r="N24" i="28"/>
  <c r="M105" i="28"/>
  <c r="M88" i="28"/>
  <c r="M8" i="28"/>
  <c r="M9" i="28"/>
  <c r="M41" i="28"/>
  <c r="M10" i="28"/>
  <c r="M30" i="28"/>
  <c r="M11" i="28"/>
  <c r="M12" i="28"/>
  <c r="M104" i="28"/>
  <c r="M54" i="28"/>
  <c r="M95" i="28"/>
  <c r="M40" i="28"/>
  <c r="M13" i="28"/>
  <c r="M14" i="28"/>
  <c r="M87" i="28"/>
  <c r="M39" i="28"/>
  <c r="M61" i="28"/>
  <c r="M32" i="28"/>
  <c r="M57" i="28"/>
  <c r="M15" i="28"/>
  <c r="M103" i="28"/>
  <c r="M16" i="28"/>
  <c r="M94" i="28"/>
  <c r="M38" i="28"/>
  <c r="M17" i="28"/>
  <c r="M18" i="28"/>
  <c r="M19" i="28"/>
  <c r="M37" i="28"/>
  <c r="M20" i="28"/>
  <c r="M33" i="28"/>
  <c r="M86" i="28"/>
  <c r="M102" i="28"/>
  <c r="M21" i="28"/>
  <c r="M36" i="28"/>
  <c r="M22" i="28"/>
  <c r="M93" i="28"/>
  <c r="M23" i="28"/>
  <c r="M35" i="28"/>
  <c r="M24" i="28"/>
  <c r="M60" i="28"/>
  <c r="M31" i="28"/>
  <c r="M53" i="28"/>
  <c r="M101" i="28"/>
  <c r="M25" i="28"/>
  <c r="M34" i="28"/>
  <c r="M56" i="28"/>
  <c r="M85" i="28"/>
  <c r="M92" i="28"/>
  <c r="M26" i="28"/>
  <c r="M62" i="28"/>
  <c r="M63" i="28"/>
  <c r="M64" i="28"/>
  <c r="M65" i="28"/>
  <c r="M66" i="28"/>
  <c r="M100" i="28"/>
  <c r="M67" i="28"/>
  <c r="M68" i="28"/>
  <c r="M69" i="28"/>
  <c r="M70" i="28"/>
  <c r="M71" i="28"/>
  <c r="M91" i="28"/>
  <c r="M84" i="28"/>
  <c r="M59" i="28"/>
  <c r="M72" i="28"/>
  <c r="M99" i="28"/>
  <c r="M73" i="28"/>
  <c r="M52" i="28"/>
  <c r="M83" i="28"/>
  <c r="M29" i="28"/>
  <c r="M82" i="28"/>
  <c r="M51" i="28"/>
  <c r="M55" i="28"/>
  <c r="M90" i="28"/>
  <c r="M81" i="28"/>
  <c r="M74" i="28"/>
  <c r="M50" i="28"/>
  <c r="M98" i="28"/>
  <c r="M75" i="28"/>
  <c r="M49" i="28"/>
  <c r="M76" i="28"/>
  <c r="M77" i="28"/>
  <c r="M48" i="28"/>
  <c r="M47" i="28"/>
  <c r="M6" i="28"/>
  <c r="M7" i="28"/>
  <c r="M58" i="28"/>
  <c r="M97" i="28"/>
  <c r="M89" i="28"/>
  <c r="M27" i="28"/>
  <c r="M78" i="28"/>
  <c r="M46" i="28"/>
  <c r="M79" i="28"/>
  <c r="M45" i="28"/>
  <c r="M28" i="28"/>
  <c r="M80" i="28"/>
  <c r="M44" i="28"/>
  <c r="M43" i="28"/>
  <c r="M42" i="28"/>
  <c r="M96" i="28"/>
  <c r="L105" i="28"/>
  <c r="L57" i="28"/>
  <c r="L94" i="28"/>
  <c r="L73" i="28"/>
  <c r="L43" i="28"/>
  <c r="L72" i="28"/>
  <c r="L29" i="28"/>
  <c r="L52" i="28"/>
  <c r="L104" i="28"/>
  <c r="L93" i="28"/>
  <c r="L24" i="28"/>
  <c r="L71" i="28"/>
  <c r="L83" i="28"/>
  <c r="L33" i="28"/>
  <c r="L6" i="28"/>
  <c r="L61" i="28"/>
  <c r="L56" i="28"/>
  <c r="L92" i="28"/>
  <c r="L103" i="28"/>
  <c r="L76" i="28"/>
  <c r="L32" i="28"/>
  <c r="L42" i="28"/>
  <c r="L15" i="28"/>
  <c r="L31" i="28"/>
  <c r="L35" i="28"/>
  <c r="L9" i="28"/>
  <c r="L14" i="28"/>
  <c r="L70" i="28"/>
  <c r="L102" i="28"/>
  <c r="L49" i="28"/>
  <c r="L8" i="28"/>
  <c r="L69" i="28"/>
  <c r="L91" i="28"/>
  <c r="L74" i="28"/>
  <c r="L68" i="28"/>
  <c r="L60" i="28"/>
  <c r="L90" i="28"/>
  <c r="L101" i="28"/>
  <c r="L67" i="28"/>
  <c r="L44" i="28"/>
  <c r="L50" i="28"/>
  <c r="L66" i="28"/>
  <c r="L55" i="28"/>
  <c r="L23" i="28"/>
  <c r="L12" i="28"/>
  <c r="L78" i="28"/>
  <c r="L13" i="28"/>
  <c r="L89" i="28"/>
  <c r="L100" i="28"/>
  <c r="L16" i="28"/>
  <c r="L82" i="28"/>
  <c r="L22" i="28"/>
  <c r="L65" i="28"/>
  <c r="L64" i="28"/>
  <c r="L36" i="28"/>
  <c r="L59" i="28"/>
  <c r="L99" i="28"/>
  <c r="L88" i="28"/>
  <c r="L21" i="28"/>
  <c r="L47" i="28"/>
  <c r="L48" i="28"/>
  <c r="L30" i="28"/>
  <c r="L63" i="28"/>
  <c r="L81" i="28"/>
  <c r="L62" i="28"/>
  <c r="L75" i="28"/>
  <c r="L20" i="28"/>
  <c r="L98" i="28"/>
  <c r="L54" i="28"/>
  <c r="L77" i="28"/>
  <c r="L87" i="28"/>
  <c r="L10" i="28"/>
  <c r="L39" i="28"/>
  <c r="L28" i="28"/>
  <c r="L84" i="28"/>
  <c r="L97" i="28"/>
  <c r="L27" i="28"/>
  <c r="L37" i="28"/>
  <c r="L41" i="28"/>
  <c r="L34" i="28"/>
  <c r="L86" i="28"/>
  <c r="L58" i="28"/>
  <c r="L40" i="28"/>
  <c r="L19" i="28"/>
  <c r="L51" i="28"/>
  <c r="L96" i="28"/>
  <c r="L26" i="28"/>
  <c r="L45" i="28"/>
  <c r="L18" i="28"/>
  <c r="L53" i="28"/>
  <c r="L85" i="28"/>
  <c r="L79" i="28"/>
  <c r="L11" i="28"/>
  <c r="L25" i="28"/>
  <c r="L95" i="28"/>
  <c r="L80" i="28"/>
  <c r="L38" i="28"/>
  <c r="L7" i="28"/>
  <c r="L17" i="28"/>
  <c r="L46" i="28"/>
  <c r="K105" i="28"/>
  <c r="K84" i="28"/>
  <c r="K46" i="28"/>
  <c r="K43" i="28"/>
  <c r="K16" i="28"/>
  <c r="K35" i="28"/>
  <c r="K104" i="28"/>
  <c r="K24" i="28"/>
  <c r="K48" i="28"/>
  <c r="K47" i="28"/>
  <c r="K61" i="28"/>
  <c r="K6" i="28"/>
  <c r="K103" i="28"/>
  <c r="K8" i="28"/>
  <c r="K102" i="28"/>
  <c r="K74" i="28"/>
  <c r="K13" i="28"/>
  <c r="K42" i="28"/>
  <c r="K60" i="28"/>
  <c r="K101" i="28"/>
  <c r="K45" i="28"/>
  <c r="K50" i="28"/>
  <c r="K30" i="28"/>
  <c r="K23" i="28"/>
  <c r="K31" i="28"/>
  <c r="K9" i="28"/>
  <c r="K100" i="28"/>
  <c r="K80" i="28"/>
  <c r="K22" i="28"/>
  <c r="K36" i="28"/>
  <c r="K99" i="28"/>
  <c r="K21" i="28"/>
  <c r="K28" i="28"/>
  <c r="K59" i="28"/>
  <c r="K75" i="28"/>
  <c r="K98" i="28"/>
  <c r="K79" i="28"/>
  <c r="K10" i="28"/>
  <c r="K20" i="28"/>
  <c r="K37" i="28"/>
  <c r="K97" i="28"/>
  <c r="K41" i="28"/>
  <c r="K14" i="28"/>
  <c r="K58" i="28"/>
  <c r="K19" i="28"/>
  <c r="K96" i="28"/>
  <c r="K18" i="28"/>
  <c r="K15" i="28"/>
  <c r="K11" i="28"/>
  <c r="K38" i="28"/>
  <c r="K95" i="28"/>
  <c r="K17" i="28"/>
  <c r="K33" i="28"/>
  <c r="K56" i="28"/>
  <c r="K82" i="28"/>
  <c r="K7" i="28"/>
  <c r="K65" i="28"/>
  <c r="K94" i="28"/>
  <c r="K64" i="28"/>
  <c r="K69" i="28"/>
  <c r="K88" i="28"/>
  <c r="K71" i="28"/>
  <c r="K91" i="28"/>
  <c r="K63" i="28"/>
  <c r="K49" i="28"/>
  <c r="K76" i="28"/>
  <c r="K68" i="28"/>
  <c r="K54" i="28"/>
  <c r="K52" i="28"/>
  <c r="K39" i="28"/>
  <c r="K87" i="28"/>
  <c r="K44" i="28"/>
  <c r="K62" i="28"/>
  <c r="K81" i="28"/>
  <c r="K72" i="28"/>
  <c r="K90" i="28"/>
  <c r="K27" i="28"/>
  <c r="K34" i="28"/>
  <c r="K12" i="28"/>
  <c r="K32" i="28"/>
  <c r="K86" i="28"/>
  <c r="K67" i="28"/>
  <c r="K57" i="28"/>
  <c r="K92" i="28"/>
  <c r="K26" i="28"/>
  <c r="K40" i="28"/>
  <c r="K73" i="28"/>
  <c r="K53" i="28"/>
  <c r="K55" i="28"/>
  <c r="K85" i="28"/>
  <c r="K83" i="28"/>
  <c r="K51" i="28"/>
  <c r="K78" i="28"/>
  <c r="K93" i="28"/>
  <c r="K29" i="28"/>
  <c r="K77" i="28"/>
  <c r="K25" i="28"/>
  <c r="K70" i="28"/>
  <c r="K89" i="28"/>
  <c r="K66" i="28"/>
  <c r="J105" i="28"/>
  <c r="J42" i="28"/>
  <c r="J14" i="28"/>
  <c r="J78" i="28"/>
  <c r="J15" i="28"/>
  <c r="J7" i="28"/>
  <c r="J104" i="28"/>
  <c r="J49" i="28"/>
  <c r="J39" i="28"/>
  <c r="J16" i="28"/>
  <c r="J32" i="28"/>
  <c r="J61" i="28"/>
  <c r="J103" i="28"/>
  <c r="J17" i="28"/>
  <c r="J76" i="28"/>
  <c r="J38" i="28"/>
  <c r="J18" i="28"/>
  <c r="J19" i="28"/>
  <c r="J37" i="28"/>
  <c r="J20" i="28"/>
  <c r="J102" i="28"/>
  <c r="J50" i="28"/>
  <c r="J21" i="28"/>
  <c r="J45" i="28"/>
  <c r="J75" i="28"/>
  <c r="J101" i="28"/>
  <c r="J31" i="28"/>
  <c r="J22" i="28"/>
  <c r="J36" i="28"/>
  <c r="J23" i="28"/>
  <c r="J60" i="28"/>
  <c r="J80" i="28"/>
  <c r="J24" i="28"/>
  <c r="J74" i="28"/>
  <c r="J100" i="28"/>
  <c r="J25" i="28"/>
  <c r="J51" i="28"/>
  <c r="J26" i="28"/>
  <c r="J28" i="28"/>
  <c r="J99" i="28"/>
  <c r="J34" i="28"/>
  <c r="J27" i="28"/>
  <c r="J81" i="28"/>
  <c r="J59" i="28"/>
  <c r="J62" i="28"/>
  <c r="J63" i="28"/>
  <c r="J98" i="28"/>
  <c r="J64" i="28"/>
  <c r="J82" i="28"/>
  <c r="J65" i="28"/>
  <c r="J35" i="28"/>
  <c r="J97" i="28"/>
  <c r="J66" i="28"/>
  <c r="J67" i="28"/>
  <c r="J52" i="28"/>
  <c r="J58" i="28"/>
  <c r="J68" i="28"/>
  <c r="J96" i="28"/>
  <c r="J44" i="28"/>
  <c r="J69" i="28"/>
  <c r="J83" i="28"/>
  <c r="J70" i="28"/>
  <c r="J71" i="28"/>
  <c r="J72" i="28"/>
  <c r="J95" i="28"/>
  <c r="J73" i="28"/>
  <c r="J47" i="28"/>
  <c r="J84" i="28"/>
  <c r="J94" i="28"/>
  <c r="J57" i="28"/>
  <c r="J93" i="28"/>
  <c r="J92" i="28"/>
  <c r="J56" i="28"/>
  <c r="J91" i="28"/>
  <c r="J33" i="28"/>
  <c r="J90" i="28"/>
  <c r="J55" i="28"/>
  <c r="J89" i="28"/>
  <c r="J88" i="28"/>
  <c r="J54" i="28"/>
  <c r="J87" i="28"/>
  <c r="J86" i="28"/>
  <c r="J29" i="28"/>
  <c r="J85" i="28"/>
  <c r="J53" i="28"/>
  <c r="J43" i="28"/>
  <c r="J46" i="28"/>
  <c r="J30" i="28"/>
  <c r="J8" i="28"/>
  <c r="J6" i="28"/>
  <c r="J9" i="28"/>
  <c r="J10" i="28"/>
  <c r="J41" i="28"/>
  <c r="J11" i="28"/>
  <c r="J48" i="28"/>
  <c r="J12" i="28"/>
  <c r="J79" i="28"/>
  <c r="J40" i="28"/>
  <c r="J13" i="28"/>
  <c r="J77" i="28"/>
  <c r="I105" i="28"/>
  <c r="I88" i="28"/>
  <c r="I64" i="28"/>
  <c r="I12" i="28"/>
  <c r="I77" i="28"/>
  <c r="I104" i="28"/>
  <c r="I13" i="28"/>
  <c r="I75" i="28"/>
  <c r="I103" i="28"/>
  <c r="I82" i="28"/>
  <c r="I65" i="28"/>
  <c r="I48" i="28"/>
  <c r="I61" i="28"/>
  <c r="I89" i="28"/>
  <c r="I66" i="28"/>
  <c r="I102" i="28"/>
  <c r="I55" i="28"/>
  <c r="I32" i="28"/>
  <c r="I22" i="28"/>
  <c r="I101" i="28"/>
  <c r="I49" i="28"/>
  <c r="I52" i="28"/>
  <c r="I28" i="28"/>
  <c r="I60" i="28"/>
  <c r="I67" i="28"/>
  <c r="I80" i="28"/>
  <c r="I100" i="28"/>
  <c r="I90" i="28"/>
  <c r="I33" i="28"/>
  <c r="I99" i="28"/>
  <c r="I68" i="28"/>
  <c r="I36" i="28"/>
  <c r="I59" i="28"/>
  <c r="I91" i="28"/>
  <c r="I98" i="28"/>
  <c r="I69" i="28"/>
  <c r="I9" i="28"/>
  <c r="I41" i="28"/>
  <c r="I97" i="28"/>
  <c r="I17" i="28"/>
  <c r="I56" i="28"/>
  <c r="I58" i="28"/>
  <c r="I96" i="28"/>
  <c r="I23" i="28"/>
  <c r="I44" i="28"/>
  <c r="I83" i="28"/>
  <c r="I70" i="28"/>
  <c r="I39" i="28"/>
  <c r="I95" i="28"/>
  <c r="I92" i="28"/>
  <c r="I42" i="28"/>
  <c r="I79" i="28"/>
  <c r="I6" i="28"/>
  <c r="I38" i="28"/>
  <c r="I46" i="28"/>
  <c r="I8" i="28"/>
  <c r="I71" i="28"/>
  <c r="I18" i="28"/>
  <c r="I93" i="28"/>
  <c r="I11" i="28"/>
  <c r="I72" i="28"/>
  <c r="I57" i="28"/>
  <c r="I24" i="28"/>
  <c r="I47" i="28"/>
  <c r="I73" i="28"/>
  <c r="I14" i="28"/>
  <c r="I45" i="28"/>
  <c r="I94" i="28"/>
  <c r="I76" i="28"/>
  <c r="I43" i="28"/>
  <c r="I84" i="28"/>
  <c r="I19" i="28"/>
  <c r="I40" i="28"/>
  <c r="I35" i="28"/>
  <c r="I25" i="28"/>
  <c r="I53" i="28"/>
  <c r="I74" i="28"/>
  <c r="I50" i="28"/>
  <c r="I30" i="28"/>
  <c r="I51" i="28"/>
  <c r="I78" i="28"/>
  <c r="I85" i="28"/>
  <c r="I26" i="28"/>
  <c r="I86" i="28"/>
  <c r="I16" i="28"/>
  <c r="I20" i="28"/>
  <c r="I34" i="28"/>
  <c r="I27" i="28"/>
  <c r="I10" i="28"/>
  <c r="I54" i="28"/>
  <c r="I15" i="28"/>
  <c r="I29" i="28"/>
  <c r="I37" i="28"/>
  <c r="I81" i="28"/>
  <c r="I62" i="28"/>
  <c r="I87" i="28"/>
  <c r="I31" i="28"/>
  <c r="I63" i="28"/>
  <c r="I7" i="28"/>
  <c r="I21" i="28"/>
  <c r="H105" i="28"/>
  <c r="H34" i="28"/>
  <c r="H62" i="28"/>
  <c r="H63" i="28"/>
  <c r="H104" i="28"/>
  <c r="H35" i="28"/>
  <c r="H103" i="28"/>
  <c r="H88" i="28"/>
  <c r="H26" i="28"/>
  <c r="H61" i="28"/>
  <c r="H82" i="28"/>
  <c r="H102" i="28"/>
  <c r="H64" i="28"/>
  <c r="H28" i="28"/>
  <c r="H101" i="28"/>
  <c r="H13" i="28"/>
  <c r="H60" i="28"/>
  <c r="H16" i="28"/>
  <c r="H100" i="28"/>
  <c r="H55" i="28"/>
  <c r="H99" i="28"/>
  <c r="H12" i="28"/>
  <c r="H59" i="28"/>
  <c r="H98" i="28"/>
  <c r="H65" i="28"/>
  <c r="H97" i="28"/>
  <c r="H86" i="28"/>
  <c r="H96" i="28"/>
  <c r="H45" i="28"/>
  <c r="H58" i="28"/>
  <c r="H53" i="28"/>
  <c r="H74" i="28"/>
  <c r="H95" i="28"/>
  <c r="H66" i="28"/>
  <c r="H47" i="28"/>
  <c r="H54" i="28"/>
  <c r="H52" i="28"/>
  <c r="H18" i="28"/>
  <c r="H40" i="28"/>
  <c r="H11" i="28"/>
  <c r="H67" i="28"/>
  <c r="H76" i="28"/>
  <c r="H85" i="28"/>
  <c r="H38" i="28"/>
  <c r="H7" i="28"/>
  <c r="H33" i="28"/>
  <c r="H90" i="28"/>
  <c r="H81" i="28"/>
  <c r="H48" i="28"/>
  <c r="H19" i="28"/>
  <c r="H46" i="28"/>
  <c r="H68" i="28"/>
  <c r="H14" i="28"/>
  <c r="H50" i="28"/>
  <c r="H78" i="28"/>
  <c r="H91" i="28"/>
  <c r="H31" i="28"/>
  <c r="H27" i="28"/>
  <c r="H20" i="28"/>
  <c r="H15" i="28"/>
  <c r="H79" i="28"/>
  <c r="H17" i="28"/>
  <c r="H10" i="28"/>
  <c r="H37" i="28"/>
  <c r="H83" i="28"/>
  <c r="H69" i="28"/>
  <c r="H56" i="28"/>
  <c r="H21" i="28"/>
  <c r="H51" i="28"/>
  <c r="H49" i="28"/>
  <c r="H32" i="28"/>
  <c r="H75" i="28"/>
  <c r="H80" i="28"/>
  <c r="H70" i="28"/>
  <c r="H25" i="28"/>
  <c r="H89" i="28"/>
  <c r="H92" i="28"/>
  <c r="H22" i="28"/>
  <c r="H6" i="28"/>
  <c r="H30" i="28"/>
  <c r="H44" i="28"/>
  <c r="H77" i="28"/>
  <c r="H36" i="28"/>
  <c r="H71" i="28"/>
  <c r="H41" i="28"/>
  <c r="H23" i="28"/>
  <c r="H93" i="28"/>
  <c r="H9" i="28"/>
  <c r="H57" i="28"/>
  <c r="H42" i="28"/>
  <c r="H8" i="28"/>
  <c r="H72" i="28"/>
  <c r="H87" i="28"/>
  <c r="H24" i="28"/>
  <c r="H39" i="28"/>
  <c r="H84" i="28"/>
  <c r="H43" i="28"/>
  <c r="H73" i="28"/>
  <c r="H29" i="28"/>
  <c r="H94" i="28"/>
  <c r="G105" i="28"/>
  <c r="G62" i="28"/>
  <c r="G104" i="28"/>
  <c r="G103" i="28"/>
  <c r="G28" i="28"/>
  <c r="G61" i="28"/>
  <c r="G102" i="28"/>
  <c r="G101" i="28"/>
  <c r="G60" i="28"/>
  <c r="G100" i="28"/>
  <c r="G99" i="28"/>
  <c r="G98" i="28"/>
  <c r="G97" i="28"/>
  <c r="G96" i="28"/>
  <c r="G58" i="28"/>
  <c r="G95" i="28"/>
  <c r="G40" i="28"/>
  <c r="G32" i="28"/>
  <c r="G18" i="28"/>
  <c r="G11" i="28"/>
  <c r="G76" i="28"/>
  <c r="G38" i="28"/>
  <c r="G50" i="28"/>
  <c r="G31" i="28"/>
  <c r="G19" i="28"/>
  <c r="G59" i="28"/>
  <c r="G15" i="28"/>
  <c r="G20" i="28"/>
  <c r="G80" i="28"/>
  <c r="G37" i="28"/>
  <c r="G10" i="28"/>
  <c r="G21" i="28"/>
  <c r="G14" i="28"/>
  <c r="G79" i="28"/>
  <c r="G42" i="28"/>
  <c r="G6" i="28"/>
  <c r="G22" i="28"/>
  <c r="G75" i="28"/>
  <c r="G36" i="28"/>
  <c r="G23" i="28"/>
  <c r="G33" i="28"/>
  <c r="G9" i="28"/>
  <c r="G8" i="28"/>
  <c r="G24" i="28"/>
  <c r="G43" i="28"/>
  <c r="G39" i="28"/>
  <c r="G51" i="28"/>
  <c r="G53" i="28"/>
  <c r="G17" i="28"/>
  <c r="G64" i="28"/>
  <c r="G66" i="28"/>
  <c r="G47" i="28"/>
  <c r="G83" i="28"/>
  <c r="G81" i="28"/>
  <c r="G69" i="28"/>
  <c r="G86" i="28"/>
  <c r="G25" i="28"/>
  <c r="G49" i="28"/>
  <c r="G54" i="28"/>
  <c r="G30" i="28"/>
  <c r="G35" i="28"/>
  <c r="G87" i="28"/>
  <c r="G90" i="28"/>
  <c r="G70" i="28"/>
  <c r="G65" i="28"/>
  <c r="G85" i="28"/>
  <c r="G41" i="28"/>
  <c r="G92" i="28"/>
  <c r="G67" i="28"/>
  <c r="G82" i="28"/>
  <c r="G13" i="28"/>
  <c r="G93" i="28"/>
  <c r="G71" i="28"/>
  <c r="G26" i="28"/>
  <c r="G77" i="28"/>
  <c r="G12" i="28"/>
  <c r="G29" i="28"/>
  <c r="G34" i="28"/>
  <c r="G44" i="28"/>
  <c r="G57" i="28"/>
  <c r="G89" i="28"/>
  <c r="G72" i="28"/>
  <c r="G56" i="28"/>
  <c r="G55" i="28"/>
  <c r="G48" i="28"/>
  <c r="G16" i="28"/>
  <c r="G94" i="28"/>
  <c r="G46" i="28"/>
  <c r="G84" i="28"/>
  <c r="G91" i="28"/>
  <c r="G73" i="28"/>
  <c r="G68" i="28"/>
  <c r="G7" i="28"/>
  <c r="G63" i="28"/>
  <c r="G27" i="28"/>
  <c r="G45" i="28"/>
  <c r="G88" i="28"/>
  <c r="G52" i="28"/>
  <c r="G78" i="28"/>
  <c r="G74" i="28"/>
  <c r="F88" i="28"/>
  <c r="F87" i="28"/>
  <c r="F86" i="28"/>
  <c r="F85" i="28"/>
  <c r="F84" i="28"/>
  <c r="F83" i="28"/>
  <c r="F82" i="28"/>
  <c r="F81" i="28"/>
  <c r="F65" i="28"/>
  <c r="F75" i="28"/>
  <c r="F76" i="28"/>
  <c r="F77" i="28"/>
  <c r="F78" i="28"/>
  <c r="F6" i="28"/>
  <c r="F7" i="28"/>
  <c r="F79" i="28"/>
  <c r="F80" i="28"/>
  <c r="F8" i="28"/>
  <c r="F66" i="28"/>
  <c r="F9" i="28"/>
  <c r="F10" i="28"/>
  <c r="F11" i="28"/>
  <c r="F12" i="28"/>
  <c r="F13" i="28"/>
  <c r="F14" i="28"/>
  <c r="F15" i="28"/>
  <c r="F16" i="28"/>
  <c r="F17" i="28"/>
  <c r="F67" i="28"/>
  <c r="F18" i="28"/>
  <c r="F19" i="28"/>
  <c r="F20" i="28"/>
  <c r="F21" i="28"/>
  <c r="F22" i="28"/>
  <c r="F23" i="28"/>
  <c r="F24" i="28"/>
  <c r="F25" i="28"/>
  <c r="F26" i="28"/>
  <c r="F68" i="28"/>
  <c r="F27" i="28"/>
  <c r="F28" i="28"/>
  <c r="F29" i="28"/>
  <c r="F30" i="28"/>
  <c r="F31" i="28"/>
  <c r="F32" i="28"/>
  <c r="F33" i="28"/>
  <c r="F34" i="28"/>
  <c r="F35" i="28"/>
  <c r="F69" i="28"/>
  <c r="F36" i="28"/>
  <c r="F37" i="28"/>
  <c r="F38" i="28"/>
  <c r="F39" i="28"/>
  <c r="F40" i="28"/>
  <c r="F41" i="28"/>
  <c r="F42" i="28"/>
  <c r="F43" i="28"/>
  <c r="F44" i="28"/>
  <c r="F70" i="28"/>
  <c r="F45" i="28"/>
  <c r="F46" i="28"/>
  <c r="F47" i="28"/>
  <c r="F48" i="28"/>
  <c r="F49" i="28"/>
  <c r="F50" i="28"/>
  <c r="F51" i="28"/>
  <c r="F52" i="28"/>
  <c r="F53" i="28"/>
  <c r="F71" i="28"/>
  <c r="F54" i="28"/>
  <c r="F55" i="28"/>
  <c r="F56" i="28"/>
  <c r="F57" i="28"/>
  <c r="F58" i="28"/>
  <c r="F59" i="28"/>
  <c r="F60" i="28"/>
  <c r="F61" i="28"/>
  <c r="F62" i="28"/>
  <c r="F72" i="28"/>
  <c r="F105" i="28"/>
  <c r="F104" i="28"/>
  <c r="F103" i="28"/>
  <c r="F102" i="28"/>
  <c r="F101" i="28"/>
  <c r="F100" i="28"/>
  <c r="F99" i="28"/>
  <c r="F63" i="28"/>
  <c r="F98" i="28"/>
  <c r="F73" i="28"/>
  <c r="F97" i="28"/>
  <c r="F96" i="28"/>
  <c r="F95" i="28"/>
  <c r="F94" i="28"/>
  <c r="F93" i="28"/>
  <c r="F92" i="28"/>
  <c r="F91" i="28"/>
  <c r="F90" i="28"/>
  <c r="F64" i="28"/>
  <c r="F74" i="28"/>
  <c r="F89" i="28"/>
  <c r="E59" i="28"/>
  <c r="E74" i="28"/>
  <c r="E50" i="28"/>
  <c r="E43" i="28"/>
  <c r="E8" i="28"/>
  <c r="E9" i="28"/>
  <c r="E42" i="28"/>
  <c r="E29" i="28"/>
  <c r="E73" i="28"/>
  <c r="E69" i="28"/>
  <c r="E62" i="28"/>
  <c r="E97" i="28"/>
  <c r="E96" i="28"/>
  <c r="E82" i="28"/>
  <c r="E34" i="28"/>
  <c r="E58" i="28"/>
  <c r="E60" i="28"/>
  <c r="E44" i="28"/>
  <c r="E68" i="28"/>
  <c r="E10" i="28"/>
  <c r="E95" i="28"/>
  <c r="E75" i="28"/>
  <c r="E11" i="28"/>
  <c r="E72" i="28"/>
  <c r="E52" i="28"/>
  <c r="E63" i="28"/>
  <c r="E94" i="28"/>
  <c r="E30" i="28"/>
  <c r="E98" i="28"/>
  <c r="E57" i="28"/>
  <c r="E66" i="28"/>
  <c r="E45" i="28"/>
  <c r="E33" i="28"/>
  <c r="E41" i="28"/>
  <c r="E35" i="28"/>
  <c r="E93" i="28"/>
  <c r="E39" i="28"/>
  <c r="E80" i="28"/>
  <c r="E37" i="28"/>
  <c r="E104" i="28"/>
  <c r="E25" i="28"/>
  <c r="E31" i="28"/>
  <c r="E92" i="28"/>
  <c r="E91" i="28"/>
  <c r="E51" i="28"/>
  <c r="E46" i="28"/>
  <c r="E32" i="28"/>
  <c r="E12" i="28"/>
  <c r="E56" i="28"/>
  <c r="E79" i="28"/>
  <c r="E17" i="28"/>
  <c r="E71" i="28"/>
  <c r="E103" i="28"/>
  <c r="E14" i="28"/>
  <c r="E64" i="28"/>
  <c r="E90" i="28"/>
  <c r="E99" i="28"/>
  <c r="E89" i="28"/>
  <c r="E24" i="28"/>
  <c r="E47" i="28"/>
  <c r="E36" i="28"/>
  <c r="E7" i="28"/>
  <c r="E20" i="28"/>
  <c r="E81" i="28"/>
  <c r="E55" i="28"/>
  <c r="E105" i="28"/>
  <c r="E6" i="28"/>
  <c r="E19" i="28"/>
  <c r="E88" i="28"/>
  <c r="E61" i="28"/>
  <c r="E23" i="28"/>
  <c r="E87" i="28"/>
  <c r="E38" i="28"/>
  <c r="E48" i="28"/>
  <c r="E28" i="28"/>
  <c r="E101" i="28"/>
  <c r="E13" i="28"/>
  <c r="E78" i="28"/>
  <c r="E65" i="28"/>
  <c r="E54" i="28"/>
  <c r="E100" i="28"/>
  <c r="E86" i="28"/>
  <c r="E77" i="28"/>
  <c r="E27" i="28"/>
  <c r="E26" i="28"/>
  <c r="E67" i="28"/>
  <c r="E49" i="28"/>
  <c r="E85" i="28"/>
  <c r="E15" i="28"/>
  <c r="E102" i="28"/>
  <c r="E53" i="28"/>
  <c r="E22" i="28"/>
  <c r="E40" i="28"/>
  <c r="E18" i="28"/>
  <c r="E84" i="28"/>
  <c r="E76" i="28"/>
  <c r="E70" i="28"/>
  <c r="E16" i="28"/>
  <c r="E83" i="28"/>
  <c r="E21" i="28"/>
  <c r="D43" i="28"/>
  <c r="D42" i="28"/>
  <c r="D73" i="28"/>
  <c r="D10" i="28"/>
  <c r="D44" i="28"/>
  <c r="D33" i="28"/>
  <c r="D11" i="28"/>
  <c r="D72" i="28"/>
  <c r="D45" i="28"/>
  <c r="D41" i="28"/>
  <c r="D12" i="28"/>
  <c r="D80" i="28"/>
  <c r="D39" i="28"/>
  <c r="D105" i="28"/>
  <c r="D46" i="28"/>
  <c r="D79" i="28"/>
  <c r="D99" i="28"/>
  <c r="D71" i="28"/>
  <c r="D47" i="28"/>
  <c r="D30" i="28"/>
  <c r="D17" i="28"/>
  <c r="D7" i="28"/>
  <c r="D6" i="28"/>
  <c r="D100" i="28"/>
  <c r="D48" i="28"/>
  <c r="D13" i="28"/>
  <c r="D78" i="28"/>
  <c r="D49" i="28"/>
  <c r="D77" i="28"/>
  <c r="D14" i="28"/>
  <c r="D40" i="28"/>
  <c r="D60" i="28"/>
  <c r="D50" i="28"/>
  <c r="D76" i="28"/>
  <c r="D70" i="28"/>
  <c r="D75" i="28"/>
  <c r="D32" i="28"/>
  <c r="D27" i="28"/>
  <c r="D51" i="28"/>
  <c r="D29" i="28"/>
  <c r="D81" i="28"/>
  <c r="D101" i="28"/>
  <c r="D82" i="28"/>
  <c r="D15" i="28"/>
  <c r="D16" i="28"/>
  <c r="D69" i="28"/>
  <c r="D18" i="28"/>
  <c r="D68" i="28"/>
  <c r="D31" i="28"/>
  <c r="D38" i="28"/>
  <c r="D19" i="28"/>
  <c r="D67" i="28"/>
  <c r="D20" i="28"/>
  <c r="D21" i="28"/>
  <c r="D37" i="28"/>
  <c r="D66" i="28"/>
  <c r="D22" i="28"/>
  <c r="D23" i="28"/>
  <c r="D65" i="28"/>
  <c r="D36" i="28"/>
  <c r="D24" i="28"/>
  <c r="D64" i="28"/>
  <c r="D25" i="28"/>
  <c r="D35" i="28"/>
  <c r="D52" i="28"/>
  <c r="D83" i="28"/>
  <c r="D84" i="28"/>
  <c r="D102" i="28"/>
  <c r="D53" i="28"/>
  <c r="D63" i="28"/>
  <c r="D85" i="28"/>
  <c r="D86" i="28"/>
  <c r="D61" i="28"/>
  <c r="D54" i="28"/>
  <c r="D87" i="28"/>
  <c r="D88" i="28"/>
  <c r="D55" i="28"/>
  <c r="D28" i="28"/>
  <c r="D89" i="28"/>
  <c r="D103" i="28"/>
  <c r="D90" i="28"/>
  <c r="D91" i="28"/>
  <c r="D26" i="28"/>
  <c r="D56" i="28"/>
  <c r="D104" i="28"/>
  <c r="D92" i="28"/>
  <c r="D93" i="28"/>
  <c r="D57" i="28"/>
  <c r="D94" i="28"/>
  <c r="D95" i="28"/>
  <c r="D58" i="28"/>
  <c r="D34" i="28"/>
  <c r="D96" i="28"/>
  <c r="D62" i="28"/>
  <c r="D97" i="28"/>
  <c r="D98" i="28"/>
  <c r="D59" i="28"/>
  <c r="D9" i="28"/>
  <c r="D8" i="28"/>
  <c r="D74" i="28"/>
  <c r="C50" i="28"/>
  <c r="C102" i="28"/>
  <c r="C84" i="28"/>
  <c r="C66" i="28"/>
  <c r="C40" i="28"/>
  <c r="C37" i="28"/>
  <c r="C53" i="28"/>
  <c r="C31" i="28"/>
  <c r="C60" i="28"/>
  <c r="C77" i="28"/>
  <c r="C22" i="28"/>
  <c r="C85" i="28"/>
  <c r="C20" i="28"/>
  <c r="C35" i="28"/>
  <c r="C49" i="28"/>
  <c r="C86" i="28"/>
  <c r="C16" i="28"/>
  <c r="C14" i="28"/>
  <c r="C61" i="28"/>
  <c r="C23" i="28"/>
  <c r="C54" i="28"/>
  <c r="C19" i="28"/>
  <c r="C78" i="28"/>
  <c r="C30" i="28"/>
  <c r="C87" i="28"/>
  <c r="C52" i="28"/>
  <c r="C48" i="28"/>
  <c r="C100" i="28"/>
  <c r="C88" i="28"/>
  <c r="C18" i="28"/>
  <c r="C6" i="28"/>
  <c r="C28" i="28"/>
  <c r="C89" i="28"/>
  <c r="C103" i="28"/>
  <c r="C55" i="28"/>
  <c r="C65" i="28"/>
  <c r="C7" i="28"/>
  <c r="C82" i="28"/>
  <c r="C81" i="28"/>
  <c r="C47" i="28"/>
  <c r="C21" i="28"/>
  <c r="C90" i="28"/>
  <c r="C36" i="28"/>
  <c r="C71" i="28"/>
  <c r="C79" i="28"/>
  <c r="C91" i="28"/>
  <c r="C24" i="28"/>
  <c r="C68" i="28"/>
  <c r="C56" i="28"/>
  <c r="C101" i="28"/>
  <c r="C13" i="28"/>
  <c r="C104" i="28"/>
  <c r="C46" i="28"/>
  <c r="C15" i="28"/>
  <c r="C92" i="28"/>
  <c r="C17" i="28"/>
  <c r="C99" i="28"/>
  <c r="C80" i="28"/>
  <c r="C93" i="28"/>
  <c r="C64" i="28"/>
  <c r="C41" i="28"/>
  <c r="C26" i="28"/>
  <c r="C57" i="28"/>
  <c r="C25" i="28"/>
  <c r="C45" i="28"/>
  <c r="C34" i="28"/>
  <c r="C105" i="28"/>
  <c r="C94" i="28"/>
  <c r="C39" i="28"/>
  <c r="C12" i="28"/>
  <c r="C72" i="28"/>
  <c r="C95" i="28"/>
  <c r="C51" i="28"/>
  <c r="C11" i="28"/>
  <c r="C62" i="28"/>
  <c r="C96" i="28"/>
  <c r="C58" i="28"/>
  <c r="C32" i="28"/>
  <c r="C44" i="28"/>
  <c r="C75" i="28"/>
  <c r="C38" i="28"/>
  <c r="C10" i="28"/>
  <c r="C69" i="28"/>
  <c r="C97" i="28"/>
  <c r="C70" i="28"/>
  <c r="C42" i="28"/>
  <c r="C73" i="28"/>
  <c r="C98" i="28"/>
  <c r="C29" i="28"/>
  <c r="C63" i="28"/>
  <c r="C59" i="28"/>
  <c r="C76" i="28"/>
  <c r="C27" i="28"/>
  <c r="C9" i="28"/>
  <c r="C33" i="28"/>
  <c r="C83" i="28"/>
  <c r="C74" i="28"/>
  <c r="C67" i="28"/>
  <c r="C43" i="28"/>
  <c r="C8" i="28"/>
  <c r="B6" i="28"/>
  <c r="B48" i="28"/>
  <c r="B78" i="28"/>
  <c r="B49" i="28"/>
  <c r="B77" i="28"/>
  <c r="B50" i="28"/>
  <c r="B76" i="28"/>
  <c r="B75" i="28"/>
  <c r="B51" i="28"/>
  <c r="B81" i="28"/>
  <c r="B82" i="28"/>
  <c r="B52" i="28"/>
  <c r="B83" i="28"/>
  <c r="B84" i="28"/>
  <c r="B53" i="28"/>
  <c r="B29" i="28"/>
  <c r="B85" i="28"/>
  <c r="B86" i="28"/>
  <c r="B87" i="28"/>
  <c r="B54" i="28"/>
  <c r="B88" i="28"/>
  <c r="B89" i="28"/>
  <c r="B55" i="28"/>
  <c r="B90" i="28"/>
  <c r="B91" i="28"/>
  <c r="B56" i="28"/>
  <c r="B34" i="28"/>
  <c r="B92" i="28"/>
  <c r="B93" i="28"/>
  <c r="B57" i="28"/>
  <c r="B94" i="28"/>
  <c r="B95" i="28"/>
  <c r="B96" i="28"/>
  <c r="B97" i="28"/>
  <c r="B98" i="28"/>
  <c r="B59" i="28"/>
  <c r="B99" i="28"/>
  <c r="B100" i="28"/>
  <c r="B60" i="28"/>
  <c r="B101" i="28"/>
  <c r="B102" i="28"/>
  <c r="B103" i="28"/>
  <c r="B61" i="28"/>
  <c r="B104" i="28"/>
  <c r="B105" i="28"/>
  <c r="B62" i="28"/>
  <c r="B28" i="28"/>
  <c r="B27" i="28"/>
  <c r="B63" i="28"/>
  <c r="B35" i="28"/>
  <c r="B30" i="28"/>
  <c r="B26" i="28"/>
  <c r="B25" i="28"/>
  <c r="B64" i="28"/>
  <c r="B24" i="28"/>
  <c r="B36" i="28"/>
  <c r="B32" i="28"/>
  <c r="B65" i="28"/>
  <c r="B23" i="28"/>
  <c r="B22" i="28"/>
  <c r="B37" i="28"/>
  <c r="B66" i="28"/>
  <c r="B21" i="28"/>
  <c r="B20" i="28"/>
  <c r="B67" i="28"/>
  <c r="B58" i="28"/>
  <c r="B38" i="28"/>
  <c r="B19" i="28"/>
  <c r="B68" i="28"/>
  <c r="B18" i="28"/>
  <c r="B17" i="28"/>
  <c r="B39" i="28"/>
  <c r="B69" i="28"/>
  <c r="B16" i="28"/>
  <c r="B15" i="28"/>
  <c r="B70" i="28"/>
  <c r="B40" i="28"/>
  <c r="B31" i="28"/>
  <c r="B14" i="28"/>
  <c r="B71" i="28"/>
  <c r="B13" i="28"/>
  <c r="B41" i="28"/>
  <c r="B72" i="28"/>
  <c r="B12" i="28"/>
  <c r="B11" i="28"/>
  <c r="B42" i="28"/>
  <c r="B73" i="28"/>
  <c r="B33" i="28"/>
  <c r="B10" i="28"/>
  <c r="B43" i="28"/>
  <c r="B44" i="28"/>
  <c r="B9" i="28"/>
  <c r="B45" i="28"/>
  <c r="B80" i="28"/>
  <c r="B74" i="28"/>
  <c r="B46" i="28"/>
  <c r="B79" i="28"/>
  <c r="B47" i="28"/>
  <c r="B7" i="28"/>
  <c r="B8" i="28"/>
  <c r="L27" i="16"/>
  <c r="L26" i="16"/>
  <c r="L53" i="17"/>
  <c r="L52" i="17"/>
  <c r="L118" i="17"/>
  <c r="L34" i="16"/>
  <c r="L103" i="17"/>
  <c r="L35" i="16"/>
  <c r="L80" i="17"/>
  <c r="L151" i="17"/>
  <c r="L36" i="16"/>
  <c r="L37" i="16"/>
  <c r="L38" i="16"/>
  <c r="L39" i="16"/>
  <c r="L40" i="16"/>
  <c r="L41" i="16"/>
  <c r="L142" i="17"/>
  <c r="L141" i="17"/>
  <c r="L42" i="16"/>
  <c r="L43" i="16"/>
  <c r="L44" i="16"/>
  <c r="L58" i="17"/>
  <c r="L59" i="17"/>
  <c r="L102" i="17"/>
  <c r="L131" i="17"/>
  <c r="L45" i="16"/>
  <c r="L46" i="16"/>
  <c r="L129" i="17"/>
  <c r="L81" i="17"/>
  <c r="L47" i="16"/>
  <c r="L60" i="17"/>
  <c r="L48" i="16"/>
  <c r="L49" i="16"/>
  <c r="L50" i="16"/>
  <c r="L120" i="17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1" i="17"/>
  <c r="L65" i="16"/>
  <c r="L101" i="17"/>
  <c r="L66" i="16"/>
  <c r="L67" i="16"/>
  <c r="L68" i="16"/>
  <c r="L26" i="17"/>
  <c r="L69" i="16"/>
  <c r="L91" i="17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62" i="17"/>
  <c r="L63" i="17"/>
  <c r="L152" i="17"/>
  <c r="L84" i="16"/>
  <c r="L100" i="17"/>
  <c r="L148" i="17"/>
  <c r="L147" i="17"/>
  <c r="L145" i="17"/>
  <c r="L144" i="17"/>
  <c r="L86" i="17"/>
  <c r="L85" i="16"/>
  <c r="L86" i="16"/>
  <c r="L64" i="17"/>
  <c r="L140" i="17"/>
  <c r="L138" i="17"/>
  <c r="L25" i="16"/>
  <c r="L134" i="17"/>
  <c r="L88" i="16"/>
  <c r="L65" i="17"/>
  <c r="L132" i="17"/>
  <c r="L89" i="16"/>
  <c r="L99" i="17"/>
  <c r="L82" i="17"/>
  <c r="L128" i="17"/>
  <c r="L90" i="16"/>
  <c r="L91" i="16"/>
  <c r="L66" i="17"/>
  <c r="L67" i="17"/>
  <c r="L92" i="16"/>
  <c r="L116" i="17"/>
  <c r="L114" i="17"/>
  <c r="L93" i="16"/>
  <c r="L42" i="17"/>
  <c r="L94" i="16"/>
  <c r="L41" i="17"/>
  <c r="L95" i="16"/>
  <c r="L40" i="17"/>
  <c r="L98" i="17"/>
  <c r="L96" i="16"/>
  <c r="L83" i="17"/>
  <c r="L68" i="17"/>
  <c r="L97" i="16"/>
  <c r="L69" i="17"/>
  <c r="L98" i="16"/>
  <c r="L99" i="16"/>
  <c r="L100" i="16"/>
  <c r="L97" i="17"/>
  <c r="L101" i="16"/>
  <c r="L102" i="16"/>
  <c r="L103" i="16"/>
  <c r="L104" i="16"/>
  <c r="L105" i="16"/>
  <c r="L106" i="16"/>
  <c r="L119" i="17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90" i="17"/>
  <c r="L120" i="16"/>
  <c r="L121" i="16"/>
  <c r="L122" i="16"/>
  <c r="L123" i="16"/>
  <c r="L124" i="16"/>
  <c r="L125" i="16"/>
  <c r="L126" i="16"/>
  <c r="L127" i="16"/>
  <c r="L128" i="16"/>
  <c r="L129" i="16"/>
  <c r="L130" i="16"/>
  <c r="L70" i="17"/>
  <c r="L131" i="16"/>
  <c r="L132" i="16"/>
  <c r="L133" i="16"/>
  <c r="L71" i="17"/>
  <c r="L134" i="16"/>
  <c r="L135" i="16"/>
  <c r="L136" i="16"/>
  <c r="L139" i="17"/>
  <c r="L96" i="17"/>
  <c r="L137" i="17"/>
  <c r="L137" i="16"/>
  <c r="L138" i="16"/>
  <c r="L139" i="16"/>
  <c r="L127" i="17"/>
  <c r="L140" i="16"/>
  <c r="L141" i="16"/>
  <c r="L142" i="16"/>
  <c r="L143" i="16"/>
  <c r="L144" i="16"/>
  <c r="L35" i="17"/>
  <c r="L145" i="16"/>
  <c r="L146" i="16"/>
  <c r="L147" i="16"/>
  <c r="L148" i="16"/>
  <c r="L87" i="17"/>
  <c r="L149" i="16"/>
  <c r="L72" i="17"/>
  <c r="L29" i="17"/>
  <c r="L150" i="16"/>
  <c r="L151" i="16"/>
  <c r="L73" i="17"/>
  <c r="L152" i="16"/>
  <c r="L95" i="17"/>
  <c r="L153" i="16"/>
  <c r="L154" i="16"/>
  <c r="L155" i="16"/>
  <c r="L156" i="16"/>
  <c r="L157" i="16"/>
  <c r="L21" i="17"/>
  <c r="L8" i="17"/>
  <c r="L9" i="17"/>
  <c r="L84" i="17"/>
  <c r="L10" i="17"/>
  <c r="L18" i="17"/>
  <c r="L11" i="17"/>
  <c r="L74" i="17"/>
  <c r="L13" i="17"/>
  <c r="L79" i="17"/>
  <c r="L106" i="17"/>
  <c r="L33" i="16"/>
  <c r="L51" i="17"/>
  <c r="L121" i="17"/>
  <c r="L50" i="17"/>
  <c r="L123" i="17"/>
  <c r="L78" i="17"/>
  <c r="L56" i="17"/>
  <c r="L107" i="17"/>
  <c r="L104" i="17"/>
  <c r="L49" i="17"/>
  <c r="L48" i="17"/>
  <c r="L30" i="17"/>
  <c r="L89" i="17"/>
  <c r="L108" i="17"/>
  <c r="L24" i="16"/>
  <c r="L47" i="17"/>
  <c r="L46" i="17"/>
  <c r="L23" i="16"/>
  <c r="L31" i="16"/>
  <c r="L143" i="17"/>
  <c r="L38" i="17"/>
  <c r="L93" i="17"/>
  <c r="L22" i="16"/>
  <c r="L149" i="17"/>
  <c r="L109" i="17"/>
  <c r="L45" i="17"/>
  <c r="L44" i="17"/>
  <c r="L154" i="17"/>
  <c r="L77" i="17"/>
  <c r="L110" i="17"/>
  <c r="L30" i="16"/>
  <c r="L43" i="17"/>
  <c r="L156" i="17"/>
  <c r="L12" i="17"/>
  <c r="L21" i="16"/>
  <c r="L17" i="17"/>
  <c r="L20" i="16"/>
  <c r="L24" i="17"/>
  <c r="L32" i="17"/>
  <c r="L36" i="17"/>
  <c r="L19" i="16"/>
  <c r="L115" i="17"/>
  <c r="L122" i="17"/>
  <c r="L124" i="17"/>
  <c r="L18" i="16"/>
  <c r="L126" i="17"/>
  <c r="L135" i="17"/>
  <c r="L17" i="16"/>
  <c r="L146" i="17"/>
  <c r="L150" i="17"/>
  <c r="L57" i="17"/>
  <c r="L14" i="17"/>
  <c r="L20" i="17"/>
  <c r="L23" i="17"/>
  <c r="L27" i="17"/>
  <c r="L16" i="16"/>
  <c r="L28" i="17"/>
  <c r="L37" i="17"/>
  <c r="L15" i="16"/>
  <c r="L117" i="17"/>
  <c r="L157" i="17"/>
  <c r="L125" i="17"/>
  <c r="L75" i="17"/>
  <c r="L130" i="17"/>
  <c r="L14" i="16"/>
  <c r="L15" i="17"/>
  <c r="L133" i="17"/>
  <c r="L136" i="17"/>
  <c r="L32" i="16"/>
  <c r="L16" i="17"/>
  <c r="L113" i="17"/>
  <c r="L94" i="17"/>
  <c r="L31" i="17"/>
  <c r="L19" i="17"/>
  <c r="L22" i="17"/>
  <c r="L112" i="17"/>
  <c r="L29" i="16"/>
  <c r="L85" i="17"/>
  <c r="L13" i="16"/>
  <c r="L25" i="17"/>
  <c r="L34" i="17"/>
  <c r="L111" i="17"/>
  <c r="L76" i="17"/>
  <c r="L153" i="17"/>
  <c r="L88" i="17"/>
  <c r="L12" i="16"/>
  <c r="L155" i="17"/>
  <c r="L33" i="17"/>
  <c r="L11" i="16"/>
  <c r="L10" i="16"/>
  <c r="L9" i="16"/>
  <c r="L8" i="16"/>
  <c r="L55" i="17"/>
  <c r="L54" i="17"/>
  <c r="L28" i="16"/>
  <c r="L92" i="17"/>
  <c r="L39" i="17"/>
  <c r="L105" i="17"/>
  <c r="L87" i="16"/>
  <c r="K108" i="16"/>
  <c r="K107" i="16"/>
  <c r="K106" i="16"/>
  <c r="K105" i="16"/>
  <c r="K20" i="17"/>
  <c r="K104" i="16"/>
  <c r="K103" i="16"/>
  <c r="K102" i="16"/>
  <c r="K101" i="16"/>
  <c r="K100" i="16"/>
  <c r="K99" i="16"/>
  <c r="K98" i="16"/>
  <c r="K97" i="16"/>
  <c r="K28" i="17"/>
  <c r="K96" i="16"/>
  <c r="K95" i="16"/>
  <c r="K94" i="16"/>
  <c r="K93" i="16"/>
  <c r="K92" i="16"/>
  <c r="K91" i="16"/>
  <c r="K90" i="16"/>
  <c r="K89" i="16"/>
  <c r="K88" i="16"/>
  <c r="K87" i="16"/>
  <c r="K86" i="16"/>
  <c r="K85" i="16"/>
  <c r="K84" i="16"/>
  <c r="K83" i="16"/>
  <c r="K117" i="17"/>
  <c r="K82" i="16"/>
  <c r="K119" i="17"/>
  <c r="K121" i="17"/>
  <c r="K81" i="16"/>
  <c r="K80" i="16"/>
  <c r="K79" i="16"/>
  <c r="K127" i="17"/>
  <c r="K128" i="17"/>
  <c r="K78" i="16"/>
  <c r="K77" i="16"/>
  <c r="K76" i="16"/>
  <c r="K132" i="17"/>
  <c r="K75" i="16"/>
  <c r="K134" i="17"/>
  <c r="K74" i="16"/>
  <c r="K73" i="16"/>
  <c r="K72" i="16"/>
  <c r="K71" i="16"/>
  <c r="K70" i="16"/>
  <c r="K140" i="17"/>
  <c r="K69" i="16"/>
  <c r="K68" i="16"/>
  <c r="K67" i="16"/>
  <c r="K145" i="17"/>
  <c r="K66" i="16"/>
  <c r="K65" i="16"/>
  <c r="K64" i="16"/>
  <c r="K63" i="16"/>
  <c r="K62" i="16"/>
  <c r="K61" i="16"/>
  <c r="K60" i="16"/>
  <c r="K59" i="16"/>
  <c r="K58" i="16"/>
  <c r="K57" i="16"/>
  <c r="K56" i="16"/>
  <c r="K22" i="17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35" i="17"/>
  <c r="K41" i="16"/>
  <c r="K40" i="16"/>
  <c r="K39" i="16"/>
  <c r="K38" i="16"/>
  <c r="K37" i="16"/>
  <c r="K36" i="16"/>
  <c r="K116" i="17"/>
  <c r="K35" i="16"/>
  <c r="K34" i="16"/>
  <c r="K33" i="16"/>
  <c r="K32" i="16"/>
  <c r="K31" i="16"/>
  <c r="K30" i="16"/>
  <c r="K139" i="17"/>
  <c r="K29" i="16"/>
  <c r="K28" i="16"/>
  <c r="K27" i="16"/>
  <c r="K143" i="17"/>
  <c r="K146" i="17"/>
  <c r="K147" i="17"/>
  <c r="K26" i="16"/>
  <c r="K25" i="16"/>
  <c r="K150" i="17"/>
  <c r="K151" i="17"/>
  <c r="K24" i="16"/>
  <c r="K23" i="16"/>
  <c r="K22" i="16"/>
  <c r="K155" i="17"/>
  <c r="K21" i="16"/>
  <c r="K153" i="17"/>
  <c r="K20" i="16"/>
  <c r="K19" i="16"/>
  <c r="K141" i="17"/>
  <c r="K18" i="16"/>
  <c r="K17" i="16"/>
  <c r="K16" i="16"/>
  <c r="K131" i="17"/>
  <c r="K15" i="16"/>
  <c r="K14" i="16"/>
  <c r="K124" i="17"/>
  <c r="K122" i="17"/>
  <c r="K13" i="16"/>
  <c r="K120" i="17"/>
  <c r="K12" i="16"/>
  <c r="K11" i="16"/>
  <c r="K115" i="17"/>
  <c r="K114" i="17"/>
  <c r="K10" i="16"/>
  <c r="K9" i="16"/>
  <c r="K8" i="16"/>
  <c r="K24" i="17"/>
  <c r="K21" i="17"/>
  <c r="K18" i="17"/>
  <c r="K17" i="17"/>
  <c r="K154" i="17"/>
  <c r="K152" i="17"/>
  <c r="K137" i="17"/>
  <c r="K136" i="17"/>
  <c r="K135" i="17"/>
  <c r="K126" i="17"/>
  <c r="K125" i="17"/>
  <c r="K30" i="17"/>
  <c r="K29" i="17"/>
  <c r="K25" i="17"/>
  <c r="K13" i="17"/>
  <c r="K156" i="17"/>
  <c r="K149" i="17"/>
  <c r="K144" i="17"/>
  <c r="K142" i="17"/>
  <c r="K133" i="17"/>
  <c r="K130" i="17"/>
  <c r="K129" i="17"/>
  <c r="K123" i="17"/>
  <c r="K118" i="17"/>
  <c r="K40" i="17"/>
  <c r="K39" i="17"/>
  <c r="K38" i="17"/>
  <c r="K36" i="17"/>
  <c r="K34" i="17"/>
  <c r="K23" i="17"/>
  <c r="K15" i="17"/>
  <c r="K148" i="17"/>
  <c r="K138" i="17"/>
  <c r="K32" i="17"/>
  <c r="K31" i="17"/>
  <c r="K27" i="17"/>
  <c r="K26" i="17"/>
  <c r="K19" i="17"/>
  <c r="K16" i="17"/>
  <c r="K157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37" i="17"/>
  <c r="K33" i="17"/>
  <c r="K14" i="17"/>
  <c r="K12" i="17"/>
  <c r="K11" i="17"/>
  <c r="K10" i="17"/>
  <c r="K9" i="17"/>
  <c r="K8" i="17"/>
  <c r="K157" i="16"/>
  <c r="K156" i="16"/>
  <c r="K155" i="16"/>
  <c r="K154" i="16"/>
  <c r="K153" i="16"/>
  <c r="K152" i="16"/>
  <c r="K151" i="16"/>
  <c r="K150" i="16"/>
  <c r="K149" i="16"/>
  <c r="K148" i="16"/>
  <c r="K147" i="16"/>
  <c r="K146" i="16"/>
  <c r="K145" i="16"/>
  <c r="K144" i="16"/>
  <c r="K143" i="16"/>
  <c r="K142" i="16"/>
  <c r="K141" i="16"/>
  <c r="K140" i="16"/>
  <c r="K139" i="16"/>
  <c r="K138" i="16"/>
  <c r="K137" i="16"/>
  <c r="K136" i="16"/>
  <c r="K135" i="16"/>
  <c r="K134" i="16"/>
  <c r="K133" i="16"/>
  <c r="K132" i="16"/>
  <c r="K131" i="16"/>
  <c r="K130" i="16"/>
  <c r="K129" i="16"/>
  <c r="K128" i="16"/>
  <c r="K127" i="16"/>
  <c r="K126" i="16"/>
  <c r="K125" i="16"/>
  <c r="K124" i="16"/>
  <c r="K123" i="16"/>
  <c r="K122" i="16"/>
  <c r="K121" i="16"/>
  <c r="K120" i="16"/>
  <c r="K119" i="16"/>
  <c r="K118" i="16"/>
  <c r="K117" i="16"/>
  <c r="K116" i="16"/>
  <c r="K115" i="16"/>
  <c r="K114" i="16"/>
  <c r="K113" i="16"/>
  <c r="K112" i="16"/>
  <c r="K111" i="16"/>
  <c r="K110" i="16"/>
  <c r="K109" i="16"/>
  <c r="J8" i="17"/>
  <c r="J18" i="17"/>
  <c r="J18" i="16"/>
  <c r="J19" i="16"/>
  <c r="J20" i="16"/>
  <c r="J21" i="16"/>
  <c r="J119" i="16"/>
  <c r="J96" i="16"/>
  <c r="J37" i="17"/>
  <c r="J97" i="17"/>
  <c r="J142" i="16"/>
  <c r="J53" i="16"/>
  <c r="J71" i="16"/>
  <c r="J76" i="17"/>
  <c r="J22" i="16"/>
  <c r="J23" i="16"/>
  <c r="J33" i="17"/>
  <c r="J25" i="17"/>
  <c r="J63" i="16"/>
  <c r="J20" i="17"/>
  <c r="J24" i="16"/>
  <c r="J116" i="17"/>
  <c r="J115" i="16"/>
  <c r="J38" i="17"/>
  <c r="J39" i="17"/>
  <c r="J141" i="16"/>
  <c r="J125" i="16"/>
  <c r="J25" i="16"/>
  <c r="J23" i="17"/>
  <c r="J126" i="17"/>
  <c r="J26" i="16"/>
  <c r="J130" i="17"/>
  <c r="J131" i="17"/>
  <c r="J133" i="17"/>
  <c r="J135" i="17"/>
  <c r="J136" i="17"/>
  <c r="J137" i="17"/>
  <c r="J138" i="17"/>
  <c r="J139" i="17"/>
  <c r="J89" i="16"/>
  <c r="J142" i="17"/>
  <c r="J144" i="17"/>
  <c r="J152" i="17"/>
  <c r="J27" i="16"/>
  <c r="J154" i="17"/>
  <c r="J155" i="17"/>
  <c r="J111" i="17"/>
  <c r="J17" i="17"/>
  <c r="J22" i="17"/>
  <c r="J54" i="17"/>
  <c r="J19" i="17"/>
  <c r="J70" i="17"/>
  <c r="J140" i="16"/>
  <c r="J80" i="16"/>
  <c r="J28" i="16"/>
  <c r="J94" i="17"/>
  <c r="J29" i="16"/>
  <c r="J143" i="17"/>
  <c r="J127" i="17"/>
  <c r="J64" i="16"/>
  <c r="J30" i="17"/>
  <c r="J31" i="17"/>
  <c r="J54" i="16"/>
  <c r="J32" i="17"/>
  <c r="J51" i="17"/>
  <c r="J108" i="17"/>
  <c r="J107" i="16"/>
  <c r="J58" i="17"/>
  <c r="J139" i="16"/>
  <c r="J76" i="16"/>
  <c r="J30" i="16"/>
  <c r="J31" i="16"/>
  <c r="J115" i="17"/>
  <c r="J118" i="17"/>
  <c r="J119" i="17"/>
  <c r="J121" i="17"/>
  <c r="J124" i="17"/>
  <c r="J129" i="17"/>
  <c r="J132" i="17"/>
  <c r="J140" i="17"/>
  <c r="J32" i="16"/>
  <c r="J43" i="17"/>
  <c r="J148" i="17"/>
  <c r="J149" i="17"/>
  <c r="J33" i="16"/>
  <c r="J156" i="17"/>
  <c r="J77" i="17"/>
  <c r="J34" i="16"/>
  <c r="J151" i="17"/>
  <c r="J145" i="17"/>
  <c r="J108" i="16"/>
  <c r="J62" i="17"/>
  <c r="J138" i="16"/>
  <c r="J128" i="17"/>
  <c r="J125" i="17"/>
  <c r="J29" i="17"/>
  <c r="J35" i="16"/>
  <c r="J153" i="17"/>
  <c r="J36" i="16"/>
  <c r="J44" i="17"/>
  <c r="J66" i="17"/>
  <c r="J65" i="16"/>
  <c r="J112" i="17"/>
  <c r="J79" i="17"/>
  <c r="J124" i="16"/>
  <c r="J116" i="16"/>
  <c r="J55" i="16"/>
  <c r="J137" i="16"/>
  <c r="J109" i="16"/>
  <c r="J37" i="16"/>
  <c r="J150" i="17"/>
  <c r="J21" i="17"/>
  <c r="J38" i="16"/>
  <c r="J114" i="17"/>
  <c r="J113" i="17"/>
  <c r="J110" i="17"/>
  <c r="J39" i="16"/>
  <c r="J40" i="16"/>
  <c r="J157" i="17"/>
  <c r="J79" i="16"/>
  <c r="J69" i="17"/>
  <c r="J136" i="16"/>
  <c r="J12" i="17"/>
  <c r="J110" i="16"/>
  <c r="J45" i="17"/>
  <c r="J85" i="17"/>
  <c r="J11" i="17"/>
  <c r="J41" i="16"/>
  <c r="J42" i="16"/>
  <c r="J75" i="17"/>
  <c r="J10" i="17"/>
  <c r="J92" i="16"/>
  <c r="J141" i="17"/>
  <c r="J101" i="17"/>
  <c r="J9" i="17"/>
  <c r="J66" i="16"/>
  <c r="J146" i="17"/>
  <c r="J95" i="17"/>
  <c r="J64" i="17"/>
  <c r="J135" i="16"/>
  <c r="J72" i="16"/>
  <c r="J43" i="16"/>
  <c r="J157" i="16"/>
  <c r="J44" i="16"/>
  <c r="J46" i="17"/>
  <c r="J93" i="16"/>
  <c r="J111" i="16"/>
  <c r="J45" i="16"/>
  <c r="J46" i="16"/>
  <c r="J147" i="17"/>
  <c r="J98" i="17"/>
  <c r="J56" i="16"/>
  <c r="J74" i="17"/>
  <c r="J156" i="16"/>
  <c r="J134" i="16"/>
  <c r="J117" i="16"/>
  <c r="J109" i="17"/>
  <c r="J47" i="16"/>
  <c r="J48" i="16"/>
  <c r="J49" i="17"/>
  <c r="J123" i="16"/>
  <c r="J47" i="17"/>
  <c r="J75" i="16"/>
  <c r="J67" i="16"/>
  <c r="J155" i="16"/>
  <c r="J105" i="17"/>
  <c r="J87" i="17"/>
  <c r="J133" i="16"/>
  <c r="J78" i="16"/>
  <c r="J41" i="17"/>
  <c r="J49" i="16"/>
  <c r="J78" i="17"/>
  <c r="J57" i="16"/>
  <c r="J24" i="17"/>
  <c r="J123" i="17"/>
  <c r="J154" i="16"/>
  <c r="J50" i="16"/>
  <c r="J112" i="16"/>
  <c r="J28" i="17"/>
  <c r="J122" i="17"/>
  <c r="J13" i="17"/>
  <c r="J93" i="17"/>
  <c r="J36" i="17"/>
  <c r="J68" i="17"/>
  <c r="J132" i="16"/>
  <c r="J90" i="17"/>
  <c r="J153" i="16"/>
  <c r="J65" i="17"/>
  <c r="J51" i="16"/>
  <c r="J120" i="17"/>
  <c r="J52" i="16"/>
  <c r="J95" i="16"/>
  <c r="J48" i="17"/>
  <c r="J117" i="17"/>
  <c r="J58" i="16"/>
  <c r="J59" i="17"/>
  <c r="J73" i="17"/>
  <c r="J152" i="16"/>
  <c r="J53" i="17"/>
  <c r="J14" i="17"/>
  <c r="J63" i="17"/>
  <c r="J131" i="16"/>
  <c r="J27" i="17"/>
  <c r="J40" i="17"/>
  <c r="J85" i="16"/>
  <c r="J134" i="17"/>
  <c r="J97" i="16"/>
  <c r="J68" i="16"/>
  <c r="J151" i="16"/>
  <c r="J52" i="17"/>
  <c r="J81" i="17"/>
  <c r="J57" i="17"/>
  <c r="J113" i="16"/>
  <c r="J130" i="16"/>
  <c r="J120" i="16"/>
  <c r="J98" i="16"/>
  <c r="J56" i="17"/>
  <c r="J59" i="16"/>
  <c r="J96" i="17"/>
  <c r="J150" i="16"/>
  <c r="J88" i="16"/>
  <c r="J122" i="16"/>
  <c r="J99" i="16"/>
  <c r="J84" i="16"/>
  <c r="J74" i="16"/>
  <c r="J82" i="17"/>
  <c r="J83" i="17"/>
  <c r="J129" i="16"/>
  <c r="J92" i="17"/>
  <c r="J88" i="17"/>
  <c r="J149" i="16"/>
  <c r="J77" i="16"/>
  <c r="J100" i="16"/>
  <c r="J60" i="17"/>
  <c r="J35" i="17"/>
  <c r="J15" i="17"/>
  <c r="J69" i="16"/>
  <c r="J86" i="17"/>
  <c r="J101" i="16"/>
  <c r="J89" i="17"/>
  <c r="J72" i="17"/>
  <c r="J148" i="16"/>
  <c r="J67" i="17"/>
  <c r="J128" i="16"/>
  <c r="J91" i="16"/>
  <c r="J83" i="16"/>
  <c r="J86" i="16"/>
  <c r="J60" i="16"/>
  <c r="J50" i="17"/>
  <c r="J102" i="16"/>
  <c r="J104" i="17"/>
  <c r="J102" i="17"/>
  <c r="J147" i="16"/>
  <c r="J114" i="16"/>
  <c r="J16" i="17"/>
  <c r="J103" i="16"/>
  <c r="J118" i="16"/>
  <c r="J42" i="17"/>
  <c r="J73" i="16"/>
  <c r="J100" i="17"/>
  <c r="J127" i="16"/>
  <c r="J34" i="17"/>
  <c r="J26" i="17"/>
  <c r="J146" i="16"/>
  <c r="J82" i="16"/>
  <c r="J104" i="16"/>
  <c r="J61" i="17"/>
  <c r="J87" i="16"/>
  <c r="J103" i="17"/>
  <c r="J70" i="16"/>
  <c r="J61" i="16"/>
  <c r="J106" i="17"/>
  <c r="J80" i="17"/>
  <c r="J84" i="17"/>
  <c r="J145" i="16"/>
  <c r="J90" i="16"/>
  <c r="J99" i="17"/>
  <c r="J126" i="16"/>
  <c r="J91" i="17"/>
  <c r="J94" i="16"/>
  <c r="J8" i="16"/>
  <c r="J9" i="16"/>
  <c r="J105" i="16"/>
  <c r="J81" i="16"/>
  <c r="J71" i="17"/>
  <c r="J144" i="16"/>
  <c r="J106" i="16"/>
  <c r="J10" i="16"/>
  <c r="J11" i="16"/>
  <c r="J12" i="16"/>
  <c r="J13" i="16"/>
  <c r="J62" i="16"/>
  <c r="J107" i="17"/>
  <c r="J14" i="16"/>
  <c r="J15" i="16"/>
  <c r="J121" i="16"/>
  <c r="J143" i="16"/>
  <c r="J55" i="17"/>
  <c r="J16" i="16"/>
  <c r="J17" i="16"/>
  <c r="I81" i="16"/>
  <c r="I92" i="17"/>
  <c r="I105" i="16"/>
  <c r="I53" i="16"/>
  <c r="I17" i="17"/>
  <c r="I23" i="17"/>
  <c r="I32" i="17"/>
  <c r="I104" i="16"/>
  <c r="I90" i="16"/>
  <c r="I86" i="17"/>
  <c r="I30" i="17"/>
  <c r="I96" i="16"/>
  <c r="I116" i="17"/>
  <c r="I82" i="16"/>
  <c r="I61" i="17"/>
  <c r="I35" i="17"/>
  <c r="I103" i="16"/>
  <c r="I105" i="17"/>
  <c r="I41" i="17"/>
  <c r="I119" i="17"/>
  <c r="I122" i="17"/>
  <c r="I123" i="17"/>
  <c r="I129" i="17"/>
  <c r="I141" i="17"/>
  <c r="I153" i="17"/>
  <c r="I16" i="17"/>
  <c r="I102" i="16"/>
  <c r="I83" i="16"/>
  <c r="I101" i="16"/>
  <c r="I56" i="17"/>
  <c r="I100" i="16"/>
  <c r="I84" i="16"/>
  <c r="I60" i="17"/>
  <c r="I26" i="17"/>
  <c r="I99" i="16"/>
  <c r="I152" i="17"/>
  <c r="I54" i="16"/>
  <c r="I103" i="17"/>
  <c r="I115" i="17"/>
  <c r="I98" i="16"/>
  <c r="I85" i="16"/>
  <c r="I37" i="17"/>
  <c r="I40" i="17"/>
  <c r="I114" i="17"/>
  <c r="I142" i="17"/>
  <c r="I143" i="17"/>
  <c r="I34" i="17"/>
  <c r="I156" i="17"/>
  <c r="I154" i="17"/>
  <c r="I138" i="17"/>
  <c r="I137" i="17"/>
  <c r="I135" i="17"/>
  <c r="I121" i="17"/>
  <c r="I120" i="17"/>
  <c r="I117" i="17"/>
  <c r="I39" i="17"/>
  <c r="I97" i="16"/>
  <c r="I88" i="17"/>
  <c r="I144" i="17"/>
  <c r="I52" i="16"/>
  <c r="I55" i="16"/>
  <c r="I48" i="17"/>
  <c r="I51" i="16"/>
  <c r="I113" i="17"/>
  <c r="I22" i="17"/>
  <c r="I49" i="17"/>
  <c r="I38" i="17"/>
  <c r="I109" i="17"/>
  <c r="I50" i="16"/>
  <c r="I49" i="16"/>
  <c r="I157" i="17"/>
  <c r="I76" i="17"/>
  <c r="I14" i="17"/>
  <c r="I95" i="17"/>
  <c r="I12" i="17"/>
  <c r="I125" i="17"/>
  <c r="I11" i="17"/>
  <c r="I48" i="16"/>
  <c r="I10" i="17"/>
  <c r="I126" i="17"/>
  <c r="I75" i="17"/>
  <c r="I9" i="17"/>
  <c r="I132" i="17"/>
  <c r="I15" i="17"/>
  <c r="I8" i="17"/>
  <c r="I47" i="17"/>
  <c r="I85" i="17"/>
  <c r="I157" i="16"/>
  <c r="I47" i="16"/>
  <c r="I130" i="17"/>
  <c r="I46" i="16"/>
  <c r="I131" i="17"/>
  <c r="I78" i="17"/>
  <c r="I45" i="16"/>
  <c r="I56" i="16"/>
  <c r="I156" i="16"/>
  <c r="I139" i="17"/>
  <c r="I44" i="16"/>
  <c r="I140" i="17"/>
  <c r="I46" i="17"/>
  <c r="I43" i="16"/>
  <c r="I110" i="17"/>
  <c r="I42" i="16"/>
  <c r="I74" i="17"/>
  <c r="I155" i="16"/>
  <c r="I146" i="17"/>
  <c r="I94" i="17"/>
  <c r="I41" i="16"/>
  <c r="I147" i="17"/>
  <c r="I57" i="16"/>
  <c r="I96" i="17"/>
  <c r="I154" i="16"/>
  <c r="I40" i="16"/>
  <c r="I148" i="17"/>
  <c r="I45" i="17"/>
  <c r="I59" i="17"/>
  <c r="I39" i="16"/>
  <c r="I149" i="17"/>
  <c r="I153" i="16"/>
  <c r="I38" i="16"/>
  <c r="I90" i="17"/>
  <c r="I37" i="16"/>
  <c r="I151" i="17"/>
  <c r="I58" i="16"/>
  <c r="I36" i="16"/>
  <c r="I152" i="16"/>
  <c r="I44" i="17"/>
  <c r="I35" i="16"/>
  <c r="I155" i="17"/>
  <c r="I95" i="16"/>
  <c r="I108" i="17"/>
  <c r="I111" i="17"/>
  <c r="I34" i="16"/>
  <c r="I13" i="17"/>
  <c r="I73" i="17"/>
  <c r="I151" i="16"/>
  <c r="I33" i="16"/>
  <c r="I32" i="16"/>
  <c r="I43" i="17"/>
  <c r="I31" i="16"/>
  <c r="I77" i="17"/>
  <c r="I30" i="16"/>
  <c r="I59" i="16"/>
  <c r="I150" i="16"/>
  <c r="I42" i="17"/>
  <c r="I29" i="16"/>
  <c r="I28" i="16"/>
  <c r="I27" i="16"/>
  <c r="I50" i="17"/>
  <c r="I89" i="17"/>
  <c r="I26" i="16"/>
  <c r="I149" i="16"/>
  <c r="I25" i="16"/>
  <c r="I36" i="17"/>
  <c r="I24" i="16"/>
  <c r="I86" i="16"/>
  <c r="I23" i="16"/>
  <c r="I112" i="17"/>
  <c r="I60" i="16"/>
  <c r="I22" i="16"/>
  <c r="I148" i="16"/>
  <c r="I21" i="16"/>
  <c r="I27" i="17"/>
  <c r="I20" i="16"/>
  <c r="I33" i="17"/>
  <c r="I72" i="17"/>
  <c r="I147" i="16"/>
  <c r="I19" i="16"/>
  <c r="I18" i="16"/>
  <c r="I29" i="17"/>
  <c r="I17" i="16"/>
  <c r="I16" i="16"/>
  <c r="I15" i="16"/>
  <c r="I97" i="17"/>
  <c r="I146" i="16"/>
  <c r="I14" i="16"/>
  <c r="I13" i="16"/>
  <c r="I12" i="16"/>
  <c r="I61" i="16"/>
  <c r="I79" i="17"/>
  <c r="I11" i="16"/>
  <c r="I145" i="16"/>
  <c r="I10" i="16"/>
  <c r="I9" i="16"/>
  <c r="I8" i="16"/>
  <c r="I62" i="16"/>
  <c r="I94" i="16"/>
  <c r="I144" i="16"/>
  <c r="I71" i="17"/>
  <c r="I143" i="16"/>
  <c r="I63" i="16"/>
  <c r="I142" i="16"/>
  <c r="I51" i="17"/>
  <c r="I84" i="17"/>
  <c r="I141" i="16"/>
  <c r="I127" i="17"/>
  <c r="I140" i="16"/>
  <c r="I64" i="16"/>
  <c r="I128" i="17"/>
  <c r="I70" i="17"/>
  <c r="I139" i="16"/>
  <c r="I133" i="17"/>
  <c r="I98" i="17"/>
  <c r="I138" i="16"/>
  <c r="I65" i="16"/>
  <c r="I134" i="17"/>
  <c r="I91" i="17"/>
  <c r="I137" i="16"/>
  <c r="I145" i="17"/>
  <c r="I136" i="16"/>
  <c r="I81" i="17"/>
  <c r="I66" i="16"/>
  <c r="I69" i="17"/>
  <c r="I135" i="16"/>
  <c r="I107" i="17"/>
  <c r="I134" i="16"/>
  <c r="I93" i="16"/>
  <c r="I67" i="16"/>
  <c r="I150" i="17"/>
  <c r="I133" i="16"/>
  <c r="I52" i="17"/>
  <c r="I132" i="16"/>
  <c r="I68" i="16"/>
  <c r="I68" i="17"/>
  <c r="I131" i="16"/>
  <c r="I99" i="17"/>
  <c r="I130" i="16"/>
  <c r="I89" i="16"/>
  <c r="I69" i="16"/>
  <c r="I18" i="17"/>
  <c r="I129" i="16"/>
  <c r="I128" i="16"/>
  <c r="I87" i="16"/>
  <c r="I70" i="16"/>
  <c r="I19" i="17"/>
  <c r="I67" i="17"/>
  <c r="I127" i="16"/>
  <c r="I126" i="16"/>
  <c r="I118" i="17"/>
  <c r="I71" i="16"/>
  <c r="I20" i="17"/>
  <c r="I83" i="17"/>
  <c r="I125" i="16"/>
  <c r="I53" i="17"/>
  <c r="I124" i="16"/>
  <c r="I72" i="16"/>
  <c r="I66" i="17"/>
  <c r="I123" i="16"/>
  <c r="I92" i="16"/>
  <c r="I100" i="17"/>
  <c r="I122" i="16"/>
  <c r="I73" i="16"/>
  <c r="I93" i="17"/>
  <c r="I121" i="16"/>
  <c r="I120" i="16"/>
  <c r="I74" i="16"/>
  <c r="I106" i="17"/>
  <c r="I65" i="17"/>
  <c r="I119" i="16"/>
  <c r="I57" i="17"/>
  <c r="I24" i="17"/>
  <c r="I118" i="16"/>
  <c r="I136" i="17"/>
  <c r="I75" i="16"/>
  <c r="I54" i="17"/>
  <c r="I87" i="17"/>
  <c r="I117" i="16"/>
  <c r="I21" i="17"/>
  <c r="I25" i="17"/>
  <c r="I116" i="16"/>
  <c r="I124" i="17"/>
  <c r="I76" i="16"/>
  <c r="I64" i="17"/>
  <c r="I115" i="16"/>
  <c r="I58" i="17"/>
  <c r="I101" i="17"/>
  <c r="I114" i="16"/>
  <c r="I77" i="16"/>
  <c r="I91" i="16"/>
  <c r="I113" i="16"/>
  <c r="I80" i="17"/>
  <c r="I112" i="16"/>
  <c r="I78" i="16"/>
  <c r="I63" i="17"/>
  <c r="I111" i="16"/>
  <c r="I28" i="17"/>
  <c r="I110" i="16"/>
  <c r="I79" i="16"/>
  <c r="I82" i="17"/>
  <c r="I109" i="16"/>
  <c r="I55" i="17"/>
  <c r="I108" i="16"/>
  <c r="I80" i="16"/>
  <c r="I88" i="16"/>
  <c r="I62" i="17"/>
  <c r="I107" i="16"/>
  <c r="I31" i="17"/>
  <c r="I102" i="17"/>
  <c r="I106" i="16"/>
  <c r="I104" i="17"/>
  <c r="H152" i="16"/>
  <c r="H53" i="16"/>
  <c r="H92" i="16"/>
  <c r="H22" i="17"/>
  <c r="H25" i="17"/>
  <c r="H100" i="16"/>
  <c r="H35" i="16"/>
  <c r="H34" i="17"/>
  <c r="H96" i="16"/>
  <c r="H79" i="16"/>
  <c r="H37" i="17"/>
  <c r="H65" i="16"/>
  <c r="H34" i="16"/>
  <c r="H84" i="16"/>
  <c r="H119" i="16"/>
  <c r="H69" i="16"/>
  <c r="H114" i="16"/>
  <c r="H33" i="16"/>
  <c r="H54" i="16"/>
  <c r="H124" i="16"/>
  <c r="H99" i="16"/>
  <c r="H32" i="16"/>
  <c r="H19" i="17"/>
  <c r="H55" i="16"/>
  <c r="H36" i="17"/>
  <c r="H26" i="17"/>
  <c r="H109" i="16"/>
  <c r="H24" i="17"/>
  <c r="H23" i="17"/>
  <c r="H31" i="16"/>
  <c r="H139" i="16"/>
  <c r="H30" i="16"/>
  <c r="H29" i="16"/>
  <c r="H140" i="16"/>
  <c r="H20" i="17"/>
  <c r="H130" i="16"/>
  <c r="H157" i="16"/>
  <c r="H77" i="16"/>
  <c r="H98" i="16"/>
  <c r="H18" i="17"/>
  <c r="H28" i="16"/>
  <c r="H56" i="16"/>
  <c r="H156" i="16"/>
  <c r="H64" i="16"/>
  <c r="H27" i="16"/>
  <c r="H86" i="16"/>
  <c r="H85" i="16"/>
  <c r="H75" i="16"/>
  <c r="H26" i="16"/>
  <c r="H155" i="16"/>
  <c r="H141" i="16"/>
  <c r="H25" i="16"/>
  <c r="H57" i="16"/>
  <c r="H154" i="16"/>
  <c r="H108" i="16"/>
  <c r="H97" i="16"/>
  <c r="H24" i="16"/>
  <c r="H23" i="16"/>
  <c r="H153" i="16"/>
  <c r="H88" i="16"/>
  <c r="H22" i="16"/>
  <c r="H58" i="16"/>
  <c r="H142" i="16"/>
  <c r="H118" i="16"/>
  <c r="H122" i="16"/>
  <c r="H131" i="16"/>
  <c r="H35" i="17"/>
  <c r="H68" i="16"/>
  <c r="H95" i="16"/>
  <c r="H151" i="16"/>
  <c r="H63" i="16"/>
  <c r="H21" i="16"/>
  <c r="H80" i="16"/>
  <c r="H20" i="16"/>
  <c r="H59" i="16"/>
  <c r="H150" i="16"/>
  <c r="H73" i="16"/>
  <c r="H52" i="16"/>
  <c r="H19" i="16"/>
  <c r="H31" i="17"/>
  <c r="H116" i="16"/>
  <c r="H149" i="16"/>
  <c r="H17" i="16"/>
  <c r="H132" i="16"/>
  <c r="H113" i="16"/>
  <c r="H60" i="16"/>
  <c r="H51" i="16"/>
  <c r="H148" i="16"/>
  <c r="H143" i="16"/>
  <c r="H107" i="16"/>
  <c r="H147" i="16"/>
  <c r="H16" i="16"/>
  <c r="H30" i="17"/>
  <c r="H93" i="16"/>
  <c r="H15" i="16"/>
  <c r="H61" i="16"/>
  <c r="H146" i="16"/>
  <c r="H50" i="16"/>
  <c r="H14" i="16"/>
  <c r="H32" i="17"/>
  <c r="H145" i="16"/>
  <c r="H29" i="17"/>
  <c r="H94" i="16"/>
  <c r="H133" i="16"/>
  <c r="H91" i="16"/>
  <c r="H106" i="16"/>
  <c r="H49" i="16"/>
  <c r="H13" i="16"/>
  <c r="H76" i="16"/>
  <c r="H125" i="16"/>
  <c r="H81" i="16"/>
  <c r="H120" i="16"/>
  <c r="H12" i="16"/>
  <c r="H67" i="16"/>
  <c r="H126" i="16"/>
  <c r="H28" i="17"/>
  <c r="H105" i="16"/>
  <c r="H71" i="16"/>
  <c r="H48" i="16"/>
  <c r="H11" i="16"/>
  <c r="H144" i="16"/>
  <c r="H89" i="16"/>
  <c r="H10" i="16"/>
  <c r="H27" i="17"/>
  <c r="H62" i="16"/>
  <c r="H9" i="16"/>
  <c r="H47" i="16"/>
  <c r="H104" i="16"/>
  <c r="H8" i="16"/>
  <c r="H18" i="16"/>
  <c r="H115" i="16"/>
  <c r="H134" i="16"/>
  <c r="H82" i="16"/>
  <c r="H46" i="16"/>
  <c r="H127" i="16"/>
  <c r="H112" i="16"/>
  <c r="H70" i="16"/>
  <c r="H45" i="16"/>
  <c r="H103" i="16"/>
  <c r="H78" i="16"/>
  <c r="H44" i="16"/>
  <c r="H90" i="16"/>
  <c r="H121" i="16"/>
  <c r="H74" i="16"/>
  <c r="H135" i="16"/>
  <c r="H33" i="17"/>
  <c r="H123" i="16"/>
  <c r="H43" i="16"/>
  <c r="H66" i="16"/>
  <c r="H102" i="16"/>
  <c r="H21" i="17"/>
  <c r="H42" i="16"/>
  <c r="H117" i="16"/>
  <c r="H111" i="16"/>
  <c r="H83" i="16"/>
  <c r="H41" i="16"/>
  <c r="H128" i="16"/>
  <c r="H136" i="16"/>
  <c r="H40" i="16"/>
  <c r="H39" i="16"/>
  <c r="H101" i="16"/>
  <c r="H72" i="16"/>
  <c r="H38" i="16"/>
  <c r="H137" i="16"/>
  <c r="H37" i="16"/>
  <c r="H87" i="16"/>
  <c r="H110" i="16"/>
  <c r="H36" i="16"/>
  <c r="H138" i="16"/>
  <c r="H129" i="16"/>
  <c r="G104" i="16"/>
  <c r="G26" i="17"/>
  <c r="G29" i="17"/>
  <c r="G115" i="16"/>
  <c r="G18" i="17"/>
  <c r="G37" i="17"/>
  <c r="G20" i="17"/>
  <c r="G21" i="17"/>
  <c r="G118" i="16"/>
  <c r="G96" i="16"/>
  <c r="G54" i="16"/>
  <c r="G103" i="16"/>
  <c r="G27" i="17"/>
  <c r="G70" i="16"/>
  <c r="G55" i="16"/>
  <c r="G25" i="17"/>
  <c r="G50" i="16"/>
  <c r="G122" i="16"/>
  <c r="G128" i="16"/>
  <c r="G97" i="16"/>
  <c r="G102" i="16"/>
  <c r="G48" i="16"/>
  <c r="G157" i="16"/>
  <c r="G90" i="16"/>
  <c r="G86" i="16"/>
  <c r="G56" i="16"/>
  <c r="G156" i="16"/>
  <c r="G83" i="16"/>
  <c r="G77" i="16"/>
  <c r="G47" i="16"/>
  <c r="G57" i="16"/>
  <c r="G155" i="16"/>
  <c r="G131" i="16"/>
  <c r="G154" i="16"/>
  <c r="G119" i="16"/>
  <c r="G101" i="16"/>
  <c r="G58" i="16"/>
  <c r="G153" i="16"/>
  <c r="G133" i="16"/>
  <c r="G68" i="16"/>
  <c r="G152" i="16"/>
  <c r="G93" i="16"/>
  <c r="G49" i="16"/>
  <c r="G151" i="16"/>
  <c r="G52" i="16"/>
  <c r="G95" i="16"/>
  <c r="G59" i="16"/>
  <c r="G150" i="16"/>
  <c r="G129" i="16"/>
  <c r="G100" i="16"/>
  <c r="G34" i="17"/>
  <c r="G78" i="16"/>
  <c r="G149" i="16"/>
  <c r="G132" i="16"/>
  <c r="G60" i="16"/>
  <c r="G33" i="17"/>
  <c r="G148" i="16"/>
  <c r="G84" i="16"/>
  <c r="G147" i="16"/>
  <c r="G69" i="16"/>
  <c r="G114" i="16"/>
  <c r="G61" i="16"/>
  <c r="G146" i="16"/>
  <c r="G99" i="16"/>
  <c r="G23" i="17"/>
  <c r="G145" i="16"/>
  <c r="G51" i="16"/>
  <c r="G130" i="16"/>
  <c r="G120" i="16"/>
  <c r="G106" i="16"/>
  <c r="G73" i="16"/>
  <c r="G81" i="16"/>
  <c r="G126" i="16"/>
  <c r="G92" i="16"/>
  <c r="G134" i="16"/>
  <c r="G105" i="16"/>
  <c r="G36" i="17"/>
  <c r="G71" i="16"/>
  <c r="G113" i="16"/>
  <c r="G98" i="16"/>
  <c r="G121" i="16"/>
  <c r="G35" i="16"/>
  <c r="G127" i="16"/>
  <c r="G53" i="16"/>
  <c r="G41" i="16"/>
  <c r="G85" i="16"/>
  <c r="G82" i="16"/>
  <c r="G124" i="16"/>
  <c r="G34" i="16"/>
  <c r="G65" i="16"/>
  <c r="G33" i="16"/>
  <c r="G45" i="16"/>
  <c r="G32" i="16"/>
  <c r="G42" i="16"/>
  <c r="G139" i="16"/>
  <c r="G31" i="16"/>
  <c r="G109" i="16"/>
  <c r="G91" i="16"/>
  <c r="G136" i="16"/>
  <c r="G30" i="16"/>
  <c r="G88" i="16"/>
  <c r="G76" i="16"/>
  <c r="G111" i="16"/>
  <c r="G29" i="16"/>
  <c r="G22" i="17"/>
  <c r="G140" i="16"/>
  <c r="G28" i="16"/>
  <c r="G64" i="16"/>
  <c r="G135" i="16"/>
  <c r="G27" i="16"/>
  <c r="G72" i="16"/>
  <c r="G66" i="16"/>
  <c r="G26" i="16"/>
  <c r="G141" i="16"/>
  <c r="G24" i="17"/>
  <c r="G25" i="16"/>
  <c r="G75" i="16"/>
  <c r="G40" i="16"/>
  <c r="G24" i="16"/>
  <c r="G35" i="17"/>
  <c r="G108" i="16"/>
  <c r="G19" i="17"/>
  <c r="G23" i="16"/>
  <c r="G142" i="16"/>
  <c r="G22" i="16"/>
  <c r="G79" i="16"/>
  <c r="G46" i="16"/>
  <c r="G80" i="16"/>
  <c r="G39" i="16"/>
  <c r="G21" i="16"/>
  <c r="G63" i="16"/>
  <c r="G74" i="16"/>
  <c r="G117" i="16"/>
  <c r="G20" i="16"/>
  <c r="G28" i="17"/>
  <c r="G32" i="17"/>
  <c r="G94" i="16"/>
  <c r="G19" i="16"/>
  <c r="G18" i="16"/>
  <c r="G143" i="16"/>
  <c r="G44" i="16"/>
  <c r="G17" i="16"/>
  <c r="G30" i="17"/>
  <c r="G38" i="16"/>
  <c r="G137" i="16"/>
  <c r="G16" i="16"/>
  <c r="G107" i="16"/>
  <c r="G15" i="16"/>
  <c r="G31" i="17"/>
  <c r="G14" i="16"/>
  <c r="G123" i="16"/>
  <c r="G37" i="16"/>
  <c r="G125" i="16"/>
  <c r="G67" i="16"/>
  <c r="G13" i="16"/>
  <c r="G87" i="16"/>
  <c r="G12" i="16"/>
  <c r="G110" i="16"/>
  <c r="G144" i="16"/>
  <c r="G112" i="16"/>
  <c r="G36" i="16"/>
  <c r="G11" i="16"/>
  <c r="G138" i="16"/>
  <c r="G10" i="16"/>
  <c r="G116" i="16"/>
  <c r="G89" i="16"/>
  <c r="G9" i="16"/>
  <c r="G62" i="16"/>
  <c r="G43" i="16"/>
  <c r="G8" i="16"/>
  <c r="F69" i="16"/>
  <c r="F88" i="16"/>
  <c r="F112" i="16"/>
  <c r="F36" i="17"/>
  <c r="F22" i="17"/>
  <c r="F54" i="16"/>
  <c r="F34" i="16"/>
  <c r="F29" i="17"/>
  <c r="F24" i="17"/>
  <c r="F65" i="16"/>
  <c r="F75" i="16"/>
  <c r="F136" i="16"/>
  <c r="F28" i="17"/>
  <c r="F33" i="16"/>
  <c r="F87" i="16"/>
  <c r="F139" i="16"/>
  <c r="F92" i="16"/>
  <c r="F33" i="17"/>
  <c r="F55" i="16"/>
  <c r="F32" i="16"/>
  <c r="F20" i="17"/>
  <c r="F76" i="16"/>
  <c r="F96" i="16"/>
  <c r="F42" i="16"/>
  <c r="F45" i="16"/>
  <c r="F56" i="16"/>
  <c r="F31" i="16"/>
  <c r="F18" i="17"/>
  <c r="F19" i="17"/>
  <c r="F109" i="16"/>
  <c r="F86" i="16"/>
  <c r="F157" i="16"/>
  <c r="F30" i="16"/>
  <c r="F156" i="16"/>
  <c r="F140" i="16"/>
  <c r="F37" i="17"/>
  <c r="F57" i="16"/>
  <c r="F155" i="16"/>
  <c r="F29" i="16"/>
  <c r="F154" i="16"/>
  <c r="F58" i="16"/>
  <c r="F135" i="16"/>
  <c r="F43" i="16"/>
  <c r="F41" i="16"/>
  <c r="F153" i="16"/>
  <c r="F28" i="16"/>
  <c r="F111" i="16"/>
  <c r="F27" i="17"/>
  <c r="F64" i="16"/>
  <c r="F80" i="16"/>
  <c r="F152" i="16"/>
  <c r="F21" i="17"/>
  <c r="F27" i="16"/>
  <c r="F151" i="16"/>
  <c r="F141" i="16"/>
  <c r="F72" i="16"/>
  <c r="F150" i="16"/>
  <c r="F95" i="16"/>
  <c r="F26" i="16"/>
  <c r="F60" i="16"/>
  <c r="F91" i="16"/>
  <c r="F149" i="16"/>
  <c r="F123" i="16"/>
  <c r="F148" i="16"/>
  <c r="F25" i="16"/>
  <c r="F25" i="17"/>
  <c r="F147" i="16"/>
  <c r="F31" i="17"/>
  <c r="F61" i="16"/>
  <c r="F40" i="16"/>
  <c r="F146" i="16"/>
  <c r="F24" i="16"/>
  <c r="F94" i="16"/>
  <c r="F62" i="16"/>
  <c r="F142" i="16"/>
  <c r="F145" i="16"/>
  <c r="F126" i="16"/>
  <c r="F106" i="16"/>
  <c r="F23" i="16"/>
  <c r="F108" i="16"/>
  <c r="F121" i="16"/>
  <c r="F79" i="16"/>
  <c r="F66" i="16"/>
  <c r="F105" i="16"/>
  <c r="F22" i="16"/>
  <c r="F71" i="16"/>
  <c r="F82" i="16"/>
  <c r="F127" i="16"/>
  <c r="F59" i="16"/>
  <c r="F104" i="16"/>
  <c r="F21" i="16"/>
  <c r="F39" i="16"/>
  <c r="F115" i="16"/>
  <c r="F103" i="16"/>
  <c r="F83" i="16"/>
  <c r="F128" i="16"/>
  <c r="F20" i="16"/>
  <c r="F77" i="16"/>
  <c r="F102" i="16"/>
  <c r="F70" i="16"/>
  <c r="F74" i="16"/>
  <c r="F30" i="17"/>
  <c r="F26" i="17"/>
  <c r="F19" i="16"/>
  <c r="F143" i="16"/>
  <c r="F120" i="16"/>
  <c r="F47" i="16"/>
  <c r="F23" i="17"/>
  <c r="F18" i="16"/>
  <c r="F125" i="16"/>
  <c r="F137" i="16"/>
  <c r="F101" i="16"/>
  <c r="F90" i="16"/>
  <c r="F44" i="16"/>
  <c r="F118" i="16"/>
  <c r="F17" i="16"/>
  <c r="F84" i="16"/>
  <c r="F129" i="16"/>
  <c r="F38" i="16"/>
  <c r="F100" i="16"/>
  <c r="F89" i="16"/>
  <c r="F16" i="16"/>
  <c r="F124" i="16"/>
  <c r="F63" i="16"/>
  <c r="F99" i="16"/>
  <c r="F46" i="16"/>
  <c r="F130" i="16"/>
  <c r="F15" i="16"/>
  <c r="F114" i="16"/>
  <c r="F32" i="17"/>
  <c r="F107" i="16"/>
  <c r="F117" i="16"/>
  <c r="F85" i="16"/>
  <c r="F14" i="16"/>
  <c r="F122" i="16"/>
  <c r="F98" i="16"/>
  <c r="F37" i="16"/>
  <c r="F93" i="16"/>
  <c r="F97" i="16"/>
  <c r="F131" i="16"/>
  <c r="F13" i="16"/>
  <c r="F144" i="16"/>
  <c r="F53" i="16"/>
  <c r="F138" i="16"/>
  <c r="F132" i="16"/>
  <c r="F12" i="16"/>
  <c r="F34" i="17"/>
  <c r="F52" i="16"/>
  <c r="F51" i="16"/>
  <c r="F68" i="16"/>
  <c r="F113" i="16"/>
  <c r="F50" i="16"/>
  <c r="F11" i="16"/>
  <c r="F36" i="16"/>
  <c r="F81" i="16"/>
  <c r="F133" i="16"/>
  <c r="F49" i="16"/>
  <c r="F10" i="16"/>
  <c r="F35" i="17"/>
  <c r="F110" i="16"/>
  <c r="F67" i="16"/>
  <c r="F119" i="16"/>
  <c r="F134" i="16"/>
  <c r="F78" i="16"/>
  <c r="F9" i="16"/>
  <c r="F48" i="16"/>
  <c r="F116" i="16"/>
  <c r="F73" i="16"/>
  <c r="F35" i="16"/>
  <c r="F8" i="16"/>
  <c r="E20" i="17"/>
  <c r="E138" i="16"/>
  <c r="E137" i="16"/>
  <c r="E136" i="16"/>
  <c r="E135" i="16"/>
  <c r="E134" i="16"/>
  <c r="E133" i="16"/>
  <c r="E30" i="16"/>
  <c r="E48" i="16"/>
  <c r="E132" i="16"/>
  <c r="E131" i="16"/>
  <c r="E130" i="16"/>
  <c r="E129" i="16"/>
  <c r="E128" i="16"/>
  <c r="E29" i="16"/>
  <c r="E127" i="16"/>
  <c r="E126" i="16"/>
  <c r="E47" i="16"/>
  <c r="E125" i="16"/>
  <c r="E124" i="16"/>
  <c r="E123" i="16"/>
  <c r="E122" i="16"/>
  <c r="E28" i="16"/>
  <c r="E121" i="16"/>
  <c r="E120" i="16"/>
  <c r="E24" i="17"/>
  <c r="E46" i="16"/>
  <c r="E119" i="16"/>
  <c r="E118" i="16"/>
  <c r="E117" i="16"/>
  <c r="E27" i="16"/>
  <c r="E116" i="16"/>
  <c r="E115" i="16"/>
  <c r="E114" i="16"/>
  <c r="E27" i="17"/>
  <c r="E45" i="16"/>
  <c r="E113" i="16"/>
  <c r="E26" i="16"/>
  <c r="E112" i="16"/>
  <c r="E37" i="17"/>
  <c r="E111" i="16"/>
  <c r="E110" i="16"/>
  <c r="E109" i="16"/>
  <c r="E108" i="16"/>
  <c r="E30" i="17"/>
  <c r="E25" i="16"/>
  <c r="E44" i="16"/>
  <c r="E107" i="16"/>
  <c r="E106" i="16"/>
  <c r="E105" i="16"/>
  <c r="E104" i="16"/>
  <c r="E103" i="16"/>
  <c r="E102" i="16"/>
  <c r="E24" i="16"/>
  <c r="E101" i="16"/>
  <c r="E43" i="16"/>
  <c r="E100" i="16"/>
  <c r="E99" i="16"/>
  <c r="E98" i="16"/>
  <c r="E97" i="16"/>
  <c r="E96" i="16"/>
  <c r="E23" i="16"/>
  <c r="E26" i="17"/>
  <c r="E95" i="16"/>
  <c r="E94" i="16"/>
  <c r="E42" i="16"/>
  <c r="E93" i="16"/>
  <c r="E92" i="16"/>
  <c r="E91" i="16"/>
  <c r="E22" i="16"/>
  <c r="E90" i="16"/>
  <c r="E89" i="16"/>
  <c r="E88" i="16"/>
  <c r="E87" i="16"/>
  <c r="E41" i="16"/>
  <c r="E86" i="16"/>
  <c r="E21" i="16"/>
  <c r="E85" i="16"/>
  <c r="E84" i="16"/>
  <c r="E83" i="16"/>
  <c r="E82" i="16"/>
  <c r="E81" i="16"/>
  <c r="E80" i="16"/>
  <c r="E20" i="16"/>
  <c r="E40" i="16"/>
  <c r="E79" i="16"/>
  <c r="E78" i="16"/>
  <c r="E77" i="16"/>
  <c r="E76" i="16"/>
  <c r="E75" i="16"/>
  <c r="E74" i="16"/>
  <c r="E19" i="16"/>
  <c r="E73" i="16"/>
  <c r="E39" i="16"/>
  <c r="E72" i="16"/>
  <c r="E71" i="16"/>
  <c r="E70" i="16"/>
  <c r="E18" i="16"/>
  <c r="E69" i="16"/>
  <c r="E68" i="16"/>
  <c r="E67" i="16"/>
  <c r="E29" i="17"/>
  <c r="E38" i="16"/>
  <c r="E66" i="16"/>
  <c r="E65" i="16"/>
  <c r="E17" i="16"/>
  <c r="E64" i="16"/>
  <c r="E63" i="16"/>
  <c r="E62" i="16"/>
  <c r="E61" i="16"/>
  <c r="E60" i="16"/>
  <c r="E37" i="16"/>
  <c r="E16" i="16"/>
  <c r="E59" i="16"/>
  <c r="E58" i="16"/>
  <c r="E57" i="16"/>
  <c r="E56" i="16"/>
  <c r="E55" i="16"/>
  <c r="E54" i="16"/>
  <c r="E15" i="16"/>
  <c r="E23" i="17"/>
  <c r="E36" i="16"/>
  <c r="E53" i="16"/>
  <c r="E31" i="17"/>
  <c r="E35" i="17"/>
  <c r="E25" i="17"/>
  <c r="E14" i="16"/>
  <c r="E19" i="17"/>
  <c r="E21" i="17"/>
  <c r="E22" i="17"/>
  <c r="E35" i="16"/>
  <c r="E157" i="16"/>
  <c r="E52" i="16"/>
  <c r="E156" i="16"/>
  <c r="E13" i="16"/>
  <c r="E33" i="17"/>
  <c r="E155" i="16"/>
  <c r="E154" i="16"/>
  <c r="E153" i="16"/>
  <c r="E152" i="16"/>
  <c r="E34" i="16"/>
  <c r="E12" i="16"/>
  <c r="E28" i="17"/>
  <c r="E151" i="16"/>
  <c r="E51" i="16"/>
  <c r="E150" i="16"/>
  <c r="E32" i="17"/>
  <c r="E149" i="16"/>
  <c r="E148" i="16"/>
  <c r="E11" i="16"/>
  <c r="E33" i="16"/>
  <c r="E18" i="17"/>
  <c r="E34" i="17"/>
  <c r="E147" i="16"/>
  <c r="E146" i="16"/>
  <c r="E10" i="16"/>
  <c r="E50" i="16"/>
  <c r="E145" i="16"/>
  <c r="E36" i="17"/>
  <c r="E32" i="16"/>
  <c r="E144" i="16"/>
  <c r="E143" i="16"/>
  <c r="E142" i="16"/>
  <c r="E9" i="16"/>
  <c r="E141" i="16"/>
  <c r="E140" i="16"/>
  <c r="E49" i="16"/>
  <c r="E139" i="16"/>
  <c r="E31" i="16"/>
  <c r="E8" i="16"/>
  <c r="D104" i="16"/>
  <c r="D54" i="16"/>
  <c r="D125" i="16"/>
  <c r="D9" i="16"/>
  <c r="D34" i="17"/>
  <c r="D23" i="16"/>
  <c r="D55" i="16"/>
  <c r="D118" i="16"/>
  <c r="D20" i="17"/>
  <c r="D19" i="17"/>
  <c r="D36" i="17"/>
  <c r="D64" i="16"/>
  <c r="D53" i="16"/>
  <c r="D68" i="16"/>
  <c r="D37" i="17"/>
  <c r="D97" i="16"/>
  <c r="D10" i="16"/>
  <c r="D94" i="16"/>
  <c r="D98" i="16"/>
  <c r="D25" i="17"/>
  <c r="D22" i="17"/>
  <c r="D85" i="16"/>
  <c r="D75" i="16"/>
  <c r="D52" i="16"/>
  <c r="D130" i="16"/>
  <c r="D21" i="17"/>
  <c r="D28" i="17"/>
  <c r="D141" i="16"/>
  <c r="D99" i="16"/>
  <c r="D119" i="16"/>
  <c r="D11" i="16"/>
  <c r="D38" i="16"/>
  <c r="D100" i="16"/>
  <c r="D56" i="16"/>
  <c r="D51" i="16"/>
  <c r="D126" i="16"/>
  <c r="D86" i="16"/>
  <c r="D140" i="16"/>
  <c r="D84" i="16"/>
  <c r="D24" i="16"/>
  <c r="D157" i="16"/>
  <c r="D18" i="17"/>
  <c r="D101" i="16"/>
  <c r="D156" i="16"/>
  <c r="D12" i="16"/>
  <c r="D50" i="16"/>
  <c r="D120" i="16"/>
  <c r="D57" i="16"/>
  <c r="D65" i="16"/>
  <c r="D102" i="16"/>
  <c r="D29" i="17"/>
  <c r="D90" i="16"/>
  <c r="D83" i="16"/>
  <c r="D29" i="16"/>
  <c r="D24" i="17"/>
  <c r="D121" i="16"/>
  <c r="D49" i="16"/>
  <c r="D128" i="16"/>
  <c r="D13" i="16"/>
  <c r="D103" i="16"/>
  <c r="D155" i="16"/>
  <c r="D154" i="16"/>
  <c r="D74" i="16"/>
  <c r="D37" i="16"/>
  <c r="D58" i="16"/>
  <c r="D14" i="16"/>
  <c r="D82" i="16"/>
  <c r="D48" i="16"/>
  <c r="D33" i="16"/>
  <c r="D96" i="16"/>
  <c r="D139" i="16"/>
  <c r="D26" i="17"/>
  <c r="D129" i="16"/>
  <c r="D105" i="16"/>
  <c r="D132" i="16"/>
  <c r="D153" i="16"/>
  <c r="D25" i="16"/>
  <c r="D106" i="16"/>
  <c r="D47" i="16"/>
  <c r="D138" i="16"/>
  <c r="D30" i="17"/>
  <c r="D152" i="16"/>
  <c r="D71" i="16"/>
  <c r="D81" i="16"/>
  <c r="D122" i="16"/>
  <c r="D15" i="16"/>
  <c r="D137" i="16"/>
  <c r="D66" i="16"/>
  <c r="D107" i="16"/>
  <c r="D46" i="16"/>
  <c r="D36" i="16"/>
  <c r="D59" i="16"/>
  <c r="D151" i="16"/>
  <c r="D93" i="16"/>
  <c r="D108" i="16"/>
  <c r="D31" i="17"/>
  <c r="D91" i="16"/>
  <c r="D80" i="16"/>
  <c r="D26" i="16"/>
  <c r="D16" i="16"/>
  <c r="D45" i="16"/>
  <c r="D131" i="16"/>
  <c r="D150" i="16"/>
  <c r="D92" i="16"/>
  <c r="D109" i="16"/>
  <c r="D17" i="16"/>
  <c r="D73" i="16"/>
  <c r="D110" i="16"/>
  <c r="D60" i="16"/>
  <c r="D30" i="16"/>
  <c r="D149" i="16"/>
  <c r="D44" i="16"/>
  <c r="D136" i="16"/>
  <c r="D148" i="16"/>
  <c r="D79" i="16"/>
  <c r="D135" i="16"/>
  <c r="D18" i="16"/>
  <c r="D111" i="16"/>
  <c r="D123" i="16"/>
  <c r="D61" i="16"/>
  <c r="D87" i="16"/>
  <c r="D112" i="16"/>
  <c r="D43" i="16"/>
  <c r="D35" i="16"/>
  <c r="D95" i="16"/>
  <c r="D147" i="16"/>
  <c r="D19" i="16"/>
  <c r="D89" i="16"/>
  <c r="D78" i="16"/>
  <c r="D70" i="16"/>
  <c r="D146" i="16"/>
  <c r="D20" i="16"/>
  <c r="D113" i="16"/>
  <c r="D42" i="16"/>
  <c r="D23" i="17"/>
  <c r="D62" i="16"/>
  <c r="D35" i="17"/>
  <c r="D127" i="16"/>
  <c r="D114" i="16"/>
  <c r="D145" i="16"/>
  <c r="D124" i="16"/>
  <c r="D88" i="16"/>
  <c r="D77" i="16"/>
  <c r="D27" i="16"/>
  <c r="D41" i="16"/>
  <c r="D67" i="16"/>
  <c r="D33" i="17"/>
  <c r="D144" i="16"/>
  <c r="D115" i="16"/>
  <c r="D134" i="16"/>
  <c r="D21" i="16"/>
  <c r="D72" i="16"/>
  <c r="D116" i="16"/>
  <c r="D63" i="16"/>
  <c r="D69" i="16"/>
  <c r="D40" i="16"/>
  <c r="D28" i="16"/>
  <c r="D22" i="16"/>
  <c r="D34" i="16"/>
  <c r="D76" i="16"/>
  <c r="D31" i="16"/>
  <c r="D143" i="16"/>
  <c r="D117" i="16"/>
  <c r="D133" i="16"/>
  <c r="D142" i="16"/>
  <c r="D32" i="16"/>
  <c r="D39" i="16"/>
  <c r="D32" i="17"/>
  <c r="D27" i="17"/>
  <c r="D8" i="16"/>
  <c r="C97" i="16"/>
  <c r="C53" i="16"/>
  <c r="C98" i="16"/>
  <c r="C85" i="16"/>
  <c r="C52" i="16"/>
  <c r="C99" i="16"/>
  <c r="C36" i="17"/>
  <c r="C100" i="16"/>
  <c r="C51" i="16"/>
  <c r="C90" i="16"/>
  <c r="C84" i="16"/>
  <c r="C101" i="16"/>
  <c r="C50" i="16"/>
  <c r="C102" i="16"/>
  <c r="C83" i="16"/>
  <c r="C103" i="16"/>
  <c r="C49" i="16"/>
  <c r="C104" i="16"/>
  <c r="C113" i="16"/>
  <c r="C48" i="16"/>
  <c r="C82" i="16"/>
  <c r="C105" i="16"/>
  <c r="C32" i="17"/>
  <c r="C106" i="16"/>
  <c r="C47" i="16"/>
  <c r="C91" i="16"/>
  <c r="C81" i="16"/>
  <c r="C18" i="17"/>
  <c r="C107" i="16"/>
  <c r="C46" i="16"/>
  <c r="C108" i="16"/>
  <c r="C80" i="16"/>
  <c r="C45" i="16"/>
  <c r="C109" i="16"/>
  <c r="C110" i="16"/>
  <c r="C111" i="16"/>
  <c r="C44" i="16"/>
  <c r="C79" i="16"/>
  <c r="C28" i="17"/>
  <c r="C112" i="16"/>
  <c r="C43" i="16"/>
  <c r="C78" i="16"/>
  <c r="C42" i="16"/>
  <c r="C114" i="16"/>
  <c r="C115" i="16"/>
  <c r="C77" i="16"/>
  <c r="C41" i="16"/>
  <c r="C26" i="17"/>
  <c r="C116" i="16"/>
  <c r="C117" i="16"/>
  <c r="C40" i="16"/>
  <c r="C88" i="16"/>
  <c r="C76" i="16"/>
  <c r="C25" i="17"/>
  <c r="C118" i="16"/>
  <c r="C39" i="16"/>
  <c r="C119" i="16"/>
  <c r="C75" i="16"/>
  <c r="C38" i="16"/>
  <c r="C120" i="16"/>
  <c r="C121" i="16"/>
  <c r="C92" i="16"/>
  <c r="C37" i="16"/>
  <c r="C74" i="16"/>
  <c r="C31" i="16"/>
  <c r="C122" i="16"/>
  <c r="C36" i="16"/>
  <c r="C123" i="16"/>
  <c r="C73" i="16"/>
  <c r="C35" i="16"/>
  <c r="C124" i="16"/>
  <c r="C72" i="16"/>
  <c r="C34" i="16"/>
  <c r="C125" i="16"/>
  <c r="C126" i="16"/>
  <c r="C20" i="17"/>
  <c r="C93" i="16"/>
  <c r="C33" i="16"/>
  <c r="C71" i="16"/>
  <c r="C127" i="16"/>
  <c r="C128" i="16"/>
  <c r="C32" i="16"/>
  <c r="C19" i="17"/>
  <c r="C70" i="16"/>
  <c r="C129" i="16"/>
  <c r="C138" i="16"/>
  <c r="C130" i="16"/>
  <c r="C69" i="16"/>
  <c r="C30" i="16"/>
  <c r="C21" i="17"/>
  <c r="C131" i="16"/>
  <c r="C132" i="16"/>
  <c r="C29" i="16"/>
  <c r="C94" i="16"/>
  <c r="C68" i="16"/>
  <c r="C133" i="16"/>
  <c r="C28" i="16"/>
  <c r="C134" i="16"/>
  <c r="C135" i="16"/>
  <c r="C89" i="16"/>
  <c r="C67" i="16"/>
  <c r="C27" i="16"/>
  <c r="C136" i="16"/>
  <c r="C137" i="16"/>
  <c r="C26" i="16"/>
  <c r="C87" i="16"/>
  <c r="C66" i="16"/>
  <c r="C25" i="16"/>
  <c r="C139" i="16"/>
  <c r="C65" i="16"/>
  <c r="C31" i="17"/>
  <c r="C24" i="16"/>
  <c r="C140" i="16"/>
  <c r="C141" i="16"/>
  <c r="C23" i="16"/>
  <c r="C64" i="16"/>
  <c r="C142" i="16"/>
  <c r="C143" i="16"/>
  <c r="C22" i="16"/>
  <c r="C63" i="16"/>
  <c r="C144" i="16"/>
  <c r="C21" i="16"/>
  <c r="C145" i="16"/>
  <c r="C95" i="16"/>
  <c r="C20" i="16"/>
  <c r="C62" i="16"/>
  <c r="C33" i="17"/>
  <c r="C146" i="16"/>
  <c r="C147" i="16"/>
  <c r="C19" i="16"/>
  <c r="C29" i="17"/>
  <c r="C61" i="16"/>
  <c r="C18" i="16"/>
  <c r="C148" i="16"/>
  <c r="C149" i="16"/>
  <c r="C17" i="16"/>
  <c r="C60" i="16"/>
  <c r="C150" i="16"/>
  <c r="C151" i="16"/>
  <c r="C16" i="16"/>
  <c r="C96" i="16"/>
  <c r="C59" i="16"/>
  <c r="C152" i="16"/>
  <c r="C15" i="16"/>
  <c r="C153" i="16"/>
  <c r="C14" i="16"/>
  <c r="C58" i="16"/>
  <c r="C154" i="16"/>
  <c r="C155" i="16"/>
  <c r="C13" i="16"/>
  <c r="C57" i="16"/>
  <c r="C156" i="16"/>
  <c r="C12" i="16"/>
  <c r="C23" i="17"/>
  <c r="C157" i="16"/>
  <c r="C11" i="16"/>
  <c r="C56" i="16"/>
  <c r="C24" i="17"/>
  <c r="C10" i="16"/>
  <c r="C37" i="17"/>
  <c r="C86" i="16"/>
  <c r="C55" i="16"/>
  <c r="C35" i="17"/>
  <c r="C9" i="16"/>
  <c r="C27" i="17"/>
  <c r="C34" i="17"/>
  <c r="C54" i="16"/>
  <c r="C30" i="17"/>
  <c r="C22" i="17"/>
  <c r="C8" i="16"/>
  <c r="B88" i="16"/>
  <c r="B119" i="16"/>
  <c r="B39" i="16"/>
  <c r="B25" i="17"/>
  <c r="B23" i="16"/>
  <c r="B34" i="16"/>
  <c r="B64" i="16"/>
  <c r="B142" i="16"/>
  <c r="B134" i="16"/>
  <c r="B118" i="16"/>
  <c r="B143" i="16"/>
  <c r="B72" i="16"/>
  <c r="B76" i="16"/>
  <c r="B40" i="16"/>
  <c r="B130" i="16"/>
  <c r="B22" i="16"/>
  <c r="B27" i="17"/>
  <c r="B37" i="17"/>
  <c r="B95" i="16"/>
  <c r="B117" i="16"/>
  <c r="B28" i="16"/>
  <c r="B63" i="16"/>
  <c r="B144" i="16"/>
  <c r="B30" i="16"/>
  <c r="B116" i="16"/>
  <c r="B93" i="16"/>
  <c r="B21" i="16"/>
  <c r="B77" i="16"/>
  <c r="B41" i="16"/>
  <c r="B145" i="16"/>
  <c r="B135" i="16"/>
  <c r="B115" i="16"/>
  <c r="B114" i="16"/>
  <c r="B31" i="16"/>
  <c r="B42" i="16"/>
  <c r="B20" i="17"/>
  <c r="B69" i="16"/>
  <c r="B20" i="16"/>
  <c r="B125" i="16"/>
  <c r="B62" i="16"/>
  <c r="B131" i="16"/>
  <c r="B146" i="16"/>
  <c r="B67" i="16"/>
  <c r="B78" i="16"/>
  <c r="B147" i="16"/>
  <c r="B21" i="17"/>
  <c r="B86" i="16"/>
  <c r="B70" i="16"/>
  <c r="B19" i="16"/>
  <c r="B27" i="16"/>
  <c r="B32" i="17"/>
  <c r="B113" i="16"/>
  <c r="B43" i="16"/>
  <c r="B112" i="16"/>
  <c r="B35" i="16"/>
  <c r="B61" i="16"/>
  <c r="B148" i="16"/>
  <c r="B79" i="16"/>
  <c r="B124" i="16"/>
  <c r="B18" i="16"/>
  <c r="B24" i="17"/>
  <c r="B44" i="16"/>
  <c r="B149" i="16"/>
  <c r="B136" i="16"/>
  <c r="B92" i="16"/>
  <c r="B150" i="16"/>
  <c r="B96" i="16"/>
  <c r="B111" i="16"/>
  <c r="B110" i="16"/>
  <c r="B71" i="16"/>
  <c r="B17" i="16"/>
  <c r="B73" i="16"/>
  <c r="B31" i="17"/>
  <c r="B60" i="16"/>
  <c r="B137" i="16"/>
  <c r="B45" i="16"/>
  <c r="B29" i="17"/>
  <c r="B151" i="16"/>
  <c r="B132" i="16"/>
  <c r="B80" i="16"/>
  <c r="B36" i="16"/>
  <c r="B16" i="16"/>
  <c r="B109" i="16"/>
  <c r="B108" i="16"/>
  <c r="B152" i="16"/>
  <c r="B32" i="16"/>
  <c r="B46" i="16"/>
  <c r="B26" i="16"/>
  <c r="B59" i="16"/>
  <c r="B33" i="16"/>
  <c r="B81" i="16"/>
  <c r="B123" i="16"/>
  <c r="B15" i="16"/>
  <c r="B107" i="16"/>
  <c r="B47" i="16"/>
  <c r="B153" i="16"/>
  <c r="B127" i="16"/>
  <c r="B106" i="16"/>
  <c r="B82" i="16"/>
  <c r="B154" i="16"/>
  <c r="B48" i="16"/>
  <c r="B91" i="16"/>
  <c r="B66" i="16"/>
  <c r="B14" i="16"/>
  <c r="B105" i="16"/>
  <c r="B22" i="17"/>
  <c r="B58" i="16"/>
  <c r="B138" i="16"/>
  <c r="B104" i="16"/>
  <c r="B155" i="16"/>
  <c r="B74" i="16"/>
  <c r="B33" i="17"/>
  <c r="B49" i="16"/>
  <c r="B122" i="16"/>
  <c r="B13" i="16"/>
  <c r="B83" i="16"/>
  <c r="B103" i="16"/>
  <c r="B156" i="16"/>
  <c r="B89" i="16"/>
  <c r="B50" i="16"/>
  <c r="B23" i="17"/>
  <c r="B57" i="16"/>
  <c r="B94" i="16"/>
  <c r="B102" i="16"/>
  <c r="B25" i="16"/>
  <c r="B12" i="16"/>
  <c r="B34" i="17"/>
  <c r="B139" i="16"/>
  <c r="B157" i="16"/>
  <c r="B29" i="16"/>
  <c r="B84" i="16"/>
  <c r="B18" i="17"/>
  <c r="B51" i="16"/>
  <c r="B101" i="16"/>
  <c r="B100" i="16"/>
  <c r="B37" i="16"/>
  <c r="B11" i="16"/>
  <c r="B35" i="17"/>
  <c r="B85" i="16"/>
  <c r="B87" i="16"/>
  <c r="B56" i="16"/>
  <c r="B52" i="16"/>
  <c r="B90" i="16"/>
  <c r="B121" i="16"/>
  <c r="B99" i="16"/>
  <c r="B98" i="16"/>
  <c r="B133" i="16"/>
  <c r="B10" i="16"/>
  <c r="B53" i="16"/>
  <c r="B65" i="16"/>
  <c r="B97" i="16"/>
  <c r="B128" i="16"/>
  <c r="B28" i="17"/>
  <c r="B120" i="16"/>
  <c r="B55" i="16"/>
  <c r="B126" i="16"/>
  <c r="B54" i="16"/>
  <c r="B24" i="16"/>
  <c r="B9" i="16"/>
  <c r="B36" i="17"/>
  <c r="B140" i="16"/>
  <c r="B129" i="16"/>
  <c r="B38" i="16"/>
  <c r="B30" i="17"/>
  <c r="B141" i="16"/>
  <c r="B26" i="17"/>
  <c r="B19" i="17"/>
  <c r="B68" i="16"/>
  <c r="B75" i="16"/>
  <c r="B8" i="16"/>
</calcChain>
</file>

<file path=xl/sharedStrings.xml><?xml version="1.0" encoding="utf-8"?>
<sst xmlns="http://schemas.openxmlformats.org/spreadsheetml/2006/main" count="690" uniqueCount="204">
  <si>
    <t>US48</t>
  </si>
  <si>
    <t>Alaska Metro</t>
  </si>
  <si>
    <t>Hawaii Metro</t>
  </si>
  <si>
    <t>Alaska Rural</t>
  </si>
  <si>
    <t>Hawaii Rural</t>
  </si>
  <si>
    <t>Zones</t>
  </si>
  <si>
    <t>Price Per Pound</t>
  </si>
  <si>
    <t>US-Metro AK</t>
  </si>
  <si>
    <t>US-Metro HI</t>
  </si>
  <si>
    <t>US-Remote AK</t>
  </si>
  <si>
    <t>US-Remote HI</t>
  </si>
  <si>
    <t>US-PR</t>
  </si>
  <si>
    <t>PR</t>
  </si>
  <si>
    <t>Price Pe Pound</t>
  </si>
  <si>
    <t>Hawaii</t>
  </si>
  <si>
    <t>Alaska</t>
  </si>
  <si>
    <t>Canada</t>
  </si>
  <si>
    <t>Ground Min</t>
  </si>
  <si>
    <t>Wght/Zone</t>
  </si>
  <si>
    <t>Mexico</t>
  </si>
  <si>
    <t xml:space="preserve"> Belgium      UK     France</t>
  </si>
  <si>
    <t>Hungary Poland</t>
  </si>
  <si>
    <t>Hong Kong Singapore</t>
  </si>
  <si>
    <t>Japan Korea,South</t>
  </si>
  <si>
    <t>Austria Demark</t>
  </si>
  <si>
    <t>Aruba Jamacia</t>
  </si>
  <si>
    <t>Australia New Zealand</t>
  </si>
  <si>
    <t>Israel Kuwait</t>
  </si>
  <si>
    <t>Argentina Brazil</t>
  </si>
  <si>
    <t>Ethiopia Kenya</t>
  </si>
  <si>
    <t>China</t>
  </si>
  <si>
    <t>India Nepal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</si>
  <si>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</si>
  <si>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</si>
  <si>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</si>
  <si>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</si>
  <si>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</si>
  <si>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</si>
  <si>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</si>
  <si>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</si>
  <si>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</si>
  <si>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</si>
  <si>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</si>
  <si>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</si>
  <si>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</si>
  <si>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</si>
  <si>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</si>
  <si>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1,000+ lbs.</t>
  </si>
  <si>
    <t>Discount % by Weight/Zone</t>
  </si>
  <si>
    <t>Weight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</si>
  <si>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</si>
  <si>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</si>
  <si>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</si>
  <si>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</si>
  <si>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</si>
  <si>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</si>
  <si>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</si>
  <si>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</si>
  <si>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</si>
  <si>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</si>
  <si>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</si>
  <si>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</si>
  <si>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</si>
  <si>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</si>
  <si>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</si>
  <si>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>Reduction</t>
  </si>
  <si>
    <t>Min</t>
  </si>
  <si>
    <t>US</t>
  </si>
  <si>
    <t>First Class</t>
  </si>
  <si>
    <t>8-AK/HI</t>
  </si>
  <si>
    <t>Media Mail</t>
  </si>
  <si>
    <t>Weight Not Over (lbs.)</t>
  </si>
  <si>
    <t>Rate</t>
  </si>
  <si>
    <t>FCI</t>
  </si>
  <si>
    <t>Zone</t>
  </si>
  <si>
    <t>8/AK/HI</t>
  </si>
  <si>
    <t>Cubic Ft. Range</t>
  </si>
  <si>
    <r>
      <rPr>
        <sz val="11"/>
        <color rgb="FF202020"/>
        <rFont val="Arial"/>
        <family val="2"/>
      </rPr>
      <t>Zone</t>
    </r>
    <r>
      <rPr>
        <sz val="8"/>
        <color rgb="FF202020"/>
        <rFont val="Arial"/>
        <family val="2"/>
      </rPr>
      <t>1,2</t>
    </r>
  </si>
  <si>
    <t>Up To</t>
  </si>
  <si>
    <t>Cubic Ft. Range Up To:</t>
  </si>
  <si>
    <t>AK/HI</t>
  </si>
  <si>
    <t>Puerto Rico</t>
  </si>
  <si>
    <t>Per Pound</t>
  </si>
  <si>
    <t>* if shipping to residential add:</t>
  </si>
  <si>
    <t>The applicable rate is the greater of actual weight or dimensional weight</t>
  </si>
  <si>
    <t>Rural areas may have additional DAS - delivery area surcharge</t>
  </si>
  <si>
    <r>
      <rPr>
        <sz val="10"/>
        <color theme="8"/>
        <rFont val="Arial"/>
        <family val="2"/>
      </rPr>
      <t xml:space="preserve">Dimensional weight calculation is rounded L x W x H in inches of package, divided by </t>
    </r>
    <r>
      <rPr>
        <b/>
        <sz val="10"/>
        <color theme="5"/>
        <rFont val="Arial"/>
        <family val="2"/>
      </rPr>
      <t>194</t>
    </r>
  </si>
  <si>
    <t>Includes $100 declared value coverage, 1 day transit</t>
  </si>
  <si>
    <t>1 lb</t>
  </si>
  <si>
    <t>Dimensional weight calculation is rounded L x W x H in inches of package, divided by 194</t>
  </si>
  <si>
    <t>Includes $100 declared value coverage, 2 days transit</t>
  </si>
  <si>
    <t>AK Metro</t>
  </si>
  <si>
    <t>HI Metro</t>
  </si>
  <si>
    <t>AK Rural</t>
  </si>
  <si>
    <t>HI Rural</t>
  </si>
  <si>
    <t>Includes $100 declared value coverage, 3 days transit</t>
  </si>
  <si>
    <t>1 lbs</t>
  </si>
  <si>
    <t/>
  </si>
  <si>
    <t>* No residential fees</t>
  </si>
  <si>
    <t xml:space="preserve">Includes $100 declared value coverage if lost/damaged </t>
  </si>
  <si>
    <t>2-6 days transit</t>
  </si>
  <si>
    <t>Includes $100 declared value coverage, 1-5 days transit</t>
  </si>
  <si>
    <t>UPS</t>
  </si>
  <si>
    <t>3</t>
  </si>
  <si>
    <t>4</t>
  </si>
  <si>
    <t>5</t>
  </si>
  <si>
    <t>6</t>
  </si>
  <si>
    <t>7</t>
  </si>
  <si>
    <t>8</t>
  </si>
  <si>
    <t>1 lbs.</t>
  </si>
  <si>
    <t>FedEx Ground Economy Discounts</t>
  </si>
  <si>
    <t>StartWeight</t>
  </si>
  <si>
    <t>with FS</t>
  </si>
  <si>
    <t>10+</t>
  </si>
  <si>
    <t>UPS Mail Inovation</t>
  </si>
  <si>
    <t>Discount % based off Min.</t>
  </si>
  <si>
    <t>Discount % without min (includes 14% Earned Discount)</t>
  </si>
  <si>
    <t>Loss % of Discount - due to Min</t>
  </si>
  <si>
    <t>DHL Parcel Ground</t>
  </si>
  <si>
    <t>Wgt/Zone</t>
  </si>
  <si>
    <t>Expedited Max</t>
  </si>
  <si>
    <t>Weight LB</t>
  </si>
  <si>
    <t>Expedited</t>
  </si>
  <si>
    <t>Dimensional weight calculation is rounded L x W x H in inches of package, divided by 166</t>
  </si>
  <si>
    <t>Includes $100 declared value, 1-3 days transit</t>
  </si>
  <si>
    <t>Most packages under 1728 cu inches are omitted from dimensional weight</t>
  </si>
  <si>
    <t>APO Territories</t>
  </si>
  <si>
    <t>Cubic Volume Rate</t>
  </si>
  <si>
    <t xml:space="preserve"> 8 - Alaska &amp; Hawaii</t>
  </si>
  <si>
    <t>Up to</t>
  </si>
  <si>
    <t>Example:</t>
  </si>
  <si>
    <t>Measurements are inches.</t>
  </si>
  <si>
    <t>Length</t>
  </si>
  <si>
    <t>Width</t>
  </si>
  <si>
    <t>Height</t>
  </si>
  <si>
    <t>Cubic Volume:</t>
  </si>
  <si>
    <t xml:space="preserve">* Cubic Volume Ratio is calculated as (Length X Width X Height)/1728 cubic inches, rounded up to the next tenth.  </t>
  </si>
  <si>
    <t>If Cubic Volume Ratio exceeds 0.9, then the measurements do not qualify for Volume Pricing.</t>
  </si>
  <si>
    <t>If shipping package qualifies for cubic volume rate, postal rate will be the cheaper of the volume and pound rate.</t>
  </si>
  <si>
    <t>For packages exceeding 1728 cu inches, dimensional weight applies L x W x H in inches of package, divided by 194</t>
  </si>
  <si>
    <t>Various additional handling fees will apply if a package is longer than 22 inches</t>
  </si>
  <si>
    <t>* Cubic Volume Pricing</t>
  </si>
  <si>
    <t>$100 declared value coverage, 2-5 days transit</t>
  </si>
  <si>
    <t>Weight ounces</t>
  </si>
  <si>
    <t>Cubic Volume</t>
  </si>
  <si>
    <t>Average Delivery 3-8 Days</t>
  </si>
  <si>
    <t>Under 1lb rates only available for packages less than or equal to 1 cubic foot. Length x Width x Height (inches)  &lt;= 1728 cubic inches .</t>
  </si>
  <si>
    <r>
      <rPr>
        <sz val="10"/>
        <color rgb="FF1E4E79"/>
        <rFont val="Arial"/>
        <family val="2"/>
      </rPr>
      <t>Does not include</t>
    </r>
    <r>
      <rPr>
        <u/>
        <sz val="10"/>
        <color rgb="FF1E4E79"/>
        <rFont val="Arial"/>
        <family val="2"/>
      </rPr>
      <t xml:space="preserve"> insurance</t>
    </r>
  </si>
  <si>
    <t>Weight (lbs)/Zone</t>
  </si>
  <si>
    <t>11 - Puerto Rico &amp; Virgin Islands</t>
  </si>
  <si>
    <t>12 - Hawaii</t>
  </si>
  <si>
    <t>13 - Alaska</t>
  </si>
  <si>
    <t>Average Delivery 2-5 Days</t>
  </si>
  <si>
    <r>
      <rPr>
        <sz val="10"/>
        <color rgb="FF1E4E79"/>
        <rFont val="Arial"/>
        <family val="2"/>
      </rPr>
      <t>Does not include</t>
    </r>
    <r>
      <rPr>
        <u/>
        <sz val="10"/>
        <color rgb="FF1E4E79"/>
        <rFont val="Arial"/>
        <family val="2"/>
      </rPr>
      <t xml:space="preserve"> insurance</t>
    </r>
  </si>
  <si>
    <t>Average Delivery 2-3 Days</t>
  </si>
  <si>
    <r>
      <rPr>
        <sz val="10"/>
        <color rgb="FF1E4E79"/>
        <rFont val="Arial"/>
        <family val="2"/>
      </rPr>
      <t>Includes $</t>
    </r>
    <r>
      <rPr>
        <u/>
        <sz val="10"/>
        <color rgb="FF1E4E79"/>
        <rFont val="Arial"/>
        <family val="2"/>
      </rPr>
      <t>100 insurance</t>
    </r>
  </si>
  <si>
    <t>Carbon-neutral</t>
  </si>
  <si>
    <t>Applicable only to qualifying media products per usps.com</t>
  </si>
  <si>
    <t>Weight (lbs)</t>
  </si>
  <si>
    <t>Includes $100 declared value coverage, 1-3 days transit</t>
  </si>
  <si>
    <t>Includes $100 declared value coverage, 2-5 days transit</t>
  </si>
  <si>
    <t>* No Residential Fee Charged</t>
  </si>
  <si>
    <t>No declared value coverage, 1-3 weeks transit</t>
  </si>
  <si>
    <t>CA Canada</t>
  </si>
  <si>
    <t>MX Mexico</t>
  </si>
  <si>
    <t xml:space="preserve">HR EE HU LV LT PL RO </t>
  </si>
  <si>
    <t>AT BE DK FI GI GR IE IL IT LU NL PT ES  TR</t>
  </si>
  <si>
    <t xml:space="preserve">MT NO SE CH  </t>
  </si>
  <si>
    <t>IN PK PH SG  TH VN</t>
  </si>
  <si>
    <t>MY QA  TW AE</t>
  </si>
  <si>
    <t>AO EG  ZW</t>
  </si>
  <si>
    <t>KE MA NG ZA TZ</t>
  </si>
  <si>
    <t>AR BS BZ BM CO</t>
  </si>
  <si>
    <t>AW CL CR PA UY</t>
  </si>
  <si>
    <t>AU NZ</t>
  </si>
  <si>
    <t>BR Brazil</t>
  </si>
  <si>
    <t>CN China</t>
  </si>
  <si>
    <t>FR France</t>
  </si>
  <si>
    <t>DE Germany</t>
  </si>
  <si>
    <t>JP Japan</t>
  </si>
  <si>
    <t>HK Hong Kong KR</t>
  </si>
  <si>
    <t>RU Russia</t>
  </si>
  <si>
    <t>GB Great Britain</t>
  </si>
  <si>
    <t>Weight (Ounces)</t>
  </si>
  <si>
    <t>lbs</t>
  </si>
  <si>
    <t>No declared value coverage, 6-10 days transit</t>
  </si>
  <si>
    <t>Logistech's Profit Margin</t>
  </si>
  <si>
    <t>Percentage</t>
  </si>
  <si>
    <t>Postal Markup</t>
  </si>
  <si>
    <t>FedEx Markup</t>
  </si>
  <si>
    <t>Carrier Applicable Fuel Surcharge as of 6/15/2025</t>
  </si>
  <si>
    <t>Express Fuel Surcharge</t>
  </si>
  <si>
    <t>Ground Fuel Surcharge</t>
  </si>
  <si>
    <t>Ground Economy Fuel Surcharge (discounted)</t>
  </si>
  <si>
    <t>International Fuel Surcharge</t>
  </si>
  <si>
    <t>Residential Fees</t>
  </si>
  <si>
    <t>w/o Fuel Surcharge</t>
  </si>
  <si>
    <t>w/ Fuel Surcharge</t>
  </si>
  <si>
    <t>Ground Residential Fee</t>
  </si>
  <si>
    <t>Express (US) Residential Fee</t>
  </si>
  <si>
    <t>Express (Intl) Residential Fee</t>
  </si>
  <si>
    <t>Insurance Per Package Fees</t>
  </si>
  <si>
    <t>UPS/FedEx Insurance 1st $300</t>
  </si>
  <si>
    <t>Additional per $100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</si>
</sst>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.00"/>
    <numFmt numFmtId="166" formatCode="0.00_);\(0.00\)"/>
    <numFmt numFmtId="167" formatCode="0.000_);\(0.000\)"/>
    <numFmt numFmtId="168" formatCode="_(&quot;$&quot;* #,##0.000000_);_(&quot;$&quot;* \(#,##0.000000\);_(&quot;$&quot;* &quot;-&quot;??_);_(@_)"/>
    <numFmt numFmtId="169" formatCode="_(* #,##0.00_);[Red]_(* \(#,##0.00\);[Color15]_(* #,##0.00_)"/>
    <numFmt numFmtId="170" formatCode="0.0_);\(0.0\)"/>
    <numFmt numFmtId="171" formatCode="0.0000_);\(0.0000\)"/>
  </numFmts>
  <fonts count="38">
    <font>
      <sz val="10"/>
      <color rgb="FF000000"/>
      <name val="Arial"/>
      <scheme val="minor"/>
    </font>
    <font>
      <b/>
      <sz val="8"/>
      <color rgb="FFFFFFFF"/>
      <name val="UPS Sans Medium Condensed"/>
    </font>
    <font>
      <sz val="10"/>
      <color theme="1"/>
      <name val="UPS Sans Medium Condensed"/>
    </font>
    <font>
      <sz val="8"/>
      <color theme="1"/>
      <name val="UPS Sans Condensed"/>
    </font>
    <font>
      <sz val="10"/>
      <color theme="1"/>
      <name val="UPS Sans Condensed"/>
    </font>
    <font>
      <sz val="7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UPS Sans Medium Condensed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7"/>
      <color rgb="FFFFFFFF"/>
      <name val="UPS Sans Medium Condensed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UPS Sans Medium Condensed"/>
    </font>
    <font>
      <sz val="12"/>
      <color rgb="FF000000"/>
      <name val="Arial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rgb="FF20202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sz val="10"/>
      <color theme="8"/>
      <name val="Arial"/>
      <family val="2"/>
    </font>
    <font>
      <sz val="8"/>
      <color theme="1"/>
      <name val="Calibri"/>
      <family val="2"/>
    </font>
    <font>
      <sz val="8"/>
      <color theme="1"/>
      <name val="Arial"/>
      <family val="2"/>
    </font>
    <font>
      <sz val="10"/>
      <color theme="5"/>
      <name val="Arial"/>
      <family val="2"/>
    </font>
    <font>
      <b/>
      <sz val="10"/>
      <color theme="1"/>
      <name val="UPS Sans Medium Condensed"/>
    </font>
    <font>
      <sz val="10"/>
      <color theme="4"/>
      <name val="Arial"/>
      <family val="2"/>
    </font>
    <font>
      <sz val="8"/>
      <color theme="4"/>
      <name val="Calibri"/>
      <family val="2"/>
    </font>
    <font>
      <b/>
      <sz val="8"/>
      <color rgb="FF7030A0"/>
      <name val="UPS Sans Medium Condensed"/>
    </font>
    <font>
      <b/>
      <sz val="10"/>
      <color rgb="FFFFFFFF"/>
      <name val="UPS Sans Medium Condensed"/>
    </font>
    <font>
      <sz val="8"/>
      <color theme="1"/>
      <name val="Verdana"/>
      <family val="2"/>
    </font>
    <font>
      <sz val="10"/>
      <color rgb="FF4472C4"/>
      <name val="Arial"/>
      <family val="2"/>
    </font>
    <font>
      <b/>
      <sz val="8"/>
      <color theme="1"/>
      <name val="Calibri"/>
      <family val="2"/>
    </font>
    <font>
      <sz val="10"/>
      <color rgb="FF1E4E79"/>
      <name val="Arial"/>
      <family val="2"/>
    </font>
    <font>
      <sz val="10"/>
      <color theme="1"/>
      <name val="Yu Gothic UI Semibold"/>
      <family val="2"/>
    </font>
    <font>
      <sz val="8"/>
      <color rgb="FF202020"/>
      <name val="Arial"/>
      <family val="2"/>
    </font>
    <font>
      <b/>
      <sz val="10"/>
      <color theme="5"/>
      <name val="Arial"/>
      <family val="2"/>
    </font>
    <font>
      <u/>
      <sz val="10"/>
      <color rgb="FF1E4E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EEEEE"/>
        <bgColor rgb="FFEEEEEE"/>
      </patternFill>
    </fill>
    <fill>
      <patternFill patternType="solid">
        <fgColor rgb="FFF5F5F5"/>
        <bgColor rgb="FFF5F5F5"/>
      </patternFill>
    </fill>
    <fill>
      <patternFill patternType="solid">
        <fgColor rgb="FFFFFF00"/>
        <bgColor rgb="FFFFFF00"/>
      </patternFill>
    </fill>
    <fill>
      <patternFill patternType="solid">
        <fgColor rgb="FFF6FBB1"/>
        <bgColor rgb="FFF6FBB1"/>
      </patternFill>
    </fill>
    <fill>
      <patternFill patternType="solid">
        <fgColor rgb="FF00B0F0"/>
        <bgColor rgb="FF00B0F0"/>
      </patternFill>
    </fill>
    <fill>
      <patternFill patternType="solid">
        <fgColor rgb="FFECECEC"/>
        <bgColor rgb="FFECECEC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thick">
        <color rgb="FFDDDDDD"/>
      </bottom>
      <diagonal/>
    </border>
    <border>
      <left/>
      <right/>
      <top/>
      <bottom style="thick">
        <color rgb="FFDDDDDD"/>
      </bottom>
      <diagonal/>
    </border>
    <border>
      <left/>
      <right style="medium">
        <color rgb="FFFFFFFF"/>
      </right>
      <top/>
      <bottom style="thick">
        <color rgb="FFDDDDDD"/>
      </bottom>
      <diagonal/>
    </border>
    <border>
      <left/>
      <right style="medium">
        <color rgb="FFFFFFFF"/>
      </right>
      <top/>
      <bottom style="thick">
        <color rgb="FFDDDDDD"/>
      </bottom>
      <diagonal/>
    </border>
    <border>
      <left/>
      <right style="medium">
        <color rgb="FFFFFFFF"/>
      </right>
      <top style="medium">
        <color rgb="FFDDDDDD"/>
      </top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2" borderId="1" xfId="0" applyFont="1" applyFill="1" applyBorder="1" applyAlignment="1">
      <alignment horizontal="left"/>
    </xf>
    <xf numFmtId="164" fontId="1" fillId="2" borderId="1" xfId="0" quotePrefix="1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left"/>
    </xf>
    <xf numFmtId="2" fontId="3" fillId="3" borderId="3" xfId="0" applyNumberFormat="1" applyFont="1" applyFill="1" applyBorder="1"/>
    <xf numFmtId="2" fontId="3" fillId="3" borderId="4" xfId="0" applyNumberFormat="1" applyFont="1" applyFill="1" applyBorder="1"/>
    <xf numFmtId="0" fontId="2" fillId="0" borderId="0" xfId="0" applyFont="1" applyAlignment="1">
      <alignment horizontal="right"/>
    </xf>
    <xf numFmtId="0" fontId="3" fillId="3" borderId="5" xfId="0" applyFont="1" applyFill="1" applyBorder="1" applyAlignment="1">
      <alignment horizontal="left"/>
    </xf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0" fontId="4" fillId="0" borderId="0" xfId="0" applyFont="1"/>
    <xf numFmtId="0" fontId="3" fillId="3" borderId="1" xfId="0" applyFont="1" applyFill="1" applyBorder="1" applyAlignment="1">
      <alignment horizontal="left"/>
    </xf>
    <xf numFmtId="2" fontId="3" fillId="3" borderId="8" xfId="0" applyNumberFormat="1" applyFont="1" applyFill="1" applyBorder="1"/>
    <xf numFmtId="2" fontId="3" fillId="3" borderId="9" xfId="0" applyNumberFormat="1" applyFont="1" applyFill="1" applyBorder="1"/>
    <xf numFmtId="0" fontId="3" fillId="3" borderId="10" xfId="0" applyFont="1" applyFill="1" applyBorder="1" applyAlignment="1">
      <alignment horizontal="left"/>
    </xf>
    <xf numFmtId="2" fontId="3" fillId="3" borderId="11" xfId="0" applyNumberFormat="1" applyFont="1" applyFill="1" applyBorder="1"/>
    <xf numFmtId="2" fontId="3" fillId="3" borderId="12" xfId="0" applyNumberFormat="1" applyFont="1" applyFill="1" applyBorder="1"/>
    <xf numFmtId="0" fontId="3" fillId="4" borderId="1" xfId="0" applyFont="1" applyFill="1" applyBorder="1" applyAlignment="1">
      <alignment horizontal="left"/>
    </xf>
    <xf numFmtId="2" fontId="3" fillId="0" borderId="13" xfId="0" applyNumberFormat="1" applyFont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4" xfId="0" applyFont="1" applyFill="1" applyBorder="1" applyAlignment="1">
      <alignment horizontal="left"/>
    </xf>
    <xf numFmtId="2" fontId="3" fillId="0" borderId="15" xfId="0" applyNumberFormat="1" applyFont="1" applyBorder="1"/>
    <xf numFmtId="2" fontId="3" fillId="4" borderId="8" xfId="0" applyNumberFormat="1" applyFont="1" applyFill="1" applyBorder="1"/>
    <xf numFmtId="2" fontId="3" fillId="4" borderId="9" xfId="0" applyNumberFormat="1" applyFont="1" applyFill="1" applyBorder="1"/>
    <xf numFmtId="0" fontId="3" fillId="4" borderId="10" xfId="0" applyFont="1" applyFill="1" applyBorder="1" applyAlignment="1">
      <alignment horizontal="left"/>
    </xf>
    <xf numFmtId="2" fontId="3" fillId="0" borderId="16" xfId="0" applyNumberFormat="1" applyFont="1" applyBorder="1"/>
    <xf numFmtId="2" fontId="3" fillId="4" borderId="11" xfId="0" applyNumberFormat="1" applyFont="1" applyFill="1" applyBorder="1"/>
    <xf numFmtId="2" fontId="3" fillId="4" borderId="12" xfId="0" applyNumberFormat="1" applyFont="1" applyFill="1" applyBorder="1"/>
    <xf numFmtId="0" fontId="3" fillId="4" borderId="17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5" fillId="0" borderId="0" xfId="0" applyFont="1"/>
    <xf numFmtId="0" fontId="3" fillId="4" borderId="5" xfId="0" applyFont="1" applyFill="1" applyBorder="1" applyAlignment="1">
      <alignment horizontal="left"/>
    </xf>
    <xf numFmtId="0" fontId="6" fillId="0" borderId="0" xfId="0" applyFont="1" applyAlignment="1">
      <alignment wrapText="1"/>
    </xf>
    <xf numFmtId="2" fontId="3" fillId="5" borderId="8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164" fontId="1" fillId="2" borderId="1" xfId="0" quotePrefix="1" applyNumberFormat="1" applyFont="1" applyFill="1" applyBorder="1" applyAlignment="1">
      <alignment horizontal="center" wrapText="1"/>
    </xf>
    <xf numFmtId="39" fontId="3" fillId="3" borderId="3" xfId="0" applyNumberFormat="1" applyFont="1" applyFill="1" applyBorder="1"/>
    <xf numFmtId="39" fontId="3" fillId="3" borderId="4" xfId="0" applyNumberFormat="1" applyFont="1" applyFill="1" applyBorder="1"/>
    <xf numFmtId="40" fontId="3" fillId="3" borderId="6" xfId="0" applyNumberFormat="1" applyFont="1" applyFill="1" applyBorder="1"/>
    <xf numFmtId="40" fontId="3" fillId="3" borderId="7" xfId="0" applyNumberFormat="1" applyFont="1" applyFill="1" applyBorder="1"/>
    <xf numFmtId="40" fontId="3" fillId="3" borderId="8" xfId="0" applyNumberFormat="1" applyFont="1" applyFill="1" applyBorder="1"/>
    <xf numFmtId="40" fontId="3" fillId="3" borderId="9" xfId="0" applyNumberFormat="1" applyFont="1" applyFill="1" applyBorder="1"/>
    <xf numFmtId="40" fontId="3" fillId="3" borderId="11" xfId="0" applyNumberFormat="1" applyFont="1" applyFill="1" applyBorder="1"/>
    <xf numFmtId="40" fontId="3" fillId="3" borderId="12" xfId="0" applyNumberFormat="1" applyFont="1" applyFill="1" applyBorder="1"/>
    <xf numFmtId="40" fontId="3" fillId="0" borderId="13" xfId="0" applyNumberFormat="1" applyFont="1" applyBorder="1"/>
    <xf numFmtId="40" fontId="3" fillId="4" borderId="6" xfId="0" applyNumberFormat="1" applyFont="1" applyFill="1" applyBorder="1"/>
    <xf numFmtId="40" fontId="3" fillId="4" borderId="7" xfId="0" applyNumberFormat="1" applyFont="1" applyFill="1" applyBorder="1"/>
    <xf numFmtId="40" fontId="3" fillId="0" borderId="15" xfId="0" applyNumberFormat="1" applyFont="1" applyBorder="1"/>
    <xf numFmtId="40" fontId="3" fillId="4" borderId="8" xfId="0" applyNumberFormat="1" applyFont="1" applyFill="1" applyBorder="1"/>
    <xf numFmtId="40" fontId="3" fillId="4" borderId="9" xfId="0" applyNumberFormat="1" applyFont="1" applyFill="1" applyBorder="1"/>
    <xf numFmtId="40" fontId="3" fillId="0" borderId="16" xfId="0" applyNumberFormat="1" applyFont="1" applyBorder="1"/>
    <xf numFmtId="40" fontId="3" fillId="4" borderId="11" xfId="0" applyNumberFormat="1" applyFont="1" applyFill="1" applyBorder="1"/>
    <xf numFmtId="40" fontId="3" fillId="4" borderId="12" xfId="0" applyNumberFormat="1" applyFont="1" applyFill="1" applyBorder="1"/>
    <xf numFmtId="165" fontId="3" fillId="3" borderId="3" xfId="0" applyNumberFormat="1" applyFont="1" applyFill="1" applyBorder="1"/>
    <xf numFmtId="165" fontId="3" fillId="3" borderId="4" xfId="0" applyNumberFormat="1" applyFont="1" applyFill="1" applyBorder="1"/>
    <xf numFmtId="8" fontId="2" fillId="0" borderId="0" xfId="0" applyNumberFormat="1" applyFont="1" applyAlignment="1">
      <alignment horizontal="left"/>
    </xf>
    <xf numFmtId="0" fontId="6" fillId="0" borderId="0" xfId="0" applyFont="1"/>
    <xf numFmtId="165" fontId="3" fillId="0" borderId="13" xfId="0" applyNumberFormat="1" applyFont="1" applyBorder="1" applyAlignment="1">
      <alignment horizontal="right" vertical="center"/>
    </xf>
    <xf numFmtId="164" fontId="1" fillId="2" borderId="1" xfId="0" quotePrefix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left"/>
    </xf>
    <xf numFmtId="43" fontId="3" fillId="3" borderId="3" xfId="0" applyNumberFormat="1" applyFont="1" applyFill="1" applyBorder="1"/>
    <xf numFmtId="43" fontId="3" fillId="3" borderId="3" xfId="0" applyNumberFormat="1" applyFont="1" applyFill="1" applyBorder="1" applyAlignment="1">
      <alignment horizontal="right"/>
    </xf>
    <xf numFmtId="2" fontId="3" fillId="3" borderId="6" xfId="0" applyNumberFormat="1" applyFont="1" applyFill="1" applyBorder="1" applyAlignment="1">
      <alignment horizontal="right"/>
    </xf>
    <xf numFmtId="2" fontId="3" fillId="3" borderId="8" xfId="0" applyNumberFormat="1" applyFont="1" applyFill="1" applyBorder="1" applyAlignment="1">
      <alignment horizontal="right"/>
    </xf>
    <xf numFmtId="2" fontId="3" fillId="3" borderId="11" xfId="0" applyNumberFormat="1" applyFont="1" applyFill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2" fontId="3" fillId="4" borderId="6" xfId="0" applyNumberFormat="1" applyFont="1" applyFill="1" applyBorder="1" applyAlignment="1">
      <alignment horizontal="right"/>
    </xf>
    <xf numFmtId="2" fontId="3" fillId="0" borderId="15" xfId="0" applyNumberFormat="1" applyFont="1" applyBorder="1" applyAlignment="1">
      <alignment horizontal="right"/>
    </xf>
    <xf numFmtId="2" fontId="3" fillId="4" borderId="8" xfId="0" applyNumberFormat="1" applyFont="1" applyFill="1" applyBorder="1" applyAlignment="1">
      <alignment horizontal="right"/>
    </xf>
    <xf numFmtId="2" fontId="3" fillId="0" borderId="16" xfId="0" applyNumberFormat="1" applyFont="1" applyBorder="1" applyAlignment="1">
      <alignment horizontal="right"/>
    </xf>
    <xf numFmtId="2" fontId="3" fillId="4" borderId="11" xfId="0" applyNumberFormat="1" applyFont="1" applyFill="1" applyBorder="1" applyAlignment="1">
      <alignment horizontal="right"/>
    </xf>
    <xf numFmtId="2" fontId="3" fillId="4" borderId="18" xfId="0" applyNumberFormat="1" applyFont="1" applyFill="1" applyBorder="1"/>
    <xf numFmtId="2" fontId="3" fillId="4" borderId="19" xfId="0" applyNumberFormat="1" applyFont="1" applyFill="1" applyBorder="1"/>
    <xf numFmtId="2" fontId="3" fillId="3" borderId="18" xfId="0" applyNumberFormat="1" applyFont="1" applyFill="1" applyBorder="1"/>
    <xf numFmtId="2" fontId="3" fillId="3" borderId="19" xfId="0" applyNumberFormat="1" applyFont="1" applyFill="1" applyBorder="1"/>
    <xf numFmtId="2" fontId="3" fillId="3" borderId="20" xfId="0" applyNumberFormat="1" applyFont="1" applyFill="1" applyBorder="1"/>
    <xf numFmtId="2" fontId="3" fillId="3" borderId="21" xfId="0" applyNumberFormat="1" applyFont="1" applyFill="1" applyBorder="1"/>
    <xf numFmtId="2" fontId="3" fillId="3" borderId="1" xfId="0" applyNumberFormat="1" applyFont="1" applyFill="1" applyBorder="1"/>
    <xf numFmtId="2" fontId="3" fillId="4" borderId="21" xfId="0" applyNumberFormat="1" applyFont="1" applyFill="1" applyBorder="1"/>
    <xf numFmtId="8" fontId="6" fillId="0" borderId="0" xfId="0" applyNumberFormat="1" applyFont="1"/>
    <xf numFmtId="165" fontId="6" fillId="0" borderId="0" xfId="0" applyNumberFormat="1" applyFont="1"/>
    <xf numFmtId="0" fontId="8" fillId="0" borderId="0" xfId="0" applyFont="1"/>
    <xf numFmtId="164" fontId="1" fillId="2" borderId="1" xfId="0" applyNumberFormat="1" applyFont="1" applyFill="1" applyBorder="1" applyAlignment="1">
      <alignment horizont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/>
    <xf numFmtId="164" fontId="10" fillId="2" borderId="1" xfId="0" quotePrefix="1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right" vertical="center"/>
    </xf>
    <xf numFmtId="10" fontId="9" fillId="0" borderId="0" xfId="0" applyNumberFormat="1" applyFont="1"/>
    <xf numFmtId="164" fontId="1" fillId="2" borderId="1" xfId="0" quotePrefix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2" fontId="6" fillId="0" borderId="0" xfId="0" applyNumberFormat="1" applyFont="1"/>
    <xf numFmtId="0" fontId="11" fillId="0" borderId="16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4" fontId="14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166" fontId="7" fillId="5" borderId="1" xfId="0" applyNumberFormat="1" applyFont="1" applyFill="1" applyBorder="1" applyAlignment="1">
      <alignment horizontal="right"/>
    </xf>
    <xf numFmtId="0" fontId="11" fillId="0" borderId="13" xfId="0" applyFont="1" applyBorder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2" fontId="3" fillId="3" borderId="25" xfId="0" applyNumberFormat="1" applyFont="1" applyFill="1" applyBorder="1"/>
    <xf numFmtId="0" fontId="11" fillId="0" borderId="15" xfId="0" applyFont="1" applyBorder="1" applyAlignment="1">
      <alignment horizontal="center"/>
    </xf>
    <xf numFmtId="2" fontId="3" fillId="3" borderId="26" xfId="0" applyNumberFormat="1" applyFont="1" applyFill="1" applyBorder="1"/>
    <xf numFmtId="2" fontId="3" fillId="3" borderId="17" xfId="0" applyNumberFormat="1" applyFont="1" applyFill="1" applyBorder="1"/>
    <xf numFmtId="2" fontId="3" fillId="3" borderId="27" xfId="0" applyNumberFormat="1" applyFont="1" applyFill="1" applyBorder="1"/>
    <xf numFmtId="0" fontId="15" fillId="0" borderId="0" xfId="0" applyFont="1" applyAlignment="1">
      <alignment vertical="center"/>
    </xf>
    <xf numFmtId="2" fontId="3" fillId="3" borderId="28" xfId="0" applyNumberFormat="1" applyFont="1" applyFill="1" applyBorder="1"/>
    <xf numFmtId="2" fontId="3" fillId="3" borderId="29" xfId="0" applyNumberFormat="1" applyFont="1" applyFill="1" applyBorder="1"/>
    <xf numFmtId="2" fontId="3" fillId="0" borderId="30" xfId="0" applyNumberFormat="1" applyFont="1" applyBorder="1"/>
    <xf numFmtId="2" fontId="3" fillId="4" borderId="26" xfId="0" applyNumberFormat="1" applyFont="1" applyFill="1" applyBorder="1"/>
    <xf numFmtId="2" fontId="3" fillId="4" borderId="5" xfId="0" applyNumberFormat="1" applyFont="1" applyFill="1" applyBorder="1"/>
    <xf numFmtId="2" fontId="3" fillId="0" borderId="31" xfId="0" applyNumberFormat="1" applyFont="1" applyBorder="1"/>
    <xf numFmtId="2" fontId="3" fillId="4" borderId="27" xfId="0" applyNumberFormat="1" applyFont="1" applyFill="1" applyBorder="1"/>
    <xf numFmtId="2" fontId="3" fillId="4" borderId="14" xfId="0" applyNumberFormat="1" applyFont="1" applyFill="1" applyBorder="1"/>
    <xf numFmtId="2" fontId="3" fillId="0" borderId="32" xfId="0" applyNumberFormat="1" applyFont="1" applyBorder="1"/>
    <xf numFmtId="2" fontId="3" fillId="4" borderId="28" xfId="0" applyNumberFormat="1" applyFont="1" applyFill="1" applyBorder="1"/>
    <xf numFmtId="2" fontId="3" fillId="4" borderId="10" xfId="0" applyNumberFormat="1" applyFont="1" applyFill="1" applyBorder="1"/>
    <xf numFmtId="2" fontId="3" fillId="3" borderId="14" xfId="0" applyNumberFormat="1" applyFont="1" applyFill="1" applyBorder="1"/>
    <xf numFmtId="2" fontId="11" fillId="0" borderId="33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3" fillId="3" borderId="10" xfId="0" applyNumberFormat="1" applyFont="1" applyFill="1" applyBorder="1"/>
    <xf numFmtId="0" fontId="16" fillId="0" borderId="0" xfId="0" applyFont="1"/>
    <xf numFmtId="167" fontId="13" fillId="5" borderId="1" xfId="0" applyNumberFormat="1" applyFont="1" applyFill="1" applyBorder="1" applyAlignment="1">
      <alignment horizontal="right"/>
    </xf>
    <xf numFmtId="0" fontId="11" fillId="0" borderId="16" xfId="0" applyFont="1" applyBorder="1" applyAlignment="1">
      <alignment horizontal="center"/>
    </xf>
    <xf numFmtId="0" fontId="17" fillId="6" borderId="34" xfId="0" applyFont="1" applyFill="1" applyBorder="1" applyAlignment="1">
      <alignment horizontal="center" wrapText="1"/>
    </xf>
    <xf numFmtId="0" fontId="17" fillId="6" borderId="38" xfId="0" applyFont="1" applyFill="1" applyBorder="1" applyAlignment="1">
      <alignment horizontal="center" wrapText="1"/>
    </xf>
    <xf numFmtId="0" fontId="17" fillId="6" borderId="39" xfId="0" applyFont="1" applyFill="1" applyBorder="1" applyAlignment="1">
      <alignment horizontal="center" wrapText="1"/>
    </xf>
    <xf numFmtId="0" fontId="19" fillId="0" borderId="0" xfId="0" applyFont="1"/>
    <xf numFmtId="0" fontId="17" fillId="4" borderId="40" xfId="0" applyFont="1" applyFill="1" applyBorder="1" applyAlignment="1">
      <alignment vertical="top" wrapText="1"/>
    </xf>
    <xf numFmtId="8" fontId="17" fillId="4" borderId="40" xfId="0" applyNumberFormat="1" applyFont="1" applyFill="1" applyBorder="1" applyAlignment="1">
      <alignment vertical="top" wrapText="1"/>
    </xf>
    <xf numFmtId="8" fontId="17" fillId="4" borderId="1" xfId="0" applyNumberFormat="1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7" fillId="7" borderId="40" xfId="0" applyFont="1" applyFill="1" applyBorder="1" applyAlignment="1">
      <alignment vertical="top" wrapText="1"/>
    </xf>
    <xf numFmtId="168" fontId="11" fillId="0" borderId="0" xfId="0" applyNumberFormat="1" applyFont="1"/>
    <xf numFmtId="0" fontId="11" fillId="0" borderId="3" xfId="0" applyFont="1" applyBorder="1" applyAlignment="1">
      <alignment horizontal="center" wrapText="1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39" fontId="11" fillId="5" borderId="44" xfId="0" applyNumberFormat="1" applyFont="1" applyFill="1" applyBorder="1" applyAlignment="1">
      <alignment horizontal="center"/>
    </xf>
    <xf numFmtId="4" fontId="11" fillId="5" borderId="44" xfId="0" applyNumberFormat="1" applyFont="1" applyFill="1" applyBorder="1" applyAlignment="1">
      <alignment horizontal="center"/>
    </xf>
    <xf numFmtId="4" fontId="11" fillId="5" borderId="45" xfId="0" applyNumberFormat="1" applyFont="1" applyFill="1" applyBorder="1" applyAlignment="1">
      <alignment horizontal="center"/>
    </xf>
    <xf numFmtId="2" fontId="11" fillId="0" borderId="46" xfId="0" applyNumberFormat="1" applyFont="1" applyBorder="1" applyAlignment="1">
      <alignment horizontal="center"/>
    </xf>
    <xf numFmtId="2" fontId="11" fillId="0" borderId="47" xfId="0" applyNumberFormat="1" applyFont="1" applyBorder="1" applyAlignment="1">
      <alignment horizontal="center"/>
    </xf>
    <xf numFmtId="39" fontId="11" fillId="5" borderId="48" xfId="0" applyNumberFormat="1" applyFont="1" applyFill="1" applyBorder="1" applyAlignment="1">
      <alignment horizontal="center"/>
    </xf>
    <xf numFmtId="4" fontId="11" fillId="5" borderId="48" xfId="0" applyNumberFormat="1" applyFont="1" applyFill="1" applyBorder="1" applyAlignment="1">
      <alignment horizontal="center"/>
    </xf>
    <xf numFmtId="4" fontId="11" fillId="5" borderId="49" xfId="0" applyNumberFormat="1" applyFont="1" applyFill="1" applyBorder="1" applyAlignment="1">
      <alignment horizontal="center"/>
    </xf>
    <xf numFmtId="7" fontId="3" fillId="3" borderId="25" xfId="0" applyNumberFormat="1" applyFont="1" applyFill="1" applyBorder="1" applyAlignment="1">
      <alignment horizontal="right"/>
    </xf>
    <xf numFmtId="7" fontId="3" fillId="3" borderId="20" xfId="0" applyNumberFormat="1" applyFont="1" applyFill="1" applyBorder="1" applyAlignment="1">
      <alignment horizontal="right"/>
    </xf>
    <xf numFmtId="40" fontId="3" fillId="3" borderId="26" xfId="0" applyNumberFormat="1" applyFont="1" applyFill="1" applyBorder="1" applyAlignment="1">
      <alignment horizontal="right"/>
    </xf>
    <xf numFmtId="40" fontId="3" fillId="3" borderId="21" xfId="0" applyNumberFormat="1" applyFont="1" applyFill="1" applyBorder="1" applyAlignment="1">
      <alignment horizontal="right"/>
    </xf>
    <xf numFmtId="40" fontId="3" fillId="3" borderId="5" xfId="0" applyNumberFormat="1" applyFont="1" applyFill="1" applyBorder="1" applyAlignment="1">
      <alignment horizontal="right"/>
    </xf>
    <xf numFmtId="40" fontId="3" fillId="3" borderId="27" xfId="0" applyNumberFormat="1" applyFont="1" applyFill="1" applyBorder="1" applyAlignment="1">
      <alignment horizontal="right"/>
    </xf>
    <xf numFmtId="40" fontId="3" fillId="3" borderId="18" xfId="0" applyNumberFormat="1" applyFont="1" applyFill="1" applyBorder="1" applyAlignment="1">
      <alignment horizontal="right"/>
    </xf>
    <xf numFmtId="40" fontId="3" fillId="3" borderId="1" xfId="0" applyNumberFormat="1" applyFont="1" applyFill="1" applyBorder="1" applyAlignment="1">
      <alignment horizontal="right"/>
    </xf>
    <xf numFmtId="40" fontId="3" fillId="3" borderId="14" xfId="0" applyNumberFormat="1" applyFont="1" applyFill="1" applyBorder="1" applyAlignment="1">
      <alignment horizontal="right"/>
    </xf>
    <xf numFmtId="40" fontId="3" fillId="3" borderId="28" xfId="0" applyNumberFormat="1" applyFont="1" applyFill="1" applyBorder="1" applyAlignment="1">
      <alignment horizontal="right"/>
    </xf>
    <xf numFmtId="40" fontId="3" fillId="3" borderId="19" xfId="0" applyNumberFormat="1" applyFont="1" applyFill="1" applyBorder="1" applyAlignment="1">
      <alignment horizontal="right"/>
    </xf>
    <xf numFmtId="40" fontId="3" fillId="3" borderId="10" xfId="0" applyNumberFormat="1" applyFont="1" applyFill="1" applyBorder="1" applyAlignment="1">
      <alignment horizontal="right"/>
    </xf>
    <xf numFmtId="40" fontId="3" fillId="0" borderId="30" xfId="0" applyNumberFormat="1" applyFont="1" applyBorder="1" applyAlignment="1">
      <alignment horizontal="right"/>
    </xf>
    <xf numFmtId="40" fontId="3" fillId="4" borderId="26" xfId="0" applyNumberFormat="1" applyFont="1" applyFill="1" applyBorder="1" applyAlignment="1">
      <alignment horizontal="right"/>
    </xf>
    <xf numFmtId="40" fontId="3" fillId="4" borderId="5" xfId="0" applyNumberFormat="1" applyFont="1" applyFill="1" applyBorder="1" applyAlignment="1">
      <alignment horizontal="right"/>
    </xf>
    <xf numFmtId="40" fontId="3" fillId="4" borderId="21" xfId="0" applyNumberFormat="1" applyFont="1" applyFill="1" applyBorder="1" applyAlignment="1">
      <alignment horizontal="right"/>
    </xf>
    <xf numFmtId="40" fontId="3" fillId="0" borderId="31" xfId="0" applyNumberFormat="1" applyFont="1" applyBorder="1" applyAlignment="1">
      <alignment horizontal="right"/>
    </xf>
    <xf numFmtId="40" fontId="3" fillId="4" borderId="27" xfId="0" applyNumberFormat="1" applyFont="1" applyFill="1" applyBorder="1" applyAlignment="1">
      <alignment horizontal="right"/>
    </xf>
    <xf numFmtId="40" fontId="3" fillId="4" borderId="14" xfId="0" applyNumberFormat="1" applyFont="1" applyFill="1" applyBorder="1" applyAlignment="1">
      <alignment horizontal="right"/>
    </xf>
    <xf numFmtId="40" fontId="3" fillId="4" borderId="18" xfId="0" applyNumberFormat="1" applyFont="1" applyFill="1" applyBorder="1" applyAlignment="1">
      <alignment horizontal="right"/>
    </xf>
    <xf numFmtId="40" fontId="3" fillId="0" borderId="32" xfId="0" applyNumberFormat="1" applyFont="1" applyBorder="1" applyAlignment="1">
      <alignment horizontal="right"/>
    </xf>
    <xf numFmtId="40" fontId="3" fillId="4" borderId="28" xfId="0" applyNumberFormat="1" applyFont="1" applyFill="1" applyBorder="1" applyAlignment="1">
      <alignment horizontal="right"/>
    </xf>
    <xf numFmtId="40" fontId="3" fillId="4" borderId="10" xfId="0" applyNumberFormat="1" applyFont="1" applyFill="1" applyBorder="1" applyAlignment="1">
      <alignment horizontal="right"/>
    </xf>
    <xf numFmtId="40" fontId="3" fillId="4" borderId="19" xfId="0" applyNumberFormat="1" applyFont="1" applyFill="1" applyBorder="1" applyAlignment="1">
      <alignment horizontal="right"/>
    </xf>
    <xf numFmtId="43" fontId="6" fillId="0" borderId="0" xfId="0" applyNumberFormat="1" applyFont="1"/>
    <xf numFmtId="7" fontId="6" fillId="0" borderId="0" xfId="0" applyNumberFormat="1" applyFont="1"/>
    <xf numFmtId="2" fontId="3" fillId="3" borderId="25" xfId="0" applyNumberFormat="1" applyFont="1" applyFill="1" applyBorder="1" applyAlignment="1">
      <alignment horizontal="right"/>
    </xf>
    <xf numFmtId="2" fontId="3" fillId="3" borderId="20" xfId="0" applyNumberFormat="1" applyFont="1" applyFill="1" applyBorder="1" applyAlignment="1">
      <alignment horizontal="right"/>
    </xf>
    <xf numFmtId="2" fontId="3" fillId="3" borderId="26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17" xfId="0" applyNumberFormat="1" applyFont="1" applyFill="1" applyBorder="1" applyAlignment="1">
      <alignment horizontal="right"/>
    </xf>
    <xf numFmtId="2" fontId="3" fillId="3" borderId="27" xfId="0" applyNumberFormat="1" applyFont="1" applyFill="1" applyBorder="1" applyAlignment="1">
      <alignment horizontal="right"/>
    </xf>
    <xf numFmtId="2" fontId="3" fillId="3" borderId="18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2" fontId="3" fillId="3" borderId="28" xfId="0" applyNumberFormat="1" applyFont="1" applyFill="1" applyBorder="1" applyAlignment="1">
      <alignment horizontal="right"/>
    </xf>
    <xf numFmtId="2" fontId="3" fillId="3" borderId="19" xfId="0" applyNumberFormat="1" applyFont="1" applyFill="1" applyBorder="1" applyAlignment="1">
      <alignment horizontal="right"/>
    </xf>
    <xf numFmtId="2" fontId="3" fillId="3" borderId="10" xfId="0" applyNumberFormat="1" applyFont="1" applyFill="1" applyBorder="1" applyAlignment="1">
      <alignment horizontal="right"/>
    </xf>
    <xf numFmtId="2" fontId="3" fillId="3" borderId="29" xfId="0" applyNumberFormat="1" applyFont="1" applyFill="1" applyBorder="1" applyAlignment="1">
      <alignment horizontal="right"/>
    </xf>
    <xf numFmtId="2" fontId="3" fillId="0" borderId="30" xfId="0" applyNumberFormat="1" applyFont="1" applyBorder="1" applyAlignment="1">
      <alignment horizontal="right"/>
    </xf>
    <xf numFmtId="2" fontId="3" fillId="4" borderId="26" xfId="0" applyNumberFormat="1" applyFont="1" applyFill="1" applyBorder="1" applyAlignment="1">
      <alignment horizontal="right"/>
    </xf>
    <xf numFmtId="2" fontId="3" fillId="4" borderId="5" xfId="0" applyNumberFormat="1" applyFont="1" applyFill="1" applyBorder="1" applyAlignment="1">
      <alignment horizontal="right"/>
    </xf>
    <xf numFmtId="2" fontId="3" fillId="4" borderId="21" xfId="0" applyNumberFormat="1" applyFont="1" applyFill="1" applyBorder="1" applyAlignment="1">
      <alignment horizontal="right"/>
    </xf>
    <xf numFmtId="2" fontId="3" fillId="0" borderId="31" xfId="0" applyNumberFormat="1" applyFont="1" applyBorder="1" applyAlignment="1">
      <alignment horizontal="right"/>
    </xf>
    <xf numFmtId="2" fontId="3" fillId="4" borderId="27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2" fontId="3" fillId="4" borderId="18" xfId="0" applyNumberFormat="1" applyFont="1" applyFill="1" applyBorder="1" applyAlignment="1">
      <alignment horizontal="right"/>
    </xf>
    <xf numFmtId="2" fontId="3" fillId="0" borderId="32" xfId="0" applyNumberFormat="1" applyFont="1" applyBorder="1" applyAlignment="1">
      <alignment horizontal="right"/>
    </xf>
    <xf numFmtId="2" fontId="3" fillId="4" borderId="28" xfId="0" applyNumberFormat="1" applyFont="1" applyFill="1" applyBorder="1" applyAlignment="1">
      <alignment horizontal="right"/>
    </xf>
    <xf numFmtId="2" fontId="3" fillId="4" borderId="10" xfId="0" applyNumberFormat="1" applyFont="1" applyFill="1" applyBorder="1" applyAlignment="1">
      <alignment horizontal="right"/>
    </xf>
    <xf numFmtId="2" fontId="3" fillId="4" borderId="19" xfId="0" applyNumberFormat="1" applyFont="1" applyFill="1" applyBorder="1" applyAlignment="1">
      <alignment horizontal="right"/>
    </xf>
    <xf numFmtId="0" fontId="6" fillId="8" borderId="1" xfId="0" applyFont="1" applyFill="1" applyBorder="1"/>
    <xf numFmtId="164" fontId="7" fillId="8" borderId="1" xfId="0" applyNumberFormat="1" applyFont="1" applyFill="1" applyBorder="1" applyAlignment="1">
      <alignment horizontal="right"/>
    </xf>
    <xf numFmtId="165" fontId="20" fillId="8" borderId="1" xfId="0" applyNumberFormat="1" applyFont="1" applyFill="1" applyBorder="1"/>
    <xf numFmtId="0" fontId="21" fillId="0" borderId="0" xfId="0" applyFont="1"/>
    <xf numFmtId="0" fontId="22" fillId="0" borderId="0" xfId="0" applyFont="1"/>
    <xf numFmtId="164" fontId="7" fillId="9" borderId="3" xfId="0" quotePrefix="1" applyNumberFormat="1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164" fontId="7" fillId="9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/>
    <xf numFmtId="0" fontId="23" fillId="0" borderId="0" xfId="0" applyFont="1"/>
    <xf numFmtId="164" fontId="7" fillId="8" borderId="1" xfId="0" applyNumberFormat="1" applyFont="1" applyFill="1" applyBorder="1" applyAlignment="1">
      <alignment horizontal="left" vertical="top"/>
    </xf>
    <xf numFmtId="165" fontId="20" fillId="8" borderId="1" xfId="0" applyNumberFormat="1" applyFont="1" applyFill="1" applyBorder="1" applyAlignment="1">
      <alignment vertical="top"/>
    </xf>
    <xf numFmtId="0" fontId="7" fillId="9" borderId="3" xfId="0" applyFont="1" applyFill="1" applyBorder="1" applyAlignment="1">
      <alignment horizontal="center" vertical="center" wrapText="1"/>
    </xf>
    <xf numFmtId="164" fontId="7" fillId="9" borderId="3" xfId="0" quotePrefix="1" applyNumberFormat="1" applyFont="1" applyFill="1" applyBorder="1" applyAlignment="1">
      <alignment horizontal="center" vertical="center" wrapText="1"/>
    </xf>
    <xf numFmtId="164" fontId="7" fillId="8" borderId="1" xfId="0" applyNumberFormat="1" applyFont="1" applyFill="1" applyBorder="1" applyAlignment="1">
      <alignment horizontal="left"/>
    </xf>
    <xf numFmtId="0" fontId="6" fillId="0" borderId="0" xfId="0" quotePrefix="1" applyFont="1"/>
    <xf numFmtId="164" fontId="7" fillId="5" borderId="1" xfId="0" applyNumberFormat="1" applyFont="1" applyFill="1" applyBorder="1" applyAlignment="1">
      <alignment horizontal="left" vertical="top"/>
    </xf>
    <xf numFmtId="0" fontId="24" fillId="0" borderId="0" xfId="0" applyFont="1"/>
    <xf numFmtId="49" fontId="25" fillId="9" borderId="3" xfId="0" applyNumberFormat="1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164" fontId="22" fillId="5" borderId="1" xfId="0" applyNumberFormat="1" applyFont="1" applyFill="1" applyBorder="1" applyAlignment="1">
      <alignment horizontal="left"/>
    </xf>
    <xf numFmtId="165" fontId="20" fillId="0" borderId="0" xfId="0" applyNumberFormat="1" applyFont="1"/>
    <xf numFmtId="2" fontId="4" fillId="0" borderId="0" xfId="0" applyNumberFormat="1" applyFont="1"/>
    <xf numFmtId="0" fontId="29" fillId="2" borderId="12" xfId="0" applyFont="1" applyFill="1" applyBorder="1" applyAlignment="1">
      <alignment horizontal="left" vertical="center"/>
    </xf>
    <xf numFmtId="49" fontId="29" fillId="2" borderId="50" xfId="0" applyNumberFormat="1" applyFont="1" applyFill="1" applyBorder="1" applyAlignment="1">
      <alignment horizontal="right"/>
    </xf>
    <xf numFmtId="49" fontId="29" fillId="2" borderId="51" xfId="0" applyNumberFormat="1" applyFont="1" applyFill="1" applyBorder="1" applyAlignment="1">
      <alignment horizontal="right"/>
    </xf>
    <xf numFmtId="0" fontId="29" fillId="2" borderId="12" xfId="0" applyFont="1" applyFill="1" applyBorder="1" applyAlignment="1">
      <alignment horizontal="right"/>
    </xf>
    <xf numFmtId="49" fontId="29" fillId="2" borderId="51" xfId="0" applyNumberFormat="1" applyFont="1" applyFill="1" applyBorder="1" applyAlignment="1">
      <alignment horizontal="right" wrapText="1"/>
    </xf>
    <xf numFmtId="49" fontId="29" fillId="2" borderId="5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vertical="center"/>
    </xf>
    <xf numFmtId="0" fontId="6" fillId="0" borderId="0" xfId="0" quotePrefix="1" applyFont="1" applyAlignment="1">
      <alignment horizontal="right" vertical="center"/>
    </xf>
    <xf numFmtId="0" fontId="29" fillId="2" borderId="4" xfId="0" applyFont="1" applyFill="1" applyBorder="1" applyAlignment="1">
      <alignment horizontal="left"/>
    </xf>
    <xf numFmtId="49" fontId="29" fillId="2" borderId="48" xfId="0" applyNumberFormat="1" applyFont="1" applyFill="1" applyBorder="1" applyAlignment="1">
      <alignment horizontal="right"/>
    </xf>
    <xf numFmtId="49" fontId="29" fillId="2" borderId="49" xfId="0" applyNumberFormat="1" applyFont="1" applyFill="1" applyBorder="1" applyAlignment="1">
      <alignment horizontal="right"/>
    </xf>
    <xf numFmtId="0" fontId="29" fillId="2" borderId="4" xfId="0" applyFont="1" applyFill="1" applyBorder="1" applyAlignment="1">
      <alignment horizontal="right"/>
    </xf>
    <xf numFmtId="0" fontId="30" fillId="0" borderId="0" xfId="0" applyFont="1" applyAlignment="1">
      <alignment horizontal="center"/>
    </xf>
    <xf numFmtId="0" fontId="30" fillId="0" borderId="0" xfId="0" applyFont="1"/>
    <xf numFmtId="0" fontId="4" fillId="3" borderId="52" xfId="0" applyFont="1" applyFill="1" applyBorder="1" applyAlignment="1">
      <alignment horizontal="left"/>
    </xf>
    <xf numFmtId="165" fontId="4" fillId="3" borderId="3" xfId="0" applyNumberFormat="1" applyFont="1" applyFill="1" applyBorder="1" applyAlignment="1">
      <alignment horizontal="right"/>
    </xf>
    <xf numFmtId="165" fontId="4" fillId="3" borderId="53" xfId="0" applyNumberFormat="1" applyFont="1" applyFill="1" applyBorder="1" applyAlignment="1">
      <alignment horizontal="right"/>
    </xf>
    <xf numFmtId="0" fontId="4" fillId="3" borderId="26" xfId="0" applyFont="1" applyFill="1" applyBorder="1" applyAlignment="1">
      <alignment horizontal="left"/>
    </xf>
    <xf numFmtId="2" fontId="4" fillId="3" borderId="6" xfId="0" applyNumberFormat="1" applyFont="1" applyFill="1" applyBorder="1" applyAlignment="1">
      <alignment horizontal="right"/>
    </xf>
    <xf numFmtId="2" fontId="4" fillId="3" borderId="54" xfId="0" applyNumberFormat="1" applyFont="1" applyFill="1" applyBorder="1" applyAlignment="1">
      <alignment horizontal="right"/>
    </xf>
    <xf numFmtId="0" fontId="4" fillId="3" borderId="27" xfId="0" applyFont="1" applyFill="1" applyBorder="1" applyAlignment="1">
      <alignment horizontal="left"/>
    </xf>
    <xf numFmtId="2" fontId="4" fillId="3" borderId="8" xfId="0" applyNumberFormat="1" applyFont="1" applyFill="1" applyBorder="1" applyAlignment="1">
      <alignment horizontal="right"/>
    </xf>
    <xf numFmtId="2" fontId="4" fillId="3" borderId="55" xfId="0" applyNumberFormat="1" applyFont="1" applyFill="1" applyBorder="1" applyAlignment="1">
      <alignment horizontal="right"/>
    </xf>
    <xf numFmtId="0" fontId="4" fillId="3" borderId="28" xfId="0" applyFont="1" applyFill="1" applyBorder="1" applyAlignment="1">
      <alignment horizontal="left"/>
    </xf>
    <xf numFmtId="2" fontId="4" fillId="3" borderId="11" xfId="0" applyNumberFormat="1" applyFont="1" applyFill="1" applyBorder="1" applyAlignment="1">
      <alignment horizontal="right"/>
    </xf>
    <xf numFmtId="2" fontId="4" fillId="3" borderId="56" xfId="0" applyNumberFormat="1" applyFont="1" applyFill="1" applyBorder="1" applyAlignment="1">
      <alignment horizontal="right"/>
    </xf>
    <xf numFmtId="0" fontId="4" fillId="4" borderId="26" xfId="0" applyFont="1" applyFill="1" applyBorder="1" applyAlignment="1">
      <alignment horizontal="left"/>
    </xf>
    <xf numFmtId="2" fontId="4" fillId="4" borderId="6" xfId="0" applyNumberFormat="1" applyFont="1" applyFill="1" applyBorder="1" applyAlignment="1">
      <alignment horizontal="right"/>
    </xf>
    <xf numFmtId="2" fontId="4" fillId="4" borderId="54" xfId="0" applyNumberFormat="1" applyFont="1" applyFill="1" applyBorder="1" applyAlignment="1">
      <alignment horizontal="right"/>
    </xf>
    <xf numFmtId="0" fontId="4" fillId="4" borderId="27" xfId="0" applyFont="1" applyFill="1" applyBorder="1" applyAlignment="1">
      <alignment horizontal="left"/>
    </xf>
    <xf numFmtId="2" fontId="4" fillId="4" borderId="8" xfId="0" applyNumberFormat="1" applyFont="1" applyFill="1" applyBorder="1" applyAlignment="1">
      <alignment horizontal="right"/>
    </xf>
    <xf numFmtId="2" fontId="4" fillId="4" borderId="55" xfId="0" applyNumberFormat="1" applyFont="1" applyFill="1" applyBorder="1" applyAlignment="1">
      <alignment horizontal="right"/>
    </xf>
    <xf numFmtId="0" fontId="6" fillId="0" borderId="3" xfId="0" applyFont="1" applyBorder="1"/>
    <xf numFmtId="0" fontId="6" fillId="0" borderId="13" xfId="0" applyFont="1" applyBorder="1"/>
    <xf numFmtId="9" fontId="6" fillId="0" borderId="13" xfId="0" applyNumberFormat="1" applyFont="1" applyBorder="1"/>
    <xf numFmtId="9" fontId="6" fillId="0" borderId="15" xfId="0" applyNumberFormat="1" applyFont="1" applyBorder="1"/>
    <xf numFmtId="0" fontId="6" fillId="0" borderId="15" xfId="0" applyFont="1" applyBorder="1"/>
    <xf numFmtId="0" fontId="6" fillId="0" borderId="16" xfId="0" applyFont="1" applyBorder="1"/>
    <xf numFmtId="9" fontId="6" fillId="0" borderId="16" xfId="0" applyNumberFormat="1" applyFont="1" applyBorder="1"/>
    <xf numFmtId="169" fontId="30" fillId="0" borderId="0" xfId="0" applyNumberFormat="1" applyFont="1"/>
    <xf numFmtId="44" fontId="6" fillId="0" borderId="0" xfId="0" applyNumberFormat="1" applyFont="1"/>
    <xf numFmtId="9" fontId="4" fillId="3" borderId="3" xfId="0" applyNumberFormat="1" applyFont="1" applyFill="1" applyBorder="1" applyAlignment="1">
      <alignment horizontal="right"/>
    </xf>
    <xf numFmtId="0" fontId="6" fillId="0" borderId="57" xfId="0" applyFont="1" applyBorder="1"/>
    <xf numFmtId="9" fontId="4" fillId="5" borderId="3" xfId="0" applyNumberFormat="1" applyFont="1" applyFill="1" applyBorder="1" applyAlignment="1">
      <alignment horizontal="right"/>
    </xf>
    <xf numFmtId="2" fontId="19" fillId="0" borderId="0" xfId="0" applyNumberFormat="1" applyFont="1"/>
    <xf numFmtId="164" fontId="7" fillId="9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9" fillId="0" borderId="3" xfId="0" applyFont="1" applyBorder="1" applyAlignment="1">
      <alignment horizontal="left"/>
    </xf>
    <xf numFmtId="2" fontId="9" fillId="0" borderId="3" xfId="0" applyNumberFormat="1" applyFont="1" applyBorder="1"/>
    <xf numFmtId="0" fontId="6" fillId="9" borderId="4" xfId="0" applyFont="1" applyFill="1" applyBorder="1"/>
    <xf numFmtId="0" fontId="6" fillId="9" borderId="48" xfId="0" applyFont="1" applyFill="1" applyBorder="1"/>
    <xf numFmtId="0" fontId="6" fillId="9" borderId="49" xfId="0" applyFont="1" applyFill="1" applyBorder="1"/>
    <xf numFmtId="0" fontId="6" fillId="10" borderId="49" xfId="0" applyFont="1" applyFill="1" applyBorder="1"/>
    <xf numFmtId="0" fontId="6" fillId="9" borderId="12" xfId="0" applyFont="1" applyFill="1" applyBorder="1"/>
    <xf numFmtId="0" fontId="6" fillId="10" borderId="51" xfId="0" applyFont="1" applyFill="1" applyBorder="1"/>
    <xf numFmtId="0" fontId="6" fillId="9" borderId="7" xfId="0" applyFont="1" applyFill="1" applyBorder="1"/>
    <xf numFmtId="0" fontId="6" fillId="9" borderId="45" xfId="0" applyFont="1" applyFill="1" applyBorder="1"/>
    <xf numFmtId="0" fontId="6" fillId="9" borderId="44" xfId="0" applyFont="1" applyFill="1" applyBorder="1"/>
    <xf numFmtId="0" fontId="6" fillId="9" borderId="50" xfId="0" applyFont="1" applyFill="1" applyBorder="1"/>
    <xf numFmtId="0" fontId="6" fillId="9" borderId="51" xfId="0" applyFont="1" applyFill="1" applyBorder="1"/>
    <xf numFmtId="0" fontId="31" fillId="0" borderId="0" xfId="0" applyFont="1"/>
    <xf numFmtId="0" fontId="32" fillId="9" borderId="3" xfId="0" applyFont="1" applyFill="1" applyBorder="1" applyAlignment="1">
      <alignment horizontal="center" vertical="center"/>
    </xf>
    <xf numFmtId="164" fontId="9" fillId="11" borderId="3" xfId="0" applyNumberFormat="1" applyFont="1" applyFill="1" applyBorder="1" applyAlignment="1">
      <alignment horizontal="right"/>
    </xf>
    <xf numFmtId="166" fontId="9" fillId="11" borderId="3" xfId="0" applyNumberFormat="1" applyFont="1" applyFill="1" applyBorder="1" applyAlignment="1">
      <alignment horizontal="right"/>
    </xf>
    <xf numFmtId="170" fontId="9" fillId="11" borderId="3" xfId="0" applyNumberFormat="1" applyFont="1" applyFill="1" applyBorder="1" applyAlignment="1">
      <alignment horizontal="right"/>
    </xf>
    <xf numFmtId="167" fontId="9" fillId="11" borderId="3" xfId="0" applyNumberFormat="1" applyFont="1" applyFill="1" applyBorder="1" applyAlignment="1">
      <alignment horizontal="right"/>
    </xf>
    <xf numFmtId="0" fontId="33" fillId="0" borderId="0" xfId="0" applyFont="1"/>
    <xf numFmtId="171" fontId="9" fillId="11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/>
    </xf>
    <xf numFmtId="2" fontId="3" fillId="5" borderId="3" xfId="0" applyNumberFormat="1" applyFont="1" applyFill="1" applyBorder="1"/>
    <xf numFmtId="0" fontId="6" fillId="9" borderId="3" xfId="0" applyFont="1" applyFill="1" applyBorder="1" applyAlignment="1">
      <alignment horizontal="right"/>
    </xf>
    <xf numFmtId="0" fontId="34" fillId="9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wrapText="1"/>
    </xf>
    <xf numFmtId="0" fontId="6" fillId="9" borderId="3" xfId="0" applyFont="1" applyFill="1" applyBorder="1" applyAlignment="1">
      <alignment horizontal="center" wrapText="1"/>
    </xf>
    <xf numFmtId="1" fontId="6" fillId="0" borderId="3" xfId="0" applyNumberFormat="1" applyFont="1" applyBorder="1"/>
    <xf numFmtId="2" fontId="6" fillId="0" borderId="3" xfId="0" applyNumberFormat="1" applyFont="1" applyBorder="1"/>
    <xf numFmtId="10" fontId="6" fillId="0" borderId="0" xfId="0" applyNumberFormat="1" applyFont="1"/>
    <xf numFmtId="165" fontId="6" fillId="4" borderId="1" xfId="0" applyNumberFormat="1" applyFont="1" applyFill="1" applyBorder="1"/>
    <xf numFmtId="0" fontId="17" fillId="6" borderId="35" xfId="0" applyFont="1" applyFill="1" applyBorder="1" applyAlignment="1">
      <alignment horizontal="center" wrapText="1"/>
    </xf>
    <xf numFmtId="0" fontId="18" fillId="0" borderId="36" xfId="0" applyFont="1" applyBorder="1"/>
    <xf numFmtId="0" fontId="18" fillId="0" borderId="37" xfId="0" applyFont="1" applyBorder="1"/>
    <xf numFmtId="10" fontId="12" fillId="0" borderId="41" xfId="0" applyNumberFormat="1" applyFont="1" applyBorder="1" applyAlignment="1">
      <alignment horizontal="center"/>
    </xf>
    <xf numFmtId="0" fontId="18" fillId="0" borderId="42" xfId="0" applyFont="1" applyBorder="1"/>
    <xf numFmtId="0" fontId="18" fillId="0" borderId="22" xfId="0" applyFont="1" applyBorder="1"/>
    <xf numFmtId="164" fontId="28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</cellXfs>
  <cellStyles count="1">
    <cellStyle name="Normal" xfId="0" builtinId="0"/>
  </cellStyles>
  <dxfs count="19">
    <dxf>
      <fill>
        <patternFill patternType="solid">
          <fgColor rgb="FFD0CECE"/>
          <bgColor rgb="FFD0CECE"/>
        </patternFill>
      </fill>
    </dxf>
    <dxf>
      <fill>
        <patternFill patternType="solid">
          <fgColor rgb="FFDADADA"/>
          <bgColor rgb="FFDADADA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D0CECE"/>
          <bgColor rgb="FFD0CE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TERA\RATES\UPS\RATE98\ZONE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ress"/>
      <sheetName val="Expedited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3300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5703125" defaultRowHeight="15" customHeight="1"/>
  <cols>
    <col min="1" max="1" width="6" customWidth="1"/>
    <col min="2" max="3" width="5.7109375" customWidth="1"/>
    <col min="4" max="8" width="6.5703125" customWidth="1"/>
    <col min="9" max="9" width="11.42578125" customWidth="1"/>
    <col min="10" max="10" width="11.140625" customWidth="1"/>
    <col min="11" max="11" width="10.7109375" customWidth="1"/>
    <col min="12" max="12" width="10.42578125" customWidth="1"/>
    <col min="13" max="26" width="8.5703125" customWidth="1"/>
  </cols>
  <sheetData>
    <row r="1" spans="1:26" ht="12.75" customHeight="1">
      <c r="A1" s="1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3" t="s">
        <v>1</v>
      </c>
      <c r="J1" s="3" t="s">
        <v>2</v>
      </c>
      <c r="K1" s="3" t="s">
        <v>3</v>
      </c>
      <c r="L1" s="3" t="s">
        <v>4</v>
      </c>
    </row>
    <row r="2" spans="1:26" ht="12.75" customHeight="1">
      <c r="A2" s="1" t="s">
        <v>5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6">
        <v>45.22</v>
      </c>
      <c r="C3" s="6">
        <v>67.03</v>
      </c>
      <c r="D3" s="6">
        <v>85.63</v>
      </c>
      <c r="E3" s="6">
        <v>94.68</v>
      </c>
      <c r="F3" s="6">
        <v>99.68</v>
      </c>
      <c r="G3" s="6">
        <v>110.55</v>
      </c>
      <c r="H3" s="7">
        <v>113.48</v>
      </c>
      <c r="I3" s="6">
        <v>130.21</v>
      </c>
      <c r="J3" s="6">
        <v>130.21</v>
      </c>
      <c r="K3" s="7">
        <v>165.58</v>
      </c>
      <c r="L3" s="7">
        <v>165.58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9">
        <v>2</v>
      </c>
      <c r="B4" s="10">
        <v>45.82</v>
      </c>
      <c r="C4" s="10">
        <v>67.44</v>
      </c>
      <c r="D4" s="10">
        <v>93.5</v>
      </c>
      <c r="E4" s="10">
        <v>101.66</v>
      </c>
      <c r="F4" s="10">
        <v>104.69</v>
      </c>
      <c r="G4" s="10">
        <v>117.88</v>
      </c>
      <c r="H4" s="11">
        <v>129.96</v>
      </c>
      <c r="I4" s="10">
        <v>142.11000000000001</v>
      </c>
      <c r="J4" s="10">
        <v>142.11000000000001</v>
      </c>
      <c r="K4" s="11">
        <v>178.76</v>
      </c>
      <c r="L4" s="11">
        <v>178.76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3">
        <v>3</v>
      </c>
      <c r="B5" s="14">
        <v>49.99</v>
      </c>
      <c r="C5" s="14">
        <v>74.790000000000006</v>
      </c>
      <c r="D5" s="14">
        <v>103.55</v>
      </c>
      <c r="E5" s="14">
        <v>116.19</v>
      </c>
      <c r="F5" s="14">
        <v>124.94</v>
      </c>
      <c r="G5" s="14">
        <v>137.19</v>
      </c>
      <c r="H5" s="15">
        <v>142.07</v>
      </c>
      <c r="I5" s="14">
        <v>152.97</v>
      </c>
      <c r="J5" s="14">
        <v>152.97</v>
      </c>
      <c r="K5" s="15">
        <v>213.45</v>
      </c>
      <c r="L5" s="15">
        <v>213.45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3">
        <v>4</v>
      </c>
      <c r="B6" s="14">
        <v>54.54</v>
      </c>
      <c r="C6" s="14">
        <v>76.36</v>
      </c>
      <c r="D6" s="14">
        <v>115.82</v>
      </c>
      <c r="E6" s="14">
        <v>127.23</v>
      </c>
      <c r="F6" s="14">
        <v>131.86000000000001</v>
      </c>
      <c r="G6" s="14">
        <v>149</v>
      </c>
      <c r="H6" s="15">
        <v>154.6</v>
      </c>
      <c r="I6" s="14">
        <v>174.21</v>
      </c>
      <c r="J6" s="14">
        <v>174.21</v>
      </c>
      <c r="K6" s="15">
        <v>235.88</v>
      </c>
      <c r="L6" s="15">
        <v>235.88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6">
        <v>5</v>
      </c>
      <c r="B7" s="17">
        <v>55</v>
      </c>
      <c r="C7" s="17">
        <v>77.540000000000006</v>
      </c>
      <c r="D7" s="17">
        <v>120.37</v>
      </c>
      <c r="E7" s="17">
        <v>128.37</v>
      </c>
      <c r="F7" s="17">
        <v>133.09</v>
      </c>
      <c r="G7" s="17">
        <v>151.06</v>
      </c>
      <c r="H7" s="18">
        <v>155.88</v>
      </c>
      <c r="I7" s="17">
        <v>188.54</v>
      </c>
      <c r="J7" s="17">
        <v>188.54</v>
      </c>
      <c r="K7" s="18">
        <v>246.5</v>
      </c>
      <c r="L7" s="18">
        <v>246.5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9">
        <v>6</v>
      </c>
      <c r="B8" s="20">
        <v>63.04</v>
      </c>
      <c r="C8" s="20">
        <v>86.74</v>
      </c>
      <c r="D8" s="21">
        <v>133</v>
      </c>
      <c r="E8" s="21">
        <v>150.13999999999999</v>
      </c>
      <c r="F8" s="21">
        <v>157.05000000000001</v>
      </c>
      <c r="G8" s="21">
        <v>173.27</v>
      </c>
      <c r="H8" s="22">
        <v>180.72</v>
      </c>
      <c r="I8" s="21">
        <v>202.2</v>
      </c>
      <c r="J8" s="21">
        <v>202.2</v>
      </c>
      <c r="K8" s="22">
        <v>261.61</v>
      </c>
      <c r="L8" s="22">
        <v>261.61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3">
        <v>7</v>
      </c>
      <c r="B9" s="24">
        <v>63.86</v>
      </c>
      <c r="C9" s="24">
        <v>91.26</v>
      </c>
      <c r="D9" s="25">
        <v>138.94</v>
      </c>
      <c r="E9" s="25">
        <v>157.53</v>
      </c>
      <c r="F9" s="25">
        <v>163.51</v>
      </c>
      <c r="G9" s="25">
        <v>180.85</v>
      </c>
      <c r="H9" s="26">
        <v>193.09</v>
      </c>
      <c r="I9" s="25">
        <v>215.57</v>
      </c>
      <c r="J9" s="25">
        <v>215.57</v>
      </c>
      <c r="K9" s="26">
        <v>276.72000000000003</v>
      </c>
      <c r="L9" s="26">
        <v>276.72000000000003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9">
        <v>8</v>
      </c>
      <c r="B10" s="24">
        <v>64.14</v>
      </c>
      <c r="C10" s="24">
        <v>91.72</v>
      </c>
      <c r="D10" s="25">
        <v>144.97999999999999</v>
      </c>
      <c r="E10" s="25">
        <v>163.65</v>
      </c>
      <c r="F10" s="25">
        <v>171.21</v>
      </c>
      <c r="G10" s="25">
        <v>191.53</v>
      </c>
      <c r="H10" s="26">
        <v>199.1</v>
      </c>
      <c r="I10" s="25">
        <v>228.62</v>
      </c>
      <c r="J10" s="25">
        <v>228.62</v>
      </c>
      <c r="K10" s="26">
        <v>288.25</v>
      </c>
      <c r="L10" s="26">
        <v>288.25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9">
        <v>9</v>
      </c>
      <c r="B11" s="24">
        <v>64.42</v>
      </c>
      <c r="C11" s="24">
        <v>92.35</v>
      </c>
      <c r="D11" s="25">
        <v>150.13999999999999</v>
      </c>
      <c r="E11" s="25">
        <v>164.27</v>
      </c>
      <c r="F11" s="25">
        <v>171.99</v>
      </c>
      <c r="G11" s="25">
        <v>192.61</v>
      </c>
      <c r="H11" s="26">
        <v>199.71</v>
      </c>
      <c r="I11" s="25">
        <v>243.4</v>
      </c>
      <c r="J11" s="25">
        <v>243.4</v>
      </c>
      <c r="K11" s="26">
        <v>302.35000000000002</v>
      </c>
      <c r="L11" s="26">
        <v>302.35000000000002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7">
        <v>10</v>
      </c>
      <c r="B12" s="28">
        <v>65</v>
      </c>
      <c r="C12" s="28">
        <v>93.56</v>
      </c>
      <c r="D12" s="29">
        <v>151.83000000000001</v>
      </c>
      <c r="E12" s="29">
        <v>166.56</v>
      </c>
      <c r="F12" s="29">
        <v>174.38</v>
      </c>
      <c r="G12" s="29">
        <v>194.47</v>
      </c>
      <c r="H12" s="30">
        <v>201.47</v>
      </c>
      <c r="I12" s="29">
        <v>257.64999999999998</v>
      </c>
      <c r="J12" s="29">
        <v>257.64999999999998</v>
      </c>
      <c r="K12" s="30">
        <v>304.14999999999998</v>
      </c>
      <c r="L12" s="30">
        <v>304.14999999999998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3">
        <v>11</v>
      </c>
      <c r="B13" s="10">
        <v>76.36</v>
      </c>
      <c r="C13" s="10">
        <v>108.13</v>
      </c>
      <c r="D13" s="10">
        <v>185.22</v>
      </c>
      <c r="E13" s="10">
        <v>212.36</v>
      </c>
      <c r="F13" s="10">
        <v>221.76</v>
      </c>
      <c r="G13" s="10">
        <v>231.67</v>
      </c>
      <c r="H13" s="11">
        <v>236.32</v>
      </c>
      <c r="I13" s="10">
        <v>279.99</v>
      </c>
      <c r="J13" s="10">
        <v>279.99</v>
      </c>
      <c r="K13" s="11">
        <v>340.06</v>
      </c>
      <c r="L13" s="11">
        <v>340.06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3">
        <v>12</v>
      </c>
      <c r="B14" s="14">
        <v>78.16</v>
      </c>
      <c r="C14" s="14">
        <v>113.81</v>
      </c>
      <c r="D14" s="14">
        <v>189.38</v>
      </c>
      <c r="E14" s="14">
        <v>222.41</v>
      </c>
      <c r="F14" s="14">
        <v>231.15</v>
      </c>
      <c r="G14" s="14">
        <v>236.54</v>
      </c>
      <c r="H14" s="15">
        <v>241.29</v>
      </c>
      <c r="I14" s="14">
        <v>298.87</v>
      </c>
      <c r="J14" s="14">
        <v>298.87</v>
      </c>
      <c r="K14" s="15">
        <v>352.77</v>
      </c>
      <c r="L14" s="15">
        <v>352.77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3">
        <v>13</v>
      </c>
      <c r="B15" s="14">
        <v>78.45</v>
      </c>
      <c r="C15" s="14">
        <v>114.93</v>
      </c>
      <c r="D15" s="14">
        <v>193.63</v>
      </c>
      <c r="E15" s="14">
        <v>227.34</v>
      </c>
      <c r="F15" s="14">
        <v>232.1</v>
      </c>
      <c r="G15" s="14">
        <v>257.52999999999997</v>
      </c>
      <c r="H15" s="15">
        <v>262.7</v>
      </c>
      <c r="I15" s="14">
        <v>309.56</v>
      </c>
      <c r="J15" s="14">
        <v>309.56</v>
      </c>
      <c r="K15" s="15">
        <v>359.06</v>
      </c>
      <c r="L15" s="15">
        <v>359.06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3">
        <v>14</v>
      </c>
      <c r="B16" s="14">
        <v>80.05</v>
      </c>
      <c r="C16" s="14">
        <v>116.31</v>
      </c>
      <c r="D16" s="14">
        <v>202.12</v>
      </c>
      <c r="E16" s="14">
        <v>227.84</v>
      </c>
      <c r="F16" s="14">
        <v>232.41</v>
      </c>
      <c r="G16" s="14">
        <v>259.64</v>
      </c>
      <c r="H16" s="15">
        <v>264.85000000000002</v>
      </c>
      <c r="I16" s="14">
        <v>310.63</v>
      </c>
      <c r="J16" s="14">
        <v>310.63</v>
      </c>
      <c r="K16" s="15">
        <v>359.7</v>
      </c>
      <c r="L16" s="15">
        <v>359.7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3">
        <v>15</v>
      </c>
      <c r="B17" s="17">
        <v>80.34</v>
      </c>
      <c r="C17" s="17">
        <v>117.02</v>
      </c>
      <c r="D17" s="17">
        <v>205.64</v>
      </c>
      <c r="E17" s="17">
        <v>229.28</v>
      </c>
      <c r="F17" s="17">
        <v>233.87</v>
      </c>
      <c r="G17" s="17">
        <v>260.98</v>
      </c>
      <c r="H17" s="18">
        <v>266.20999999999998</v>
      </c>
      <c r="I17" s="17">
        <v>332.03</v>
      </c>
      <c r="J17" s="17">
        <v>332.03</v>
      </c>
      <c r="K17" s="18">
        <v>372.27</v>
      </c>
      <c r="L17" s="18">
        <v>372.27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1">
        <v>16</v>
      </c>
      <c r="B18" s="20">
        <v>85.56</v>
      </c>
      <c r="C18" s="20">
        <v>128.61000000000001</v>
      </c>
      <c r="D18" s="21">
        <v>220.11</v>
      </c>
      <c r="E18" s="21">
        <v>257.87</v>
      </c>
      <c r="F18" s="21">
        <v>263.04000000000002</v>
      </c>
      <c r="G18" s="21">
        <v>287.38</v>
      </c>
      <c r="H18" s="22">
        <v>293.14</v>
      </c>
      <c r="I18" s="21">
        <v>345.19</v>
      </c>
      <c r="J18" s="21">
        <v>345.19</v>
      </c>
      <c r="K18" s="22">
        <v>386.7</v>
      </c>
      <c r="L18" s="22">
        <v>386.7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9">
        <v>17</v>
      </c>
      <c r="B19" s="24">
        <v>90.48</v>
      </c>
      <c r="C19" s="24">
        <v>129.99</v>
      </c>
      <c r="D19" s="25">
        <v>232.39</v>
      </c>
      <c r="E19" s="25">
        <v>260.74</v>
      </c>
      <c r="F19" s="25">
        <v>265.97000000000003</v>
      </c>
      <c r="G19" s="25">
        <v>290.02999999999997</v>
      </c>
      <c r="H19" s="26">
        <v>295.83999999999997</v>
      </c>
      <c r="I19" s="25">
        <v>352.86</v>
      </c>
      <c r="J19" s="25">
        <v>352.86</v>
      </c>
      <c r="K19" s="26">
        <v>403.4</v>
      </c>
      <c r="L19" s="26">
        <v>403.4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9">
        <v>18</v>
      </c>
      <c r="B20" s="24">
        <v>91.2</v>
      </c>
      <c r="C20" s="24">
        <v>130.69999999999999</v>
      </c>
      <c r="D20" s="25">
        <v>233.8</v>
      </c>
      <c r="E20" s="25">
        <v>261.05</v>
      </c>
      <c r="F20" s="25">
        <v>266.29000000000002</v>
      </c>
      <c r="G20" s="25">
        <v>290.3</v>
      </c>
      <c r="H20" s="26">
        <v>296.12</v>
      </c>
      <c r="I20" s="25">
        <v>361.58</v>
      </c>
      <c r="J20" s="25">
        <v>361.58</v>
      </c>
      <c r="K20" s="26">
        <v>417.77</v>
      </c>
      <c r="L20" s="26">
        <v>417.77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9">
        <v>19</v>
      </c>
      <c r="B21" s="24">
        <v>91.79</v>
      </c>
      <c r="C21" s="24">
        <v>130.97999999999999</v>
      </c>
      <c r="D21" s="25">
        <v>234.07</v>
      </c>
      <c r="E21" s="25">
        <v>261.3</v>
      </c>
      <c r="F21" s="25">
        <v>266.52999999999997</v>
      </c>
      <c r="G21" s="25">
        <v>290.57</v>
      </c>
      <c r="H21" s="26">
        <v>296.39</v>
      </c>
      <c r="I21" s="25">
        <v>373.6</v>
      </c>
      <c r="J21" s="25">
        <v>373.6</v>
      </c>
      <c r="K21" s="26">
        <v>427.89</v>
      </c>
      <c r="L21" s="26">
        <v>427.89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9">
        <v>20</v>
      </c>
      <c r="B22" s="28">
        <v>92.26</v>
      </c>
      <c r="C22" s="28">
        <v>134.03</v>
      </c>
      <c r="D22" s="29">
        <v>235.16</v>
      </c>
      <c r="E22" s="29">
        <v>261.82</v>
      </c>
      <c r="F22" s="29">
        <v>267.36</v>
      </c>
      <c r="G22" s="29">
        <v>291.42</v>
      </c>
      <c r="H22" s="30">
        <v>297.86</v>
      </c>
      <c r="I22" s="29">
        <v>380.94</v>
      </c>
      <c r="J22" s="29">
        <v>380.94</v>
      </c>
      <c r="K22" s="30">
        <v>445.29</v>
      </c>
      <c r="L22" s="30">
        <v>445.29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2">
        <v>21</v>
      </c>
      <c r="B23" s="10">
        <v>96.29</v>
      </c>
      <c r="C23" s="10">
        <v>137.57</v>
      </c>
      <c r="D23" s="10">
        <v>256.54000000000002</v>
      </c>
      <c r="E23" s="10">
        <v>271.91000000000003</v>
      </c>
      <c r="F23" s="10">
        <v>283.7</v>
      </c>
      <c r="G23" s="10">
        <v>308.10000000000002</v>
      </c>
      <c r="H23" s="11">
        <v>327.13</v>
      </c>
      <c r="I23" s="10">
        <v>389.71</v>
      </c>
      <c r="J23" s="10">
        <v>389.71</v>
      </c>
      <c r="K23" s="11">
        <v>464.24</v>
      </c>
      <c r="L23" s="11">
        <v>464.24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3">
        <v>22</v>
      </c>
      <c r="B24" s="14">
        <v>100.72</v>
      </c>
      <c r="C24" s="14">
        <v>145.18</v>
      </c>
      <c r="D24" s="14">
        <v>263.16000000000003</v>
      </c>
      <c r="E24" s="14">
        <v>279.79000000000002</v>
      </c>
      <c r="F24" s="14">
        <v>285.7</v>
      </c>
      <c r="G24" s="14">
        <v>323.31</v>
      </c>
      <c r="H24" s="15">
        <v>338.23</v>
      </c>
      <c r="I24" s="14">
        <v>398.45</v>
      </c>
      <c r="J24" s="14">
        <v>398.45</v>
      </c>
      <c r="K24" s="15">
        <v>466.14</v>
      </c>
      <c r="L24" s="15">
        <v>466.14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3">
        <v>23</v>
      </c>
      <c r="B25" s="14">
        <v>101.27</v>
      </c>
      <c r="C25" s="14">
        <v>145.97</v>
      </c>
      <c r="D25" s="14">
        <v>270.45</v>
      </c>
      <c r="E25" s="14">
        <v>293.11</v>
      </c>
      <c r="F25" s="14">
        <v>308.75</v>
      </c>
      <c r="G25" s="14">
        <v>340.99</v>
      </c>
      <c r="H25" s="15">
        <v>347.82</v>
      </c>
      <c r="I25" s="14">
        <v>409.28</v>
      </c>
      <c r="J25" s="14">
        <v>409.28</v>
      </c>
      <c r="K25" s="15">
        <v>479.53</v>
      </c>
      <c r="L25" s="15">
        <v>479.53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3">
        <v>24</v>
      </c>
      <c r="B26" s="14">
        <v>103.58</v>
      </c>
      <c r="C26" s="14">
        <v>146.57</v>
      </c>
      <c r="D26" s="14">
        <v>274.33</v>
      </c>
      <c r="E26" s="14">
        <v>304.95</v>
      </c>
      <c r="F26" s="14">
        <v>311.06</v>
      </c>
      <c r="G26" s="14">
        <v>347.87</v>
      </c>
      <c r="H26" s="15">
        <v>354.83</v>
      </c>
      <c r="I26" s="14">
        <v>417.01</v>
      </c>
      <c r="J26" s="14">
        <v>417.01</v>
      </c>
      <c r="K26" s="15">
        <v>480.87</v>
      </c>
      <c r="L26" s="15">
        <v>480.87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6">
        <v>25</v>
      </c>
      <c r="B27" s="17">
        <v>104.49</v>
      </c>
      <c r="C27" s="17">
        <v>149.94</v>
      </c>
      <c r="D27" s="17">
        <v>288.54000000000002</v>
      </c>
      <c r="E27" s="17">
        <v>306.18</v>
      </c>
      <c r="F27" s="17">
        <v>317.11</v>
      </c>
      <c r="G27" s="17">
        <v>348.76</v>
      </c>
      <c r="H27" s="18">
        <v>355.74</v>
      </c>
      <c r="I27" s="17">
        <v>430.16</v>
      </c>
      <c r="J27" s="17">
        <v>430.16</v>
      </c>
      <c r="K27" s="18">
        <v>483.51</v>
      </c>
      <c r="L27" s="18">
        <v>483.51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9">
        <v>26</v>
      </c>
      <c r="B28" s="20">
        <v>110.54</v>
      </c>
      <c r="C28" s="20">
        <v>158.85</v>
      </c>
      <c r="D28" s="21">
        <v>299.89999999999998</v>
      </c>
      <c r="E28" s="21">
        <v>321.68</v>
      </c>
      <c r="F28" s="21">
        <v>340.47</v>
      </c>
      <c r="G28" s="21">
        <v>357.48</v>
      </c>
      <c r="H28" s="22">
        <v>373.47</v>
      </c>
      <c r="I28" s="21">
        <v>436.68</v>
      </c>
      <c r="J28" s="21">
        <v>436.68</v>
      </c>
      <c r="K28" s="22">
        <v>497.41</v>
      </c>
      <c r="L28" s="22">
        <v>497.41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3">
        <v>27</v>
      </c>
      <c r="B29" s="24">
        <v>111.15</v>
      </c>
      <c r="C29" s="24">
        <v>160.04</v>
      </c>
      <c r="D29" s="25">
        <v>301.54000000000002</v>
      </c>
      <c r="E29" s="25">
        <v>323.23</v>
      </c>
      <c r="F29" s="25">
        <v>342.82</v>
      </c>
      <c r="G29" s="25">
        <v>359.87</v>
      </c>
      <c r="H29" s="26">
        <v>383.66</v>
      </c>
      <c r="I29" s="25">
        <v>445.74</v>
      </c>
      <c r="J29" s="25">
        <v>445.74</v>
      </c>
      <c r="K29" s="26">
        <v>505.02</v>
      </c>
      <c r="L29" s="26">
        <v>505.02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3">
        <v>28</v>
      </c>
      <c r="B30" s="24">
        <v>113.79</v>
      </c>
      <c r="C30" s="24">
        <v>160.59</v>
      </c>
      <c r="D30" s="25">
        <v>315.61</v>
      </c>
      <c r="E30" s="25">
        <v>338.53</v>
      </c>
      <c r="F30" s="25">
        <v>350.99</v>
      </c>
      <c r="G30" s="25">
        <v>374.37</v>
      </c>
      <c r="H30" s="26">
        <v>399.85</v>
      </c>
      <c r="I30" s="25">
        <v>454.09</v>
      </c>
      <c r="J30" s="25">
        <v>454.09</v>
      </c>
      <c r="K30" s="26">
        <v>514.80999999999995</v>
      </c>
      <c r="L30" s="26">
        <v>514.80999999999995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3">
        <v>29</v>
      </c>
      <c r="B31" s="24">
        <v>114.06</v>
      </c>
      <c r="C31" s="24">
        <v>161.41</v>
      </c>
      <c r="D31" s="25">
        <v>322.81</v>
      </c>
      <c r="E31" s="25">
        <v>340.06</v>
      </c>
      <c r="F31" s="25">
        <v>351.81</v>
      </c>
      <c r="G31" s="25">
        <v>385.15</v>
      </c>
      <c r="H31" s="26">
        <v>401.95</v>
      </c>
      <c r="I31" s="25">
        <v>461.3</v>
      </c>
      <c r="J31" s="25">
        <v>461.3</v>
      </c>
      <c r="K31" s="26">
        <v>525.44000000000005</v>
      </c>
      <c r="L31" s="26">
        <v>525.44000000000005</v>
      </c>
    </row>
    <row r="32" spans="1:26" ht="12.75" customHeight="1">
      <c r="A32" s="23">
        <v>30</v>
      </c>
      <c r="B32" s="28">
        <v>114.99</v>
      </c>
      <c r="C32" s="28">
        <v>164.76</v>
      </c>
      <c r="D32" s="29">
        <v>329.29</v>
      </c>
      <c r="E32" s="29">
        <v>343.07</v>
      </c>
      <c r="F32" s="29">
        <v>353.33</v>
      </c>
      <c r="G32" s="29">
        <v>386.81</v>
      </c>
      <c r="H32" s="30">
        <v>402.71</v>
      </c>
      <c r="I32" s="29">
        <v>469.67</v>
      </c>
      <c r="J32" s="29">
        <v>469.67</v>
      </c>
      <c r="K32" s="30">
        <v>527.29</v>
      </c>
      <c r="L32" s="30">
        <v>527.29</v>
      </c>
    </row>
    <row r="33" spans="1:26" ht="12.75" customHeight="1">
      <c r="A33" s="9">
        <v>31</v>
      </c>
      <c r="B33" s="10">
        <v>118.93</v>
      </c>
      <c r="C33" s="10">
        <v>166.26</v>
      </c>
      <c r="D33" s="10">
        <v>337.27</v>
      </c>
      <c r="E33" s="10">
        <v>358.37</v>
      </c>
      <c r="F33" s="10">
        <v>383.5</v>
      </c>
      <c r="G33" s="10">
        <v>400.05</v>
      </c>
      <c r="H33" s="11">
        <v>411.02</v>
      </c>
      <c r="I33" s="10">
        <v>478.12</v>
      </c>
      <c r="J33" s="10">
        <v>478.12</v>
      </c>
      <c r="K33" s="11">
        <v>543.04999999999995</v>
      </c>
      <c r="L33" s="11">
        <v>543.04999999999995</v>
      </c>
    </row>
    <row r="34" spans="1:26" ht="12.75" customHeight="1">
      <c r="A34" s="33">
        <v>32</v>
      </c>
      <c r="B34" s="14">
        <v>122.32</v>
      </c>
      <c r="C34" s="14">
        <v>170.25</v>
      </c>
      <c r="D34" s="14">
        <v>344.42</v>
      </c>
      <c r="E34" s="14">
        <v>359.9</v>
      </c>
      <c r="F34" s="14">
        <v>386.53</v>
      </c>
      <c r="G34" s="14">
        <v>401.98</v>
      </c>
      <c r="H34" s="15">
        <v>424.42</v>
      </c>
      <c r="I34" s="14">
        <v>487.19</v>
      </c>
      <c r="J34" s="14">
        <v>487.19</v>
      </c>
      <c r="K34" s="15">
        <v>553.70000000000005</v>
      </c>
      <c r="L34" s="15">
        <v>553.70000000000005</v>
      </c>
    </row>
    <row r="35" spans="1:26" ht="12.75" customHeight="1">
      <c r="A35" s="33">
        <v>33</v>
      </c>
      <c r="B35" s="14">
        <v>125.71</v>
      </c>
      <c r="C35" s="14">
        <v>179.83</v>
      </c>
      <c r="D35" s="14">
        <v>350.06</v>
      </c>
      <c r="E35" s="14">
        <v>383.97</v>
      </c>
      <c r="F35" s="14">
        <v>393.42</v>
      </c>
      <c r="G35" s="14">
        <v>425.61</v>
      </c>
      <c r="H35" s="15">
        <v>441.32</v>
      </c>
      <c r="I35" s="14">
        <v>498.18</v>
      </c>
      <c r="J35" s="14">
        <v>498.18</v>
      </c>
      <c r="K35" s="15">
        <v>564.61</v>
      </c>
      <c r="L35" s="15">
        <v>564.61</v>
      </c>
    </row>
    <row r="36" spans="1:26" ht="12.75" customHeight="1">
      <c r="A36" s="33">
        <v>34</v>
      </c>
      <c r="B36" s="14">
        <v>128.4</v>
      </c>
      <c r="C36" s="14">
        <v>183.99</v>
      </c>
      <c r="D36" s="14">
        <v>357.48</v>
      </c>
      <c r="E36" s="14">
        <v>386.39</v>
      </c>
      <c r="F36" s="14">
        <v>394.12</v>
      </c>
      <c r="G36" s="14">
        <v>434.6</v>
      </c>
      <c r="H36" s="15">
        <v>443.31</v>
      </c>
      <c r="I36" s="14">
        <v>505.09</v>
      </c>
      <c r="J36" s="14">
        <v>505.09</v>
      </c>
      <c r="K36" s="15">
        <v>574.44000000000005</v>
      </c>
      <c r="L36" s="15">
        <v>574.44000000000005</v>
      </c>
    </row>
    <row r="37" spans="1:26" ht="12.75" customHeight="1">
      <c r="A37" s="16">
        <v>35</v>
      </c>
      <c r="B37" s="17">
        <v>131.15</v>
      </c>
      <c r="C37" s="17">
        <v>184.41</v>
      </c>
      <c r="D37" s="17">
        <v>358.25</v>
      </c>
      <c r="E37" s="17">
        <v>386.82</v>
      </c>
      <c r="F37" s="17">
        <v>394.82</v>
      </c>
      <c r="G37" s="17">
        <v>438.66</v>
      </c>
      <c r="H37" s="18">
        <v>447.44</v>
      </c>
      <c r="I37" s="17">
        <v>506.23</v>
      </c>
      <c r="J37" s="17">
        <v>506.23</v>
      </c>
      <c r="K37" s="18">
        <v>584.87</v>
      </c>
      <c r="L37" s="18">
        <v>584.87</v>
      </c>
    </row>
    <row r="38" spans="1:26" ht="12.75" customHeight="1">
      <c r="A38" s="5">
        <v>36</v>
      </c>
      <c r="B38" s="6">
        <v>136.58000000000001</v>
      </c>
      <c r="C38" s="6">
        <v>185.03</v>
      </c>
      <c r="D38" s="6">
        <v>372.42</v>
      </c>
      <c r="E38" s="6">
        <v>394.63</v>
      </c>
      <c r="F38" s="6">
        <v>408.65</v>
      </c>
      <c r="G38" s="6">
        <v>445.1</v>
      </c>
      <c r="H38" s="7">
        <v>456.93</v>
      </c>
      <c r="I38" s="6">
        <v>528.71</v>
      </c>
      <c r="J38" s="6">
        <v>528.71</v>
      </c>
      <c r="K38" s="7">
        <v>596.85</v>
      </c>
      <c r="L38" s="7">
        <v>596.85</v>
      </c>
    </row>
    <row r="39" spans="1:26" ht="12.75" customHeight="1">
      <c r="A39" s="9">
        <v>37</v>
      </c>
      <c r="B39" s="10">
        <v>137.15</v>
      </c>
      <c r="C39" s="10">
        <v>197.3</v>
      </c>
      <c r="D39" s="10">
        <v>381.1</v>
      </c>
      <c r="E39" s="10">
        <v>407.99</v>
      </c>
      <c r="F39" s="10">
        <v>428.55</v>
      </c>
      <c r="G39" s="10">
        <v>459.75</v>
      </c>
      <c r="H39" s="11">
        <v>472.44</v>
      </c>
      <c r="I39" s="10">
        <v>540.05999999999995</v>
      </c>
      <c r="J39" s="10">
        <v>540.05999999999995</v>
      </c>
      <c r="K39" s="11">
        <v>605.74</v>
      </c>
      <c r="L39" s="11">
        <v>605.74</v>
      </c>
    </row>
    <row r="40" spans="1:26" ht="12.75" customHeight="1">
      <c r="A40" s="13">
        <v>38</v>
      </c>
      <c r="B40" s="14">
        <v>137.35</v>
      </c>
      <c r="C40" s="14">
        <v>198.55</v>
      </c>
      <c r="D40" s="14">
        <v>387.07</v>
      </c>
      <c r="E40" s="14">
        <v>415.42</v>
      </c>
      <c r="F40" s="14">
        <v>435.42</v>
      </c>
      <c r="G40" s="14">
        <v>461.24</v>
      </c>
      <c r="H40" s="15">
        <v>474</v>
      </c>
      <c r="I40" s="14">
        <v>550.04999999999995</v>
      </c>
      <c r="J40" s="14">
        <v>550.04999999999995</v>
      </c>
      <c r="K40" s="15">
        <v>614.57000000000005</v>
      </c>
      <c r="L40" s="15">
        <v>614.57000000000005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3">
        <v>39</v>
      </c>
      <c r="B41" s="14">
        <v>137.55000000000001</v>
      </c>
      <c r="C41" s="14">
        <v>199.07</v>
      </c>
      <c r="D41" s="14">
        <v>393.77</v>
      </c>
      <c r="E41" s="14">
        <v>420.96</v>
      </c>
      <c r="F41" s="14">
        <v>436.11</v>
      </c>
      <c r="G41" s="14">
        <v>462.09</v>
      </c>
      <c r="H41" s="15">
        <v>475.43</v>
      </c>
      <c r="I41" s="14">
        <v>560.82000000000005</v>
      </c>
      <c r="J41" s="14">
        <v>560.82000000000005</v>
      </c>
      <c r="K41" s="15">
        <v>615.49</v>
      </c>
      <c r="L41" s="15">
        <v>615.49</v>
      </c>
    </row>
    <row r="42" spans="1:26" ht="12.75" customHeight="1">
      <c r="A42" s="16">
        <v>40</v>
      </c>
      <c r="B42" s="17">
        <v>137.88</v>
      </c>
      <c r="C42" s="17">
        <v>199.67</v>
      </c>
      <c r="D42" s="17">
        <v>394.46</v>
      </c>
      <c r="E42" s="17">
        <v>421.52</v>
      </c>
      <c r="F42" s="17">
        <v>437.34</v>
      </c>
      <c r="G42" s="17">
        <v>474.02</v>
      </c>
      <c r="H42" s="18">
        <v>483.51</v>
      </c>
      <c r="I42" s="17">
        <v>572.07000000000005</v>
      </c>
      <c r="J42" s="17">
        <v>572.07000000000005</v>
      </c>
      <c r="K42" s="18">
        <v>617.07000000000005</v>
      </c>
      <c r="L42" s="18">
        <v>617.07000000000005</v>
      </c>
    </row>
    <row r="43" spans="1:26" ht="12.75" customHeight="1">
      <c r="A43" s="19">
        <v>41</v>
      </c>
      <c r="B43" s="20">
        <v>144.46</v>
      </c>
      <c r="C43" s="20">
        <v>211.64</v>
      </c>
      <c r="D43" s="21">
        <v>408.18</v>
      </c>
      <c r="E43" s="21">
        <v>432.29</v>
      </c>
      <c r="F43" s="21">
        <v>461.53</v>
      </c>
      <c r="G43" s="21">
        <v>480.74</v>
      </c>
      <c r="H43" s="22">
        <v>497.34</v>
      </c>
      <c r="I43" s="21">
        <v>583.34</v>
      </c>
      <c r="J43" s="21">
        <v>583.34</v>
      </c>
      <c r="K43" s="22">
        <v>648.51</v>
      </c>
      <c r="L43" s="22">
        <v>648.51</v>
      </c>
    </row>
    <row r="44" spans="1:26" ht="12.75" customHeight="1">
      <c r="A44" s="23">
        <v>42</v>
      </c>
      <c r="B44" s="24">
        <v>146.04</v>
      </c>
      <c r="C44" s="24">
        <v>212.84</v>
      </c>
      <c r="D44" s="25">
        <v>413.4</v>
      </c>
      <c r="E44" s="25">
        <v>438.9</v>
      </c>
      <c r="F44" s="25">
        <v>463.96</v>
      </c>
      <c r="G44" s="25">
        <v>482.54</v>
      </c>
      <c r="H44" s="26">
        <v>515.64</v>
      </c>
      <c r="I44" s="25">
        <v>595.16999999999996</v>
      </c>
      <c r="J44" s="25">
        <v>595.16999999999996</v>
      </c>
      <c r="K44" s="26">
        <v>651.66999999999996</v>
      </c>
      <c r="L44" s="26">
        <v>651.66999999999996</v>
      </c>
    </row>
    <row r="45" spans="1:26" ht="12.75" customHeight="1">
      <c r="A45" s="19">
        <v>43</v>
      </c>
      <c r="B45" s="24">
        <v>150.51</v>
      </c>
      <c r="C45" s="24">
        <v>213.4</v>
      </c>
      <c r="D45" s="25">
        <v>423.98</v>
      </c>
      <c r="E45" s="25">
        <v>450.67</v>
      </c>
      <c r="F45" s="25">
        <v>472.41</v>
      </c>
      <c r="G45" s="25">
        <v>506.05</v>
      </c>
      <c r="H45" s="26">
        <v>530.61</v>
      </c>
      <c r="I45" s="25">
        <v>607.16999999999996</v>
      </c>
      <c r="J45" s="25">
        <v>607.16999999999996</v>
      </c>
      <c r="K45" s="26">
        <v>653.04999999999995</v>
      </c>
      <c r="L45" s="26">
        <v>653.04999999999995</v>
      </c>
    </row>
    <row r="46" spans="1:26" ht="12.75" customHeight="1">
      <c r="A46" s="19">
        <v>44</v>
      </c>
      <c r="B46" s="24">
        <v>153.34</v>
      </c>
      <c r="C46" s="24">
        <v>224.59</v>
      </c>
      <c r="D46" s="25">
        <v>431.03</v>
      </c>
      <c r="E46" s="25">
        <v>462.99</v>
      </c>
      <c r="F46" s="25">
        <v>480.66</v>
      </c>
      <c r="G46" s="25">
        <v>514.26</v>
      </c>
      <c r="H46" s="26">
        <v>546.37</v>
      </c>
      <c r="I46" s="25">
        <v>620.32000000000005</v>
      </c>
      <c r="J46" s="25">
        <v>620.32000000000005</v>
      </c>
      <c r="K46" s="26">
        <v>680.61</v>
      </c>
      <c r="L46" s="26">
        <v>680.61</v>
      </c>
    </row>
    <row r="47" spans="1:26" ht="12.75" customHeight="1">
      <c r="A47" s="27">
        <v>45</v>
      </c>
      <c r="B47" s="28">
        <v>160.63</v>
      </c>
      <c r="C47" s="28">
        <v>233.31</v>
      </c>
      <c r="D47" s="29">
        <v>435.75</v>
      </c>
      <c r="E47" s="29">
        <v>467.57</v>
      </c>
      <c r="F47" s="29">
        <v>481.51</v>
      </c>
      <c r="G47" s="29">
        <v>522.59</v>
      </c>
      <c r="H47" s="30">
        <v>547.96</v>
      </c>
      <c r="I47" s="29">
        <v>630.13</v>
      </c>
      <c r="J47" s="29">
        <v>630.13</v>
      </c>
      <c r="K47" s="30">
        <v>683.85</v>
      </c>
      <c r="L47" s="30">
        <v>683.85</v>
      </c>
    </row>
    <row r="48" spans="1:26" ht="12.75" customHeight="1">
      <c r="A48" s="13">
        <v>46</v>
      </c>
      <c r="B48" s="10">
        <v>165.5</v>
      </c>
      <c r="C48" s="10">
        <v>234.21</v>
      </c>
      <c r="D48" s="10">
        <v>442.71</v>
      </c>
      <c r="E48" s="10">
        <v>480.34</v>
      </c>
      <c r="F48" s="10">
        <v>498.18</v>
      </c>
      <c r="G48" s="10">
        <v>528.54</v>
      </c>
      <c r="H48" s="11">
        <v>569.16</v>
      </c>
      <c r="I48" s="10">
        <v>652.52</v>
      </c>
      <c r="J48" s="10">
        <v>652.52</v>
      </c>
      <c r="K48" s="11">
        <v>702.05</v>
      </c>
      <c r="L48" s="11">
        <v>702.05</v>
      </c>
    </row>
    <row r="49" spans="1:12" ht="12.75" customHeight="1">
      <c r="A49" s="13">
        <v>47</v>
      </c>
      <c r="B49" s="14">
        <v>167.5</v>
      </c>
      <c r="C49" s="14">
        <v>237.75</v>
      </c>
      <c r="D49" s="14">
        <v>443.42</v>
      </c>
      <c r="E49" s="14">
        <v>482.23</v>
      </c>
      <c r="F49" s="14">
        <v>500.44</v>
      </c>
      <c r="G49" s="14">
        <v>530.09</v>
      </c>
      <c r="H49" s="15">
        <v>571.29</v>
      </c>
      <c r="I49" s="14">
        <v>662.97</v>
      </c>
      <c r="J49" s="14">
        <v>662.97</v>
      </c>
      <c r="K49" s="15">
        <v>707.23</v>
      </c>
      <c r="L49" s="15">
        <v>707.23</v>
      </c>
    </row>
    <row r="50" spans="1:12" ht="12.75" customHeight="1">
      <c r="A50" s="13">
        <v>48</v>
      </c>
      <c r="B50" s="14">
        <v>167.7</v>
      </c>
      <c r="C50" s="14">
        <v>238.11</v>
      </c>
      <c r="D50" s="14">
        <v>443.63</v>
      </c>
      <c r="E50" s="14">
        <v>485.71</v>
      </c>
      <c r="F50" s="14">
        <v>500.67</v>
      </c>
      <c r="G50" s="14">
        <v>539.74</v>
      </c>
      <c r="H50" s="15">
        <v>571.63</v>
      </c>
      <c r="I50" s="14">
        <v>664.02</v>
      </c>
      <c r="J50" s="14">
        <v>664.02</v>
      </c>
      <c r="K50" s="15">
        <v>717.12</v>
      </c>
      <c r="L50" s="15">
        <v>717.12</v>
      </c>
    </row>
    <row r="51" spans="1:12" ht="12.75" customHeight="1">
      <c r="A51" s="13">
        <v>49</v>
      </c>
      <c r="B51" s="14">
        <v>167.98</v>
      </c>
      <c r="C51" s="14">
        <v>238.41</v>
      </c>
      <c r="D51" s="14">
        <v>443.84</v>
      </c>
      <c r="E51" s="14">
        <v>486.06</v>
      </c>
      <c r="F51" s="14">
        <v>500.89</v>
      </c>
      <c r="G51" s="14">
        <v>540.71</v>
      </c>
      <c r="H51" s="15">
        <v>571.91</v>
      </c>
      <c r="I51" s="14">
        <v>673.63</v>
      </c>
      <c r="J51" s="14">
        <v>673.63</v>
      </c>
      <c r="K51" s="15">
        <v>718.11</v>
      </c>
      <c r="L51" s="15">
        <v>718.11</v>
      </c>
    </row>
    <row r="52" spans="1:12" ht="12.75" customHeight="1">
      <c r="A52" s="13">
        <v>50</v>
      </c>
      <c r="B52" s="17">
        <v>168.94</v>
      </c>
      <c r="C52" s="17">
        <v>244.26</v>
      </c>
      <c r="D52" s="17">
        <v>445.61</v>
      </c>
      <c r="E52" s="17">
        <v>488.42</v>
      </c>
      <c r="F52" s="17">
        <v>503.06</v>
      </c>
      <c r="G52" s="17">
        <v>542.94000000000005</v>
      </c>
      <c r="H52" s="18">
        <v>573.55999999999995</v>
      </c>
      <c r="I52" s="17">
        <v>675.23</v>
      </c>
      <c r="J52" s="17">
        <v>675.23</v>
      </c>
      <c r="K52" s="18">
        <v>728.79</v>
      </c>
      <c r="L52" s="18">
        <v>728.79</v>
      </c>
    </row>
    <row r="53" spans="1:12" ht="12.75" customHeight="1">
      <c r="A53" s="31">
        <v>51</v>
      </c>
      <c r="B53" s="20">
        <v>187.99</v>
      </c>
      <c r="C53" s="20">
        <v>266.44</v>
      </c>
      <c r="D53" s="21">
        <v>480.97</v>
      </c>
      <c r="E53" s="21">
        <v>535.46</v>
      </c>
      <c r="F53" s="21">
        <v>546.29</v>
      </c>
      <c r="G53" s="21">
        <v>587.41999999999996</v>
      </c>
      <c r="H53" s="22">
        <v>599.20000000000005</v>
      </c>
      <c r="I53" s="21">
        <v>702.38</v>
      </c>
      <c r="J53" s="21">
        <v>702.38</v>
      </c>
      <c r="K53" s="22">
        <v>771.57</v>
      </c>
      <c r="L53" s="22">
        <v>771.57</v>
      </c>
    </row>
    <row r="54" spans="1:12" ht="12.75" customHeight="1">
      <c r="A54" s="19">
        <v>52</v>
      </c>
      <c r="B54" s="24">
        <v>190.84</v>
      </c>
      <c r="C54" s="24">
        <v>280.39</v>
      </c>
      <c r="D54" s="25">
        <v>515.48</v>
      </c>
      <c r="E54" s="25">
        <v>545.95000000000005</v>
      </c>
      <c r="F54" s="25">
        <v>566.35</v>
      </c>
      <c r="G54" s="25">
        <v>614.16999999999996</v>
      </c>
      <c r="H54" s="26">
        <v>641.69000000000005</v>
      </c>
      <c r="I54" s="25">
        <v>739.41</v>
      </c>
      <c r="J54" s="25">
        <v>739.41</v>
      </c>
      <c r="K54" s="26">
        <v>785.21</v>
      </c>
      <c r="L54" s="26">
        <v>785.21</v>
      </c>
    </row>
    <row r="55" spans="1:12" ht="12.75" customHeight="1">
      <c r="A55" s="19">
        <v>53</v>
      </c>
      <c r="B55" s="24">
        <v>192.93</v>
      </c>
      <c r="C55" s="24">
        <v>281.79000000000002</v>
      </c>
      <c r="D55" s="25">
        <v>518.94000000000005</v>
      </c>
      <c r="E55" s="25">
        <v>556.69000000000005</v>
      </c>
      <c r="F55" s="25">
        <v>568.36</v>
      </c>
      <c r="G55" s="25">
        <v>632.08000000000004</v>
      </c>
      <c r="H55" s="26">
        <v>645.94000000000005</v>
      </c>
      <c r="I55" s="25">
        <v>743.12</v>
      </c>
      <c r="J55" s="25">
        <v>743.12</v>
      </c>
      <c r="K55" s="26">
        <v>803.21</v>
      </c>
      <c r="L55" s="26">
        <v>803.21</v>
      </c>
    </row>
    <row r="56" spans="1:12" ht="12.75" customHeight="1">
      <c r="A56" s="19">
        <v>54</v>
      </c>
      <c r="B56" s="24">
        <v>193.52</v>
      </c>
      <c r="C56" s="24">
        <v>282.39</v>
      </c>
      <c r="D56" s="25">
        <v>519.48</v>
      </c>
      <c r="E56" s="25">
        <v>557.78</v>
      </c>
      <c r="F56" s="25">
        <v>568.94000000000005</v>
      </c>
      <c r="G56" s="25">
        <v>633.88</v>
      </c>
      <c r="H56" s="26">
        <v>646.57000000000005</v>
      </c>
      <c r="I56" s="25">
        <v>768.27</v>
      </c>
      <c r="J56" s="25">
        <v>768.27</v>
      </c>
      <c r="K56" s="26">
        <v>814.65</v>
      </c>
      <c r="L56" s="26">
        <v>814.65</v>
      </c>
    </row>
    <row r="57" spans="1:12" ht="12.75" customHeight="1">
      <c r="A57" s="19">
        <v>55</v>
      </c>
      <c r="B57" s="28">
        <v>194.95</v>
      </c>
      <c r="C57" s="28">
        <v>287.27999999999997</v>
      </c>
      <c r="D57" s="29">
        <v>523.25</v>
      </c>
      <c r="E57" s="29">
        <v>559.15</v>
      </c>
      <c r="F57" s="29">
        <v>570.34</v>
      </c>
      <c r="G57" s="29">
        <v>645.53</v>
      </c>
      <c r="H57" s="30">
        <v>658.74</v>
      </c>
      <c r="I57" s="29">
        <v>770.8</v>
      </c>
      <c r="J57" s="29">
        <v>770.8</v>
      </c>
      <c r="K57" s="30">
        <v>817.22</v>
      </c>
      <c r="L57" s="30">
        <v>817.22</v>
      </c>
    </row>
    <row r="58" spans="1:12" ht="12.75" customHeight="1">
      <c r="A58" s="32">
        <v>56</v>
      </c>
      <c r="B58" s="10">
        <v>208.31</v>
      </c>
      <c r="C58" s="10">
        <v>303.38</v>
      </c>
      <c r="D58" s="10">
        <v>523.79999999999995</v>
      </c>
      <c r="E58" s="10">
        <v>574.5</v>
      </c>
      <c r="F58" s="10">
        <v>587.02</v>
      </c>
      <c r="G58" s="10">
        <v>646.70000000000005</v>
      </c>
      <c r="H58" s="11">
        <v>659.96</v>
      </c>
      <c r="I58" s="10">
        <v>784.19</v>
      </c>
      <c r="J58" s="10">
        <v>784.19</v>
      </c>
      <c r="K58" s="11">
        <v>830.88</v>
      </c>
      <c r="L58" s="11">
        <v>830.88</v>
      </c>
    </row>
    <row r="59" spans="1:12" ht="12.75" customHeight="1">
      <c r="A59" s="13">
        <v>57</v>
      </c>
      <c r="B59" s="14">
        <v>210.1</v>
      </c>
      <c r="C59" s="14">
        <v>312.19</v>
      </c>
      <c r="D59" s="14">
        <v>524.78</v>
      </c>
      <c r="E59" s="14">
        <v>576.04</v>
      </c>
      <c r="F59" s="14">
        <v>588.69000000000005</v>
      </c>
      <c r="G59" s="14">
        <v>647.54999999999995</v>
      </c>
      <c r="H59" s="15">
        <v>660.51</v>
      </c>
      <c r="I59" s="14">
        <v>791.81</v>
      </c>
      <c r="J59" s="14">
        <v>791.81</v>
      </c>
      <c r="K59" s="15">
        <v>838.75</v>
      </c>
      <c r="L59" s="15">
        <v>838.75</v>
      </c>
    </row>
    <row r="60" spans="1:12" ht="12.75" customHeight="1">
      <c r="A60" s="13">
        <v>58</v>
      </c>
      <c r="B60" s="14">
        <v>211.49</v>
      </c>
      <c r="C60" s="14">
        <v>313.51</v>
      </c>
      <c r="D60" s="14">
        <v>525.92999999999995</v>
      </c>
      <c r="E60" s="14">
        <v>576.6</v>
      </c>
      <c r="F60" s="14">
        <v>600.73</v>
      </c>
      <c r="G60" s="14">
        <v>649.29999999999995</v>
      </c>
      <c r="H60" s="15">
        <v>662.3</v>
      </c>
      <c r="I60" s="14">
        <v>820.21</v>
      </c>
      <c r="J60" s="14">
        <v>820.21</v>
      </c>
      <c r="K60" s="15">
        <v>867.62</v>
      </c>
      <c r="L60" s="15">
        <v>867.62</v>
      </c>
    </row>
    <row r="61" spans="1:12" ht="12.75" customHeight="1">
      <c r="A61" s="13">
        <v>59</v>
      </c>
      <c r="B61" s="14">
        <v>212.07</v>
      </c>
      <c r="C61" s="14">
        <v>314.12</v>
      </c>
      <c r="D61" s="14">
        <v>548.92999999999995</v>
      </c>
      <c r="E61" s="14">
        <v>585.28</v>
      </c>
      <c r="F61" s="14">
        <v>601.95000000000005</v>
      </c>
      <c r="G61" s="14">
        <v>651.11</v>
      </c>
      <c r="H61" s="15">
        <v>697.42</v>
      </c>
      <c r="I61" s="14">
        <v>823.05</v>
      </c>
      <c r="J61" s="14">
        <v>823.05</v>
      </c>
      <c r="K61" s="15">
        <v>870.52</v>
      </c>
      <c r="L61" s="15">
        <v>870.52</v>
      </c>
    </row>
    <row r="62" spans="1:12" ht="12.75" customHeight="1">
      <c r="A62" s="16">
        <v>60</v>
      </c>
      <c r="B62" s="17">
        <v>212.68</v>
      </c>
      <c r="C62" s="17">
        <v>314.74</v>
      </c>
      <c r="D62" s="17">
        <v>551.30999999999995</v>
      </c>
      <c r="E62" s="17">
        <v>586.16</v>
      </c>
      <c r="F62" s="17">
        <v>603.17999999999995</v>
      </c>
      <c r="G62" s="17">
        <v>687.17</v>
      </c>
      <c r="H62" s="18">
        <v>700.94</v>
      </c>
      <c r="I62" s="17">
        <v>831.67</v>
      </c>
      <c r="J62" s="17">
        <v>831.67</v>
      </c>
      <c r="K62" s="18">
        <v>890.45</v>
      </c>
      <c r="L62" s="18">
        <v>890.45</v>
      </c>
    </row>
    <row r="63" spans="1:12" ht="12.75" customHeight="1">
      <c r="A63" s="19">
        <v>61</v>
      </c>
      <c r="B63" s="20">
        <v>223.78</v>
      </c>
      <c r="C63" s="20">
        <v>325.83999999999997</v>
      </c>
      <c r="D63" s="21">
        <v>560.87</v>
      </c>
      <c r="E63" s="21">
        <v>603.14</v>
      </c>
      <c r="F63" s="21">
        <v>627.61</v>
      </c>
      <c r="G63" s="21">
        <v>708.66</v>
      </c>
      <c r="H63" s="22">
        <v>722.85</v>
      </c>
      <c r="I63" s="21">
        <v>846.02</v>
      </c>
      <c r="J63" s="21">
        <v>846.02</v>
      </c>
      <c r="K63" s="22">
        <v>905.26</v>
      </c>
      <c r="L63" s="22">
        <v>905.26</v>
      </c>
    </row>
    <row r="64" spans="1:12" ht="12.75" customHeight="1">
      <c r="A64" s="23">
        <v>62</v>
      </c>
      <c r="B64" s="24">
        <v>225.5</v>
      </c>
      <c r="C64" s="24">
        <v>329.7</v>
      </c>
      <c r="D64" s="25">
        <v>569.4</v>
      </c>
      <c r="E64" s="25">
        <v>610.62</v>
      </c>
      <c r="F64" s="25">
        <v>630.17999999999995</v>
      </c>
      <c r="G64" s="25">
        <v>718.79</v>
      </c>
      <c r="H64" s="26">
        <v>740.24</v>
      </c>
      <c r="I64" s="25">
        <v>847.46</v>
      </c>
      <c r="J64" s="25">
        <v>847.46</v>
      </c>
      <c r="K64" s="26">
        <v>906.77</v>
      </c>
      <c r="L64" s="26">
        <v>906.77</v>
      </c>
    </row>
    <row r="65" spans="1:26" ht="12.75" customHeight="1">
      <c r="A65" s="23">
        <v>63</v>
      </c>
      <c r="B65" s="24">
        <v>227</v>
      </c>
      <c r="C65" s="24">
        <v>336.98</v>
      </c>
      <c r="D65" s="25">
        <v>574.52</v>
      </c>
      <c r="E65" s="25">
        <v>625.27</v>
      </c>
      <c r="F65" s="25">
        <v>647.34</v>
      </c>
      <c r="G65" s="25">
        <v>729.03</v>
      </c>
      <c r="H65" s="26">
        <v>743.62</v>
      </c>
      <c r="I65" s="25">
        <v>859.76</v>
      </c>
      <c r="J65" s="25">
        <v>859.76</v>
      </c>
      <c r="K65" s="26">
        <v>907.96</v>
      </c>
      <c r="L65" s="26">
        <v>907.96</v>
      </c>
    </row>
    <row r="66" spans="1:26" ht="12.75" customHeight="1">
      <c r="A66" s="23">
        <v>64</v>
      </c>
      <c r="B66" s="24">
        <v>237.48</v>
      </c>
      <c r="C66" s="24">
        <v>341.21</v>
      </c>
      <c r="D66" s="25">
        <v>575.41</v>
      </c>
      <c r="E66" s="25">
        <v>628.65</v>
      </c>
      <c r="F66" s="25">
        <v>652.69000000000005</v>
      </c>
      <c r="G66" s="25">
        <v>742.21</v>
      </c>
      <c r="H66" s="26">
        <v>771.15</v>
      </c>
      <c r="I66" s="25">
        <v>871.26</v>
      </c>
      <c r="J66" s="25">
        <v>871.26</v>
      </c>
      <c r="K66" s="26">
        <v>919.69</v>
      </c>
      <c r="L66" s="26">
        <v>919.69</v>
      </c>
    </row>
    <row r="67" spans="1:26" ht="12.75" customHeight="1">
      <c r="A67" s="23">
        <v>65</v>
      </c>
      <c r="B67" s="28">
        <v>239.52</v>
      </c>
      <c r="C67" s="28">
        <v>343.5</v>
      </c>
      <c r="D67" s="29">
        <v>593.08000000000004</v>
      </c>
      <c r="E67" s="29">
        <v>635.5</v>
      </c>
      <c r="F67" s="29">
        <v>671.58</v>
      </c>
      <c r="G67" s="29">
        <v>753.71</v>
      </c>
      <c r="H67" s="30">
        <v>779.82</v>
      </c>
      <c r="I67" s="29">
        <v>888.75</v>
      </c>
      <c r="J67" s="29">
        <v>888.75</v>
      </c>
      <c r="K67" s="30">
        <v>950.67</v>
      </c>
      <c r="L67" s="30">
        <v>950.67</v>
      </c>
    </row>
    <row r="68" spans="1:26" ht="12.75" customHeight="1">
      <c r="A68" s="9">
        <v>66</v>
      </c>
      <c r="B68" s="10">
        <v>240.14</v>
      </c>
      <c r="C68" s="10">
        <v>350.95</v>
      </c>
      <c r="D68" s="10">
        <v>597.25</v>
      </c>
      <c r="E68" s="10">
        <v>655.29999999999995</v>
      </c>
      <c r="F68" s="10">
        <v>676.92</v>
      </c>
      <c r="G68" s="10">
        <v>754.88</v>
      </c>
      <c r="H68" s="11">
        <v>781.43</v>
      </c>
      <c r="I68" s="10">
        <v>890.5</v>
      </c>
      <c r="J68" s="10">
        <v>890.5</v>
      </c>
      <c r="K68" s="11">
        <v>968.8</v>
      </c>
      <c r="L68" s="11">
        <v>968.8</v>
      </c>
    </row>
    <row r="69" spans="1:26" ht="12.75" customHeight="1">
      <c r="A69" s="33">
        <v>67</v>
      </c>
      <c r="B69" s="14">
        <v>242.42</v>
      </c>
      <c r="C69" s="14">
        <v>370.06</v>
      </c>
      <c r="D69" s="14">
        <v>606.25</v>
      </c>
      <c r="E69" s="14">
        <v>657.29</v>
      </c>
      <c r="F69" s="14">
        <v>678.93</v>
      </c>
      <c r="G69" s="14">
        <v>755.43</v>
      </c>
      <c r="H69" s="15">
        <v>782.3</v>
      </c>
      <c r="I69" s="14">
        <v>903.11</v>
      </c>
      <c r="J69" s="14">
        <v>903.11</v>
      </c>
      <c r="K69" s="15">
        <v>972.33</v>
      </c>
      <c r="L69" s="15">
        <v>972.33</v>
      </c>
    </row>
    <row r="70" spans="1:26" ht="12.75" customHeight="1">
      <c r="A70" s="33">
        <v>68</v>
      </c>
      <c r="B70" s="14">
        <v>247.91</v>
      </c>
      <c r="C70" s="14">
        <v>371.98</v>
      </c>
      <c r="D70" s="14">
        <v>607.15</v>
      </c>
      <c r="E70" s="14">
        <v>665.41</v>
      </c>
      <c r="F70" s="14">
        <v>679.54</v>
      </c>
      <c r="G70" s="14">
        <v>755.97</v>
      </c>
      <c r="H70" s="15">
        <v>799.7</v>
      </c>
      <c r="I70" s="14">
        <v>921.36</v>
      </c>
      <c r="J70" s="14">
        <v>921.36</v>
      </c>
      <c r="K70" s="15">
        <v>972.89</v>
      </c>
      <c r="L70" s="15">
        <v>972.89</v>
      </c>
    </row>
    <row r="71" spans="1:26" ht="12.75" customHeight="1">
      <c r="A71" s="33">
        <v>69</v>
      </c>
      <c r="B71" s="14">
        <v>248.46</v>
      </c>
      <c r="C71" s="14">
        <v>372.81</v>
      </c>
      <c r="D71" s="14">
        <v>607.86</v>
      </c>
      <c r="E71" s="14">
        <v>667.27</v>
      </c>
      <c r="F71" s="14">
        <v>680.64</v>
      </c>
      <c r="G71" s="14">
        <v>756.52</v>
      </c>
      <c r="H71" s="15">
        <v>801.52</v>
      </c>
      <c r="I71" s="14">
        <v>923.19</v>
      </c>
      <c r="J71" s="14">
        <v>923.19</v>
      </c>
      <c r="K71" s="15">
        <v>978.85</v>
      </c>
      <c r="L71" s="15">
        <v>978.85</v>
      </c>
    </row>
    <row r="72" spans="1:26" ht="12.75" customHeight="1">
      <c r="A72" s="16">
        <v>70</v>
      </c>
      <c r="B72" s="17">
        <v>248.86</v>
      </c>
      <c r="C72" s="17">
        <v>373.45</v>
      </c>
      <c r="D72" s="17">
        <v>622.02</v>
      </c>
      <c r="E72" s="17">
        <v>667.83</v>
      </c>
      <c r="F72" s="17">
        <v>681.21</v>
      </c>
      <c r="G72" s="17">
        <v>758.13</v>
      </c>
      <c r="H72" s="18">
        <v>803.05</v>
      </c>
      <c r="I72" s="17">
        <v>936.03</v>
      </c>
      <c r="J72" s="17">
        <v>936.03</v>
      </c>
      <c r="K72" s="18">
        <v>999.35</v>
      </c>
      <c r="L72" s="18">
        <v>999.35</v>
      </c>
    </row>
    <row r="73" spans="1:26" ht="12.75" customHeight="1">
      <c r="A73" s="35">
        <v>71</v>
      </c>
      <c r="B73" s="20">
        <v>255.25</v>
      </c>
      <c r="C73" s="20">
        <v>374.04</v>
      </c>
      <c r="D73" s="21">
        <v>624.04</v>
      </c>
      <c r="E73" s="21">
        <v>669.09</v>
      </c>
      <c r="F73" s="21">
        <v>682.48</v>
      </c>
      <c r="G73" s="21">
        <v>790.14</v>
      </c>
      <c r="H73" s="22">
        <v>805.97</v>
      </c>
      <c r="I73" s="21">
        <v>951.38</v>
      </c>
      <c r="J73" s="21">
        <v>951.38</v>
      </c>
      <c r="K73" s="22">
        <v>1001.41</v>
      </c>
      <c r="L73" s="22">
        <v>1001.41</v>
      </c>
    </row>
    <row r="74" spans="1:26" ht="12.75" customHeight="1">
      <c r="A74" s="23">
        <v>72</v>
      </c>
      <c r="B74" s="24">
        <v>257.83999999999997</v>
      </c>
      <c r="C74" s="24">
        <v>377.91</v>
      </c>
      <c r="D74" s="25">
        <v>649.62</v>
      </c>
      <c r="E74" s="25">
        <v>691.51</v>
      </c>
      <c r="F74" s="25">
        <v>705.37</v>
      </c>
      <c r="G74" s="25">
        <v>824.53</v>
      </c>
      <c r="H74" s="26">
        <v>864.06</v>
      </c>
      <c r="I74" s="25">
        <v>960.25</v>
      </c>
      <c r="J74" s="25">
        <v>960.25</v>
      </c>
      <c r="K74" s="26">
        <v>1010.46</v>
      </c>
      <c r="L74" s="26">
        <v>1010.46</v>
      </c>
    </row>
    <row r="75" spans="1:26" ht="12.75" customHeight="1">
      <c r="A75" s="23">
        <v>73</v>
      </c>
      <c r="B75" s="24">
        <v>258.44</v>
      </c>
      <c r="C75" s="24">
        <v>392.42</v>
      </c>
      <c r="D75" s="25">
        <v>667.16</v>
      </c>
      <c r="E75" s="25">
        <v>694.25</v>
      </c>
      <c r="F75" s="25">
        <v>722.47</v>
      </c>
      <c r="G75" s="25">
        <v>827.98</v>
      </c>
      <c r="H75" s="26">
        <v>869.92</v>
      </c>
      <c r="I75" s="25">
        <v>962.23</v>
      </c>
      <c r="J75" s="25">
        <v>962.23</v>
      </c>
      <c r="K75" s="26">
        <v>1012.48</v>
      </c>
      <c r="L75" s="26">
        <v>1012.48</v>
      </c>
    </row>
    <row r="76" spans="1:26" ht="12.75" customHeight="1">
      <c r="A76" s="23">
        <v>74</v>
      </c>
      <c r="B76" s="24">
        <v>259.06</v>
      </c>
      <c r="C76" s="24">
        <v>393.88</v>
      </c>
      <c r="D76" s="25">
        <v>668.92</v>
      </c>
      <c r="E76" s="25">
        <v>694.65</v>
      </c>
      <c r="F76" s="25">
        <v>724.18</v>
      </c>
      <c r="G76" s="25">
        <v>828.52</v>
      </c>
      <c r="H76" s="26">
        <v>870.51</v>
      </c>
      <c r="I76" s="25">
        <v>1001.1</v>
      </c>
      <c r="J76" s="25">
        <v>1001.1</v>
      </c>
      <c r="K76" s="26">
        <v>1052.1400000000001</v>
      </c>
      <c r="L76" s="26">
        <v>1052.1400000000001</v>
      </c>
    </row>
    <row r="77" spans="1:26" ht="12.75" customHeight="1">
      <c r="A77" s="27">
        <v>75</v>
      </c>
      <c r="B77" s="28">
        <v>260.27999999999997</v>
      </c>
      <c r="C77" s="28">
        <v>395.15</v>
      </c>
      <c r="D77" s="29">
        <v>670.05</v>
      </c>
      <c r="E77" s="29">
        <v>695.45</v>
      </c>
      <c r="F77" s="29">
        <v>724.98</v>
      </c>
      <c r="G77" s="29">
        <v>829.64</v>
      </c>
      <c r="H77" s="30">
        <v>871.66</v>
      </c>
      <c r="I77" s="29">
        <v>1005</v>
      </c>
      <c r="J77" s="29">
        <v>1005</v>
      </c>
      <c r="K77" s="30">
        <v>1056.1099999999999</v>
      </c>
      <c r="L77" s="30">
        <v>1056.1099999999999</v>
      </c>
    </row>
    <row r="78" spans="1:26" ht="12.75" customHeight="1">
      <c r="A78" s="5">
        <v>76</v>
      </c>
      <c r="B78" s="6">
        <v>261.33</v>
      </c>
      <c r="C78" s="6">
        <v>399.01</v>
      </c>
      <c r="D78" s="6">
        <v>670.85</v>
      </c>
      <c r="E78" s="6">
        <v>701.4</v>
      </c>
      <c r="F78" s="6">
        <v>726.59</v>
      </c>
      <c r="G78" s="6">
        <v>851.54</v>
      </c>
      <c r="H78" s="7">
        <v>872.46</v>
      </c>
      <c r="I78" s="6">
        <v>1024.73</v>
      </c>
      <c r="J78" s="6">
        <v>1024.73</v>
      </c>
      <c r="K78" s="7">
        <v>1076.23</v>
      </c>
      <c r="L78" s="7">
        <v>1076.23</v>
      </c>
    </row>
    <row r="79" spans="1:26" ht="12.75" customHeight="1">
      <c r="A79" s="9">
        <v>77</v>
      </c>
      <c r="B79" s="10">
        <v>262.13</v>
      </c>
      <c r="C79" s="10">
        <v>399.81</v>
      </c>
      <c r="D79" s="10">
        <v>673.64</v>
      </c>
      <c r="E79" s="10">
        <v>734.3</v>
      </c>
      <c r="F79" s="10">
        <v>758.65</v>
      </c>
      <c r="G79" s="10">
        <v>855.75</v>
      </c>
      <c r="H79" s="11">
        <v>873.43</v>
      </c>
      <c r="I79" s="10">
        <v>1026.71</v>
      </c>
      <c r="J79" s="10">
        <v>1026.71</v>
      </c>
      <c r="K79" s="11">
        <v>1112.6199999999999</v>
      </c>
      <c r="L79" s="11">
        <v>1112.6199999999999</v>
      </c>
    </row>
    <row r="80" spans="1:26" ht="12.75" customHeight="1">
      <c r="A80" s="13">
        <v>78</v>
      </c>
      <c r="B80" s="14">
        <v>262.93</v>
      </c>
      <c r="C80" s="14">
        <v>400.61</v>
      </c>
      <c r="D80" s="14">
        <v>674.44</v>
      </c>
      <c r="E80" s="14">
        <v>737.59</v>
      </c>
      <c r="F80" s="14">
        <v>761.86</v>
      </c>
      <c r="G80" s="14">
        <v>856.55</v>
      </c>
      <c r="H80" s="15">
        <v>874.23</v>
      </c>
      <c r="I80" s="14">
        <v>1028.74</v>
      </c>
      <c r="J80" s="14">
        <v>1028.74</v>
      </c>
      <c r="K80" s="15">
        <v>1136.47</v>
      </c>
      <c r="L80" s="15">
        <v>1136.47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12" ht="12.75" customHeight="1">
      <c r="A81" s="13">
        <v>79</v>
      </c>
      <c r="B81" s="14">
        <v>263.73</v>
      </c>
      <c r="C81" s="14">
        <v>401.41</v>
      </c>
      <c r="D81" s="14">
        <v>675.24</v>
      </c>
      <c r="E81" s="14">
        <v>738.39</v>
      </c>
      <c r="F81" s="14">
        <v>762.66</v>
      </c>
      <c r="G81" s="14">
        <v>857.35</v>
      </c>
      <c r="H81" s="15">
        <v>875.03</v>
      </c>
      <c r="I81" s="14">
        <v>1069.22</v>
      </c>
      <c r="J81" s="14">
        <v>1069.22</v>
      </c>
      <c r="K81" s="15">
        <v>1140.8800000000001</v>
      </c>
      <c r="L81" s="15">
        <v>1140.8800000000001</v>
      </c>
    </row>
    <row r="82" spans="1:12" ht="12.75" customHeight="1">
      <c r="A82" s="16">
        <v>80</v>
      </c>
      <c r="B82" s="17">
        <v>264.81</v>
      </c>
      <c r="C82" s="17">
        <v>402.21</v>
      </c>
      <c r="D82" s="17">
        <v>677.6</v>
      </c>
      <c r="E82" s="17">
        <v>741.3</v>
      </c>
      <c r="F82" s="17">
        <v>765.27</v>
      </c>
      <c r="G82" s="17">
        <v>859.09</v>
      </c>
      <c r="H82" s="18">
        <v>876.78</v>
      </c>
      <c r="I82" s="17">
        <v>1089.06</v>
      </c>
      <c r="J82" s="17">
        <v>1089.06</v>
      </c>
      <c r="K82" s="18">
        <v>1141.98</v>
      </c>
      <c r="L82" s="18">
        <v>1141.98</v>
      </c>
    </row>
    <row r="83" spans="1:12" ht="12.75" customHeight="1">
      <c r="A83" s="19">
        <v>81</v>
      </c>
      <c r="B83" s="20">
        <v>286.41000000000003</v>
      </c>
      <c r="C83" s="20">
        <v>414.38</v>
      </c>
      <c r="D83" s="21">
        <v>724.8</v>
      </c>
      <c r="E83" s="21">
        <v>799.5</v>
      </c>
      <c r="F83" s="21">
        <v>817.47</v>
      </c>
      <c r="G83" s="21">
        <v>893.83</v>
      </c>
      <c r="H83" s="22">
        <v>911.76</v>
      </c>
      <c r="I83" s="21">
        <v>1091.05</v>
      </c>
      <c r="J83" s="21">
        <v>1091.05</v>
      </c>
      <c r="K83" s="22">
        <v>1143.8800000000001</v>
      </c>
      <c r="L83" s="22">
        <v>1143.8800000000001</v>
      </c>
    </row>
    <row r="84" spans="1:12" ht="12.75" customHeight="1">
      <c r="A84" s="23">
        <v>82</v>
      </c>
      <c r="B84" s="24">
        <v>289.45999999999998</v>
      </c>
      <c r="C84" s="24">
        <v>415.6</v>
      </c>
      <c r="D84" s="25">
        <v>729.54</v>
      </c>
      <c r="E84" s="25">
        <v>805.74</v>
      </c>
      <c r="F84" s="25">
        <v>822.69</v>
      </c>
      <c r="G84" s="25">
        <v>897.31</v>
      </c>
      <c r="H84" s="26">
        <v>915.27</v>
      </c>
      <c r="I84" s="25">
        <v>1091.8499999999999</v>
      </c>
      <c r="J84" s="25">
        <v>1091.8499999999999</v>
      </c>
      <c r="K84" s="26">
        <v>1145.17</v>
      </c>
      <c r="L84" s="26">
        <v>1145.17</v>
      </c>
    </row>
    <row r="85" spans="1:12" ht="12.75" customHeight="1">
      <c r="A85" s="19">
        <v>83</v>
      </c>
      <c r="B85" s="24">
        <v>290.69</v>
      </c>
      <c r="C85" s="24">
        <v>416.4</v>
      </c>
      <c r="D85" s="25">
        <v>730.69</v>
      </c>
      <c r="E85" s="25">
        <v>806.54</v>
      </c>
      <c r="F85" s="25">
        <v>824.48</v>
      </c>
      <c r="G85" s="25">
        <v>918.71</v>
      </c>
      <c r="H85" s="26">
        <v>937.09</v>
      </c>
      <c r="I85" s="25">
        <v>1092.71</v>
      </c>
      <c r="J85" s="25">
        <v>1092.71</v>
      </c>
      <c r="K85" s="26">
        <v>1145.97</v>
      </c>
      <c r="L85" s="26">
        <v>1145.97</v>
      </c>
    </row>
    <row r="86" spans="1:12" ht="13.5" customHeight="1">
      <c r="A86" s="19">
        <v>84</v>
      </c>
      <c r="B86" s="24">
        <v>291.87</v>
      </c>
      <c r="C86" s="24">
        <v>417.2</v>
      </c>
      <c r="D86" s="25">
        <v>731.88</v>
      </c>
      <c r="E86" s="25">
        <v>807.34</v>
      </c>
      <c r="F86" s="25">
        <v>825.28</v>
      </c>
      <c r="G86" s="25">
        <v>920.85</v>
      </c>
      <c r="H86" s="26">
        <v>939.28</v>
      </c>
      <c r="I86" s="25">
        <v>1093.56</v>
      </c>
      <c r="J86" s="25">
        <v>1093.56</v>
      </c>
      <c r="K86" s="26">
        <v>1147.72</v>
      </c>
      <c r="L86" s="26">
        <v>1147.72</v>
      </c>
    </row>
    <row r="87" spans="1:12" ht="13.5" customHeight="1">
      <c r="A87" s="27">
        <v>85</v>
      </c>
      <c r="B87" s="28">
        <v>293.08999999999997</v>
      </c>
      <c r="C87" s="28">
        <v>418</v>
      </c>
      <c r="D87" s="29">
        <v>732.68</v>
      </c>
      <c r="E87" s="29">
        <v>808.48</v>
      </c>
      <c r="F87" s="29">
        <v>826.08</v>
      </c>
      <c r="G87" s="29">
        <v>921.78</v>
      </c>
      <c r="H87" s="30">
        <v>940.23</v>
      </c>
      <c r="I87" s="29">
        <v>1094.69</v>
      </c>
      <c r="J87" s="29">
        <v>1094.69</v>
      </c>
      <c r="K87" s="30">
        <v>1161.06</v>
      </c>
      <c r="L87" s="30">
        <v>1161.06</v>
      </c>
    </row>
    <row r="88" spans="1:12" ht="13.5" customHeight="1">
      <c r="A88" s="13">
        <v>86</v>
      </c>
      <c r="B88" s="10">
        <v>296.8</v>
      </c>
      <c r="C88" s="10">
        <v>418.8</v>
      </c>
      <c r="D88" s="10">
        <v>735.16</v>
      </c>
      <c r="E88" s="10">
        <v>811.4</v>
      </c>
      <c r="F88" s="10">
        <v>827.63</v>
      </c>
      <c r="G88" s="10">
        <v>922.75</v>
      </c>
      <c r="H88" s="11">
        <v>958.91</v>
      </c>
      <c r="I88" s="10">
        <v>1117.23</v>
      </c>
      <c r="J88" s="10">
        <v>1117.23</v>
      </c>
      <c r="K88" s="11">
        <v>1191.95</v>
      </c>
      <c r="L88" s="11">
        <v>1191.95</v>
      </c>
    </row>
    <row r="89" spans="1:12" ht="13.5" customHeight="1">
      <c r="A89" s="13">
        <v>87</v>
      </c>
      <c r="B89" s="14">
        <v>297.60000000000002</v>
      </c>
      <c r="C89" s="14">
        <v>419.6</v>
      </c>
      <c r="D89" s="14">
        <v>746.68</v>
      </c>
      <c r="E89" s="14">
        <v>815.02</v>
      </c>
      <c r="F89" s="14">
        <v>831.33</v>
      </c>
      <c r="G89" s="14">
        <v>941.93</v>
      </c>
      <c r="H89" s="15">
        <v>960.78</v>
      </c>
      <c r="I89" s="14">
        <v>1141.21</v>
      </c>
      <c r="J89" s="14">
        <v>1141.21</v>
      </c>
      <c r="K89" s="15">
        <v>1195.04</v>
      </c>
      <c r="L89" s="15">
        <v>1195.04</v>
      </c>
    </row>
    <row r="90" spans="1:12" ht="13.5" customHeight="1">
      <c r="A90" s="13">
        <v>88</v>
      </c>
      <c r="B90" s="14">
        <v>298.39999999999998</v>
      </c>
      <c r="C90" s="14">
        <v>420.4</v>
      </c>
      <c r="D90" s="14">
        <v>747.84</v>
      </c>
      <c r="E90" s="14">
        <v>816.8</v>
      </c>
      <c r="F90" s="14">
        <v>833.45</v>
      </c>
      <c r="G90" s="14">
        <v>945.5</v>
      </c>
      <c r="H90" s="15">
        <v>964.41</v>
      </c>
      <c r="I90" s="14">
        <v>1152.26</v>
      </c>
      <c r="J90" s="14">
        <v>1152.26</v>
      </c>
      <c r="K90" s="15">
        <v>1218.8399999999999</v>
      </c>
      <c r="L90" s="15">
        <v>1218.8399999999999</v>
      </c>
    </row>
    <row r="91" spans="1:12" ht="13.5" customHeight="1">
      <c r="A91" s="13">
        <v>89</v>
      </c>
      <c r="B91" s="14">
        <v>299.2</v>
      </c>
      <c r="C91" s="14">
        <v>421.2</v>
      </c>
      <c r="D91" s="14">
        <v>770.88</v>
      </c>
      <c r="E91" s="14">
        <v>852.15</v>
      </c>
      <c r="F91" s="14">
        <v>875.75</v>
      </c>
      <c r="G91" s="14">
        <v>994.89</v>
      </c>
      <c r="H91" s="15">
        <v>1036.6300000000001</v>
      </c>
      <c r="I91" s="14">
        <v>1153.3699999999999</v>
      </c>
      <c r="J91" s="14">
        <v>1153.3699999999999</v>
      </c>
      <c r="K91" s="15">
        <v>1221.23</v>
      </c>
      <c r="L91" s="15">
        <v>1221.23</v>
      </c>
    </row>
    <row r="92" spans="1:12" ht="13.5" customHeight="1">
      <c r="A92" s="13">
        <v>90</v>
      </c>
      <c r="B92" s="17">
        <v>300</v>
      </c>
      <c r="C92" s="17">
        <v>422</v>
      </c>
      <c r="D92" s="17">
        <v>773.19</v>
      </c>
      <c r="E92" s="17">
        <v>857.14</v>
      </c>
      <c r="F92" s="17">
        <v>886.71</v>
      </c>
      <c r="G92" s="17">
        <v>1035.28</v>
      </c>
      <c r="H92" s="18">
        <v>1077.53</v>
      </c>
      <c r="I92" s="17">
        <v>1154.58</v>
      </c>
      <c r="J92" s="17">
        <v>1154.58</v>
      </c>
      <c r="K92" s="18">
        <v>1222.08</v>
      </c>
      <c r="L92" s="18">
        <v>1222.08</v>
      </c>
    </row>
    <row r="93" spans="1:12" ht="13.5" customHeight="1">
      <c r="A93" s="31">
        <v>91</v>
      </c>
      <c r="B93" s="20">
        <v>300.8</v>
      </c>
      <c r="C93" s="20">
        <v>422.8</v>
      </c>
      <c r="D93" s="21">
        <v>774.05</v>
      </c>
      <c r="E93" s="21">
        <v>858.52</v>
      </c>
      <c r="F93" s="21">
        <v>887.82</v>
      </c>
      <c r="G93" s="21">
        <v>1039.32</v>
      </c>
      <c r="H93" s="22">
        <v>1081.6199999999999</v>
      </c>
      <c r="I93" s="21">
        <v>1155.3800000000001</v>
      </c>
      <c r="J93" s="21">
        <v>1155.3800000000001</v>
      </c>
      <c r="K93" s="22">
        <v>1222.93</v>
      </c>
      <c r="L93" s="22">
        <v>1222.93</v>
      </c>
    </row>
    <row r="94" spans="1:12" ht="13.5" customHeight="1">
      <c r="A94" s="19">
        <v>92</v>
      </c>
      <c r="B94" s="24">
        <v>301.60000000000002</v>
      </c>
      <c r="C94" s="24">
        <v>423.6</v>
      </c>
      <c r="D94" s="25">
        <v>774.9</v>
      </c>
      <c r="E94" s="25">
        <v>859.32</v>
      </c>
      <c r="F94" s="25">
        <v>888.93</v>
      </c>
      <c r="G94" s="25">
        <v>1040.1199999999999</v>
      </c>
      <c r="H94" s="26">
        <v>1082.42</v>
      </c>
      <c r="I94" s="25">
        <v>1156.42</v>
      </c>
      <c r="J94" s="25">
        <v>1156.42</v>
      </c>
      <c r="K94" s="26">
        <v>1223.78</v>
      </c>
      <c r="L94" s="26">
        <v>1223.78</v>
      </c>
    </row>
    <row r="95" spans="1:12" ht="13.5" customHeight="1">
      <c r="A95" s="19">
        <v>93</v>
      </c>
      <c r="B95" s="24">
        <v>302.39999999999998</v>
      </c>
      <c r="C95" s="24">
        <v>424.4</v>
      </c>
      <c r="D95" s="25">
        <v>775.75</v>
      </c>
      <c r="E95" s="25">
        <v>860.42</v>
      </c>
      <c r="F95" s="25">
        <v>909.16</v>
      </c>
      <c r="G95" s="25">
        <v>1040.92</v>
      </c>
      <c r="H95" s="26">
        <v>1083.22</v>
      </c>
      <c r="I95" s="25">
        <v>1177.19</v>
      </c>
      <c r="J95" s="25">
        <v>1177.19</v>
      </c>
      <c r="K95" s="26">
        <v>1234.2</v>
      </c>
      <c r="L95" s="26">
        <v>1234.2</v>
      </c>
    </row>
    <row r="96" spans="1:12" ht="13.5" customHeight="1">
      <c r="A96" s="19">
        <v>94</v>
      </c>
      <c r="B96" s="24">
        <v>303.2</v>
      </c>
      <c r="C96" s="24">
        <v>425.2</v>
      </c>
      <c r="D96" s="25">
        <v>776.81</v>
      </c>
      <c r="E96" s="25">
        <v>877.4</v>
      </c>
      <c r="F96" s="25">
        <v>911.19</v>
      </c>
      <c r="G96" s="25">
        <v>1041.72</v>
      </c>
      <c r="H96" s="26">
        <v>1085.47</v>
      </c>
      <c r="I96" s="25">
        <v>1179.27</v>
      </c>
      <c r="J96" s="25">
        <v>1179.27</v>
      </c>
      <c r="K96" s="26">
        <v>1235.4000000000001</v>
      </c>
      <c r="L96" s="26">
        <v>1235.4000000000001</v>
      </c>
    </row>
    <row r="97" spans="1:12" ht="13.5" customHeight="1">
      <c r="A97" s="19">
        <v>95</v>
      </c>
      <c r="B97" s="28">
        <v>304</v>
      </c>
      <c r="C97" s="28">
        <v>426</v>
      </c>
      <c r="D97" s="29">
        <v>777.61</v>
      </c>
      <c r="E97" s="29">
        <v>879.1</v>
      </c>
      <c r="F97" s="29">
        <v>912.37</v>
      </c>
      <c r="G97" s="29">
        <v>1042.52</v>
      </c>
      <c r="H97" s="30">
        <v>1086.27</v>
      </c>
      <c r="I97" s="29">
        <v>1180.1199999999999</v>
      </c>
      <c r="J97" s="29">
        <v>1180.1199999999999</v>
      </c>
      <c r="K97" s="30">
        <v>1238.6500000000001</v>
      </c>
      <c r="L97" s="30">
        <v>1238.6500000000001</v>
      </c>
    </row>
    <row r="98" spans="1:12" ht="13.5" customHeight="1">
      <c r="A98" s="32">
        <v>96</v>
      </c>
      <c r="B98" s="10">
        <v>304.8</v>
      </c>
      <c r="C98" s="10">
        <v>426.8</v>
      </c>
      <c r="D98" s="10">
        <v>778.41</v>
      </c>
      <c r="E98" s="10">
        <v>879.9</v>
      </c>
      <c r="F98" s="10">
        <v>913.17</v>
      </c>
      <c r="G98" s="10">
        <v>1043.32</v>
      </c>
      <c r="H98" s="11">
        <v>1087.9100000000001</v>
      </c>
      <c r="I98" s="10">
        <v>1181.3599999999999</v>
      </c>
      <c r="J98" s="10">
        <v>1181.3599999999999</v>
      </c>
      <c r="K98" s="11">
        <v>1303.0999999999999</v>
      </c>
      <c r="L98" s="11">
        <v>1303.0999999999999</v>
      </c>
    </row>
    <row r="99" spans="1:12" ht="13.5" customHeight="1">
      <c r="A99" s="13">
        <v>97</v>
      </c>
      <c r="B99" s="14">
        <v>305.60000000000002</v>
      </c>
      <c r="C99" s="14">
        <v>427.6</v>
      </c>
      <c r="D99" s="14">
        <v>779.21</v>
      </c>
      <c r="E99" s="14">
        <v>880.7</v>
      </c>
      <c r="F99" s="14">
        <v>913.97</v>
      </c>
      <c r="G99" s="14">
        <v>1044.1199999999999</v>
      </c>
      <c r="H99" s="15">
        <v>1088.71</v>
      </c>
      <c r="I99" s="14">
        <v>1206.1099999999999</v>
      </c>
      <c r="J99" s="14">
        <v>1206.1099999999999</v>
      </c>
      <c r="K99" s="15">
        <v>1321.84</v>
      </c>
      <c r="L99" s="15">
        <v>1321.84</v>
      </c>
    </row>
    <row r="100" spans="1:12" ht="13.5" customHeight="1">
      <c r="A100" s="13">
        <v>98</v>
      </c>
      <c r="B100" s="14">
        <v>306.39999999999998</v>
      </c>
      <c r="C100" s="14">
        <v>428.4</v>
      </c>
      <c r="D100" s="14">
        <v>780.01</v>
      </c>
      <c r="E100" s="14">
        <v>892.72</v>
      </c>
      <c r="F100" s="14">
        <v>924.38</v>
      </c>
      <c r="G100" s="14">
        <v>1046.5999999999999</v>
      </c>
      <c r="H100" s="15">
        <v>1090.1199999999999</v>
      </c>
      <c r="I100" s="14">
        <v>1209.8800000000001</v>
      </c>
      <c r="J100" s="14">
        <v>1209.8800000000001</v>
      </c>
      <c r="K100" s="15">
        <v>1323.72</v>
      </c>
      <c r="L100" s="15">
        <v>1323.72</v>
      </c>
    </row>
    <row r="101" spans="1:12" ht="13.5" customHeight="1">
      <c r="A101" s="13">
        <v>99</v>
      </c>
      <c r="B101" s="14">
        <v>307.2</v>
      </c>
      <c r="C101" s="14">
        <v>429.2</v>
      </c>
      <c r="D101" s="14">
        <v>781.2</v>
      </c>
      <c r="E101" s="14">
        <v>927.52</v>
      </c>
      <c r="F101" s="14">
        <v>948.58</v>
      </c>
      <c r="G101" s="14">
        <v>1096.2</v>
      </c>
      <c r="H101" s="15">
        <v>1118.1400000000001</v>
      </c>
      <c r="I101" s="14">
        <v>1272.8800000000001</v>
      </c>
      <c r="J101" s="14">
        <v>1272.8800000000001</v>
      </c>
      <c r="K101" s="15">
        <v>1329.36</v>
      </c>
      <c r="L101" s="15">
        <v>1329.36</v>
      </c>
    </row>
    <row r="102" spans="1:12" ht="13.5" customHeight="1">
      <c r="A102" s="16">
        <v>100</v>
      </c>
      <c r="B102" s="17">
        <v>308</v>
      </c>
      <c r="C102" s="17">
        <v>430</v>
      </c>
      <c r="D102" s="17">
        <v>782</v>
      </c>
      <c r="E102" s="17">
        <v>931</v>
      </c>
      <c r="F102" s="17">
        <v>951</v>
      </c>
      <c r="G102" s="17">
        <v>1163</v>
      </c>
      <c r="H102" s="18">
        <v>1239</v>
      </c>
      <c r="I102" s="17">
        <v>1382</v>
      </c>
      <c r="J102" s="17">
        <v>1382</v>
      </c>
      <c r="K102" s="18">
        <v>1442</v>
      </c>
      <c r="L102" s="18">
        <v>1442</v>
      </c>
    </row>
    <row r="103" spans="1:12" ht="13.5" customHeight="1">
      <c r="A103" s="19">
        <v>101</v>
      </c>
      <c r="B103" s="20">
        <v>311.08</v>
      </c>
      <c r="C103" s="20">
        <v>434.3</v>
      </c>
      <c r="D103" s="21">
        <v>789.82</v>
      </c>
      <c r="E103" s="21">
        <v>940.31</v>
      </c>
      <c r="F103" s="21">
        <v>960.51</v>
      </c>
      <c r="G103" s="21">
        <v>1174.6300000000001</v>
      </c>
      <c r="H103" s="22">
        <v>1251.3900000000001</v>
      </c>
      <c r="I103" s="21">
        <v>1395.82</v>
      </c>
      <c r="J103" s="21">
        <v>1395.82</v>
      </c>
      <c r="K103" s="22">
        <v>1456.42</v>
      </c>
      <c r="L103" s="22">
        <v>1456.42</v>
      </c>
    </row>
    <row r="104" spans="1:12" ht="13.5" customHeight="1">
      <c r="A104" s="23">
        <v>102</v>
      </c>
      <c r="B104" s="24">
        <v>314.16000000000003</v>
      </c>
      <c r="C104" s="24">
        <v>438.6</v>
      </c>
      <c r="D104" s="25">
        <v>797.64</v>
      </c>
      <c r="E104" s="25">
        <v>949.62</v>
      </c>
      <c r="F104" s="25">
        <v>970.02</v>
      </c>
      <c r="G104" s="25">
        <v>1186.26</v>
      </c>
      <c r="H104" s="26">
        <v>1263.78</v>
      </c>
      <c r="I104" s="25">
        <v>1409.64</v>
      </c>
      <c r="J104" s="25">
        <v>1409.64</v>
      </c>
      <c r="K104" s="26">
        <v>1470.84</v>
      </c>
      <c r="L104" s="26">
        <v>1470.84</v>
      </c>
    </row>
    <row r="105" spans="1:12" ht="13.5" customHeight="1">
      <c r="A105" s="23">
        <v>103</v>
      </c>
      <c r="B105" s="24">
        <v>317.24</v>
      </c>
      <c r="C105" s="24">
        <v>442.9</v>
      </c>
      <c r="D105" s="25">
        <v>805.46</v>
      </c>
      <c r="E105" s="25">
        <v>958.93</v>
      </c>
      <c r="F105" s="25">
        <v>979.53</v>
      </c>
      <c r="G105" s="25">
        <v>1197.8900000000001</v>
      </c>
      <c r="H105" s="26">
        <v>1276.17</v>
      </c>
      <c r="I105" s="25">
        <v>1423.46</v>
      </c>
      <c r="J105" s="25">
        <v>1423.46</v>
      </c>
      <c r="K105" s="26">
        <v>1485.26</v>
      </c>
      <c r="L105" s="26">
        <v>1485.26</v>
      </c>
    </row>
    <row r="106" spans="1:12" ht="13.5" customHeight="1">
      <c r="A106" s="23">
        <v>104</v>
      </c>
      <c r="B106" s="24">
        <v>320.32</v>
      </c>
      <c r="C106" s="24">
        <v>447.2</v>
      </c>
      <c r="D106" s="25">
        <v>813.28</v>
      </c>
      <c r="E106" s="25">
        <v>968.24</v>
      </c>
      <c r="F106" s="25">
        <v>989.04</v>
      </c>
      <c r="G106" s="25">
        <v>1209.52</v>
      </c>
      <c r="H106" s="26">
        <v>1288.56</v>
      </c>
      <c r="I106" s="25">
        <v>1437.28</v>
      </c>
      <c r="J106" s="25">
        <v>1437.28</v>
      </c>
      <c r="K106" s="26">
        <v>1499.68</v>
      </c>
      <c r="L106" s="26">
        <v>1499.68</v>
      </c>
    </row>
    <row r="107" spans="1:12" ht="12.75" customHeight="1">
      <c r="A107" s="23">
        <v>105</v>
      </c>
      <c r="B107" s="28">
        <v>323.39999999999998</v>
      </c>
      <c r="C107" s="28">
        <v>451.5</v>
      </c>
      <c r="D107" s="29">
        <v>821.1</v>
      </c>
      <c r="E107" s="29">
        <v>977.55</v>
      </c>
      <c r="F107" s="29">
        <v>998.55</v>
      </c>
      <c r="G107" s="29">
        <v>1221.1500000000001</v>
      </c>
      <c r="H107" s="30">
        <v>1300.95</v>
      </c>
      <c r="I107" s="29">
        <v>1451.1</v>
      </c>
      <c r="J107" s="29">
        <v>1451.1</v>
      </c>
      <c r="K107" s="30">
        <v>1514.1</v>
      </c>
      <c r="L107" s="30">
        <v>1514.1</v>
      </c>
    </row>
    <row r="108" spans="1:12" ht="12.75" customHeight="1">
      <c r="A108" s="9">
        <v>106</v>
      </c>
      <c r="B108" s="10">
        <v>326.48</v>
      </c>
      <c r="C108" s="10">
        <v>455.8</v>
      </c>
      <c r="D108" s="10">
        <v>828.92</v>
      </c>
      <c r="E108" s="10">
        <v>986.86</v>
      </c>
      <c r="F108" s="10">
        <v>1008.06</v>
      </c>
      <c r="G108" s="10">
        <v>1232.78</v>
      </c>
      <c r="H108" s="11">
        <v>1313.34</v>
      </c>
      <c r="I108" s="10">
        <v>1464.92</v>
      </c>
      <c r="J108" s="10">
        <v>1464.92</v>
      </c>
      <c r="K108" s="11">
        <v>1528.52</v>
      </c>
      <c r="L108" s="11">
        <v>1528.52</v>
      </c>
    </row>
    <row r="109" spans="1:12" ht="12.75" customHeight="1">
      <c r="A109" s="33">
        <v>107</v>
      </c>
      <c r="B109" s="14">
        <v>329.56</v>
      </c>
      <c r="C109" s="14">
        <v>460.1</v>
      </c>
      <c r="D109" s="14">
        <v>836.74</v>
      </c>
      <c r="E109" s="14">
        <v>996.17</v>
      </c>
      <c r="F109" s="14">
        <v>1017.57</v>
      </c>
      <c r="G109" s="14">
        <v>1244.4100000000001</v>
      </c>
      <c r="H109" s="15">
        <v>1325.73</v>
      </c>
      <c r="I109" s="14">
        <v>1478.74</v>
      </c>
      <c r="J109" s="14">
        <v>1478.74</v>
      </c>
      <c r="K109" s="15">
        <v>1542.94</v>
      </c>
      <c r="L109" s="15">
        <v>1542.94</v>
      </c>
    </row>
    <row r="110" spans="1:12" ht="12.75" customHeight="1">
      <c r="A110" s="33">
        <v>108</v>
      </c>
      <c r="B110" s="14">
        <v>332.64</v>
      </c>
      <c r="C110" s="14">
        <v>464.4</v>
      </c>
      <c r="D110" s="14">
        <v>844.56</v>
      </c>
      <c r="E110" s="14">
        <v>1005.48</v>
      </c>
      <c r="F110" s="14">
        <v>1027.08</v>
      </c>
      <c r="G110" s="14">
        <v>1256.04</v>
      </c>
      <c r="H110" s="15">
        <v>1338.12</v>
      </c>
      <c r="I110" s="14">
        <v>1492.56</v>
      </c>
      <c r="J110" s="14">
        <v>1492.56</v>
      </c>
      <c r="K110" s="15">
        <v>1557.36</v>
      </c>
      <c r="L110" s="15">
        <v>1557.36</v>
      </c>
    </row>
    <row r="111" spans="1:12" ht="12.75" customHeight="1">
      <c r="A111" s="33">
        <v>109</v>
      </c>
      <c r="B111" s="14">
        <v>335.72</v>
      </c>
      <c r="C111" s="14">
        <v>468.7</v>
      </c>
      <c r="D111" s="14">
        <v>852.38</v>
      </c>
      <c r="E111" s="14">
        <v>1014.79</v>
      </c>
      <c r="F111" s="14">
        <v>1036.5899999999999</v>
      </c>
      <c r="G111" s="14">
        <v>1267.67</v>
      </c>
      <c r="H111" s="15">
        <v>1350.51</v>
      </c>
      <c r="I111" s="14">
        <v>1506.38</v>
      </c>
      <c r="J111" s="14">
        <v>1506.38</v>
      </c>
      <c r="K111" s="15">
        <v>1571.78</v>
      </c>
      <c r="L111" s="15">
        <v>1571.78</v>
      </c>
    </row>
    <row r="112" spans="1:12" ht="12.75" customHeight="1">
      <c r="A112" s="16">
        <v>110</v>
      </c>
      <c r="B112" s="17">
        <v>338.8</v>
      </c>
      <c r="C112" s="17">
        <v>473</v>
      </c>
      <c r="D112" s="17">
        <v>860.2</v>
      </c>
      <c r="E112" s="17">
        <v>1024.0999999999999</v>
      </c>
      <c r="F112" s="17">
        <v>1046.0999999999999</v>
      </c>
      <c r="G112" s="17">
        <v>1279.3</v>
      </c>
      <c r="H112" s="18">
        <v>1362.9</v>
      </c>
      <c r="I112" s="17">
        <v>1520.2</v>
      </c>
      <c r="J112" s="17">
        <v>1520.2</v>
      </c>
      <c r="K112" s="18">
        <v>1586.2</v>
      </c>
      <c r="L112" s="18">
        <v>1586.2</v>
      </c>
    </row>
    <row r="113" spans="1:26" ht="12.75" customHeight="1">
      <c r="A113" s="35">
        <v>111</v>
      </c>
      <c r="B113" s="20">
        <v>341.88</v>
      </c>
      <c r="C113" s="20">
        <v>477.3</v>
      </c>
      <c r="D113" s="21">
        <v>868.02</v>
      </c>
      <c r="E113" s="21">
        <v>1033.4100000000001</v>
      </c>
      <c r="F113" s="21">
        <v>1055.6099999999999</v>
      </c>
      <c r="G113" s="21">
        <v>1290.93</v>
      </c>
      <c r="H113" s="22">
        <v>1375.29</v>
      </c>
      <c r="I113" s="21">
        <v>1534.02</v>
      </c>
      <c r="J113" s="21">
        <v>1534.02</v>
      </c>
      <c r="K113" s="22">
        <v>1600.62</v>
      </c>
      <c r="L113" s="22">
        <v>1600.62</v>
      </c>
    </row>
    <row r="114" spans="1:26" ht="12.75" customHeight="1">
      <c r="A114" s="23">
        <v>112</v>
      </c>
      <c r="B114" s="24">
        <v>344.96</v>
      </c>
      <c r="C114" s="24">
        <v>481.6</v>
      </c>
      <c r="D114" s="25">
        <v>875.84</v>
      </c>
      <c r="E114" s="25">
        <v>1042.72</v>
      </c>
      <c r="F114" s="25">
        <v>1065.1199999999999</v>
      </c>
      <c r="G114" s="25">
        <v>1302.56</v>
      </c>
      <c r="H114" s="26">
        <v>1387.68</v>
      </c>
      <c r="I114" s="25">
        <v>1547.84</v>
      </c>
      <c r="J114" s="25">
        <v>1547.84</v>
      </c>
      <c r="K114" s="26">
        <v>1615.04</v>
      </c>
      <c r="L114" s="26">
        <v>1615.04</v>
      </c>
    </row>
    <row r="115" spans="1:26" ht="12.75" customHeight="1">
      <c r="A115" s="23">
        <v>113</v>
      </c>
      <c r="B115" s="24">
        <v>348.04</v>
      </c>
      <c r="C115" s="24">
        <v>485.9</v>
      </c>
      <c r="D115" s="25">
        <v>883.66</v>
      </c>
      <c r="E115" s="25">
        <v>1052.03</v>
      </c>
      <c r="F115" s="25">
        <v>1074.6300000000001</v>
      </c>
      <c r="G115" s="25">
        <v>1314.19</v>
      </c>
      <c r="H115" s="26">
        <v>1400.07</v>
      </c>
      <c r="I115" s="25">
        <v>1561.66</v>
      </c>
      <c r="J115" s="25">
        <v>1561.66</v>
      </c>
      <c r="K115" s="26">
        <v>1629.46</v>
      </c>
      <c r="L115" s="26">
        <v>1629.46</v>
      </c>
    </row>
    <row r="116" spans="1:26" ht="12.75" customHeight="1">
      <c r="A116" s="23">
        <v>114</v>
      </c>
      <c r="B116" s="24">
        <v>351.12</v>
      </c>
      <c r="C116" s="24">
        <v>490.2</v>
      </c>
      <c r="D116" s="25">
        <v>891.48</v>
      </c>
      <c r="E116" s="25">
        <v>1061.3399999999999</v>
      </c>
      <c r="F116" s="25">
        <v>1084.1400000000001</v>
      </c>
      <c r="G116" s="25">
        <v>1325.82</v>
      </c>
      <c r="H116" s="26">
        <v>1412.46</v>
      </c>
      <c r="I116" s="25">
        <v>1575.48</v>
      </c>
      <c r="J116" s="25">
        <v>1575.48</v>
      </c>
      <c r="K116" s="26">
        <v>1643.88</v>
      </c>
      <c r="L116" s="26">
        <v>1643.88</v>
      </c>
    </row>
    <row r="117" spans="1:26" ht="12.75" customHeight="1">
      <c r="A117" s="27">
        <v>115</v>
      </c>
      <c r="B117" s="28">
        <v>354.2</v>
      </c>
      <c r="C117" s="28">
        <v>494.5</v>
      </c>
      <c r="D117" s="29">
        <v>899.3</v>
      </c>
      <c r="E117" s="29">
        <v>1070.6500000000001</v>
      </c>
      <c r="F117" s="29">
        <v>1093.6500000000001</v>
      </c>
      <c r="G117" s="29">
        <v>1337.45</v>
      </c>
      <c r="H117" s="30">
        <v>1424.85</v>
      </c>
      <c r="I117" s="29">
        <v>1589.3</v>
      </c>
      <c r="J117" s="29">
        <v>1589.3</v>
      </c>
      <c r="K117" s="30">
        <v>1658.3</v>
      </c>
      <c r="L117" s="30">
        <v>1658.3</v>
      </c>
    </row>
    <row r="118" spans="1:26" ht="12.75" customHeight="1">
      <c r="A118" s="5">
        <v>116</v>
      </c>
      <c r="B118" s="6">
        <v>357.28</v>
      </c>
      <c r="C118" s="6">
        <v>498.8</v>
      </c>
      <c r="D118" s="6">
        <v>907.12</v>
      </c>
      <c r="E118" s="6">
        <v>1079.96</v>
      </c>
      <c r="F118" s="6">
        <v>1103.1600000000001</v>
      </c>
      <c r="G118" s="6">
        <v>1349.08</v>
      </c>
      <c r="H118" s="7">
        <v>1437.24</v>
      </c>
      <c r="I118" s="6">
        <v>1603.12</v>
      </c>
      <c r="J118" s="6">
        <v>1603.12</v>
      </c>
      <c r="K118" s="7">
        <v>1672.72</v>
      </c>
      <c r="L118" s="7">
        <v>1672.72</v>
      </c>
    </row>
    <row r="119" spans="1:26" ht="12.75" customHeight="1">
      <c r="A119" s="9">
        <v>117</v>
      </c>
      <c r="B119" s="10">
        <v>360.36</v>
      </c>
      <c r="C119" s="10">
        <v>503.1</v>
      </c>
      <c r="D119" s="10">
        <v>914.94</v>
      </c>
      <c r="E119" s="10">
        <v>1089.27</v>
      </c>
      <c r="F119" s="10">
        <v>1112.67</v>
      </c>
      <c r="G119" s="10">
        <v>1360.71</v>
      </c>
      <c r="H119" s="11">
        <v>1449.63</v>
      </c>
      <c r="I119" s="10">
        <v>1616.94</v>
      </c>
      <c r="J119" s="10">
        <v>1616.94</v>
      </c>
      <c r="K119" s="11">
        <v>1687.14</v>
      </c>
      <c r="L119" s="11">
        <v>1687.14</v>
      </c>
    </row>
    <row r="120" spans="1:26" ht="12.75" customHeight="1">
      <c r="A120" s="13">
        <v>118</v>
      </c>
      <c r="B120" s="14">
        <v>363.44</v>
      </c>
      <c r="C120" s="14">
        <v>507.4</v>
      </c>
      <c r="D120" s="14">
        <v>922.76</v>
      </c>
      <c r="E120" s="14">
        <v>1098.58</v>
      </c>
      <c r="F120" s="14">
        <v>1122.18</v>
      </c>
      <c r="G120" s="14">
        <v>1372.34</v>
      </c>
      <c r="H120" s="15">
        <v>1462.02</v>
      </c>
      <c r="I120" s="14">
        <v>1630.76</v>
      </c>
      <c r="J120" s="14">
        <v>1630.76</v>
      </c>
      <c r="K120" s="15">
        <v>1701.56</v>
      </c>
      <c r="L120" s="15">
        <v>1701.56</v>
      </c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13">
        <v>119</v>
      </c>
      <c r="B121" s="14">
        <v>366.52</v>
      </c>
      <c r="C121" s="14">
        <v>511.7</v>
      </c>
      <c r="D121" s="14">
        <v>930.58</v>
      </c>
      <c r="E121" s="14">
        <v>1107.8900000000001</v>
      </c>
      <c r="F121" s="14">
        <v>1131.69</v>
      </c>
      <c r="G121" s="14">
        <v>1383.97</v>
      </c>
      <c r="H121" s="15">
        <v>1474.41</v>
      </c>
      <c r="I121" s="14">
        <v>1644.58</v>
      </c>
      <c r="J121" s="14">
        <v>1644.58</v>
      </c>
      <c r="K121" s="15">
        <v>1715.98</v>
      </c>
      <c r="L121" s="15">
        <v>1715.98</v>
      </c>
    </row>
    <row r="122" spans="1:26" ht="12.75" customHeight="1">
      <c r="A122" s="16">
        <v>120</v>
      </c>
      <c r="B122" s="17">
        <v>369.6</v>
      </c>
      <c r="C122" s="17">
        <v>516</v>
      </c>
      <c r="D122" s="17">
        <v>938.4</v>
      </c>
      <c r="E122" s="17">
        <v>1117.2</v>
      </c>
      <c r="F122" s="17">
        <v>1141.2</v>
      </c>
      <c r="G122" s="17">
        <v>1395.6</v>
      </c>
      <c r="H122" s="18">
        <v>1486.8</v>
      </c>
      <c r="I122" s="17">
        <v>1658.4</v>
      </c>
      <c r="J122" s="17">
        <v>1658.4</v>
      </c>
      <c r="K122" s="18">
        <v>1730.4</v>
      </c>
      <c r="L122" s="18">
        <v>1730.4</v>
      </c>
    </row>
    <row r="123" spans="1:26" ht="12.75" customHeight="1">
      <c r="A123" s="19">
        <v>121</v>
      </c>
      <c r="B123" s="20">
        <v>372.68</v>
      </c>
      <c r="C123" s="20">
        <v>520.29999999999995</v>
      </c>
      <c r="D123" s="21">
        <v>946.22</v>
      </c>
      <c r="E123" s="21">
        <v>1126.51</v>
      </c>
      <c r="F123" s="21">
        <v>1150.71</v>
      </c>
      <c r="G123" s="21">
        <v>1407.23</v>
      </c>
      <c r="H123" s="22">
        <v>1499.19</v>
      </c>
      <c r="I123" s="21">
        <v>1672.22</v>
      </c>
      <c r="J123" s="21">
        <v>1672.22</v>
      </c>
      <c r="K123" s="22">
        <v>1744.82</v>
      </c>
      <c r="L123" s="22">
        <v>1744.82</v>
      </c>
    </row>
    <row r="124" spans="1:26" ht="12.75" customHeight="1">
      <c r="A124" s="23">
        <v>122</v>
      </c>
      <c r="B124" s="24">
        <v>375.76</v>
      </c>
      <c r="C124" s="24">
        <v>524.6</v>
      </c>
      <c r="D124" s="25">
        <v>954.04</v>
      </c>
      <c r="E124" s="25">
        <v>1135.82</v>
      </c>
      <c r="F124" s="25">
        <v>1160.22</v>
      </c>
      <c r="G124" s="25">
        <v>1418.86</v>
      </c>
      <c r="H124" s="26">
        <v>1511.58</v>
      </c>
      <c r="I124" s="25">
        <v>1686.04</v>
      </c>
      <c r="J124" s="25">
        <v>1686.04</v>
      </c>
      <c r="K124" s="26">
        <v>1759.24</v>
      </c>
      <c r="L124" s="26">
        <v>1759.24</v>
      </c>
    </row>
    <row r="125" spans="1:26" ht="12.75" customHeight="1">
      <c r="A125" s="19">
        <v>123</v>
      </c>
      <c r="B125" s="24">
        <v>378.84</v>
      </c>
      <c r="C125" s="24">
        <v>528.9</v>
      </c>
      <c r="D125" s="25">
        <v>961.86</v>
      </c>
      <c r="E125" s="25">
        <v>1145.1300000000001</v>
      </c>
      <c r="F125" s="25">
        <v>1169.73</v>
      </c>
      <c r="G125" s="25">
        <v>1430.49</v>
      </c>
      <c r="H125" s="26">
        <v>1523.97</v>
      </c>
      <c r="I125" s="25">
        <v>1699.86</v>
      </c>
      <c r="J125" s="25">
        <v>1699.86</v>
      </c>
      <c r="K125" s="26">
        <v>1773.66</v>
      </c>
      <c r="L125" s="26">
        <v>1773.66</v>
      </c>
    </row>
    <row r="126" spans="1:26" ht="12.75" customHeight="1">
      <c r="A126" s="19">
        <v>124</v>
      </c>
      <c r="B126" s="24">
        <v>381.92</v>
      </c>
      <c r="C126" s="24">
        <v>533.20000000000005</v>
      </c>
      <c r="D126" s="25">
        <v>969.68</v>
      </c>
      <c r="E126" s="25">
        <v>1154.44</v>
      </c>
      <c r="F126" s="25">
        <v>1179.24</v>
      </c>
      <c r="G126" s="25">
        <v>1442.12</v>
      </c>
      <c r="H126" s="26">
        <v>1536.36</v>
      </c>
      <c r="I126" s="25">
        <v>1713.68</v>
      </c>
      <c r="J126" s="25">
        <v>1713.68</v>
      </c>
      <c r="K126" s="26">
        <v>1788.08</v>
      </c>
      <c r="L126" s="26">
        <v>1788.08</v>
      </c>
    </row>
    <row r="127" spans="1:26" ht="12.75" customHeight="1">
      <c r="A127" s="27">
        <v>125</v>
      </c>
      <c r="B127" s="28">
        <v>385</v>
      </c>
      <c r="C127" s="28">
        <v>537.5</v>
      </c>
      <c r="D127" s="29">
        <v>977.5</v>
      </c>
      <c r="E127" s="29">
        <v>1163.75</v>
      </c>
      <c r="F127" s="29">
        <v>1188.75</v>
      </c>
      <c r="G127" s="29">
        <v>1453.75</v>
      </c>
      <c r="H127" s="30">
        <v>1548.75</v>
      </c>
      <c r="I127" s="29">
        <v>1727.5</v>
      </c>
      <c r="J127" s="29">
        <v>1727.5</v>
      </c>
      <c r="K127" s="30">
        <v>1802.5</v>
      </c>
      <c r="L127" s="30">
        <v>1802.5</v>
      </c>
    </row>
    <row r="128" spans="1:26" ht="12.75" customHeight="1">
      <c r="A128" s="13">
        <v>126</v>
      </c>
      <c r="B128" s="10">
        <v>388.08</v>
      </c>
      <c r="C128" s="10">
        <v>541.79999999999995</v>
      </c>
      <c r="D128" s="10">
        <v>985.32</v>
      </c>
      <c r="E128" s="10">
        <v>1173.06</v>
      </c>
      <c r="F128" s="10">
        <v>1198.26</v>
      </c>
      <c r="G128" s="10">
        <v>1465.38</v>
      </c>
      <c r="H128" s="11">
        <v>1561.14</v>
      </c>
      <c r="I128" s="10">
        <v>1741.32</v>
      </c>
      <c r="J128" s="10">
        <v>1741.32</v>
      </c>
      <c r="K128" s="11">
        <v>1816.92</v>
      </c>
      <c r="L128" s="11">
        <v>1816.92</v>
      </c>
    </row>
    <row r="129" spans="1:12" ht="12.75" customHeight="1">
      <c r="A129" s="13">
        <v>127</v>
      </c>
      <c r="B129" s="14">
        <v>391.16</v>
      </c>
      <c r="C129" s="14">
        <v>546.1</v>
      </c>
      <c r="D129" s="14">
        <v>993.14</v>
      </c>
      <c r="E129" s="14">
        <v>1182.3699999999999</v>
      </c>
      <c r="F129" s="14">
        <v>1207.77</v>
      </c>
      <c r="G129" s="14">
        <v>1477.01</v>
      </c>
      <c r="H129" s="15">
        <v>1573.53</v>
      </c>
      <c r="I129" s="14">
        <v>1755.14</v>
      </c>
      <c r="J129" s="14">
        <v>1755.14</v>
      </c>
      <c r="K129" s="15">
        <v>1831.34</v>
      </c>
      <c r="L129" s="15">
        <v>1831.34</v>
      </c>
    </row>
    <row r="130" spans="1:12" ht="12.75" customHeight="1">
      <c r="A130" s="13">
        <v>128</v>
      </c>
      <c r="B130" s="14">
        <v>394.24</v>
      </c>
      <c r="C130" s="14">
        <v>550.4</v>
      </c>
      <c r="D130" s="14">
        <v>1000.96</v>
      </c>
      <c r="E130" s="14">
        <v>1191.68</v>
      </c>
      <c r="F130" s="14">
        <v>1217.28</v>
      </c>
      <c r="G130" s="14">
        <v>1488.64</v>
      </c>
      <c r="H130" s="15">
        <v>1585.92</v>
      </c>
      <c r="I130" s="14">
        <v>1768.96</v>
      </c>
      <c r="J130" s="14">
        <v>1768.96</v>
      </c>
      <c r="K130" s="15">
        <v>1845.76</v>
      </c>
      <c r="L130" s="15">
        <v>1845.76</v>
      </c>
    </row>
    <row r="131" spans="1:12" ht="12.75" customHeight="1">
      <c r="A131" s="13">
        <v>129</v>
      </c>
      <c r="B131" s="14">
        <v>397.32</v>
      </c>
      <c r="C131" s="14">
        <v>554.70000000000005</v>
      </c>
      <c r="D131" s="14">
        <v>1008.78</v>
      </c>
      <c r="E131" s="14">
        <v>1200.99</v>
      </c>
      <c r="F131" s="14">
        <v>1226.79</v>
      </c>
      <c r="G131" s="14">
        <v>1500.27</v>
      </c>
      <c r="H131" s="15">
        <v>1598.31</v>
      </c>
      <c r="I131" s="14">
        <v>1782.78</v>
      </c>
      <c r="J131" s="14">
        <v>1782.78</v>
      </c>
      <c r="K131" s="15">
        <v>1860.18</v>
      </c>
      <c r="L131" s="15">
        <v>1860.18</v>
      </c>
    </row>
    <row r="132" spans="1:12" ht="12.75" customHeight="1">
      <c r="A132" s="13">
        <v>130</v>
      </c>
      <c r="B132" s="17">
        <v>400.4</v>
      </c>
      <c r="C132" s="17">
        <v>559</v>
      </c>
      <c r="D132" s="17">
        <v>1016.6</v>
      </c>
      <c r="E132" s="17">
        <v>1210.3</v>
      </c>
      <c r="F132" s="17">
        <v>1236.3</v>
      </c>
      <c r="G132" s="17">
        <v>1511.9</v>
      </c>
      <c r="H132" s="18">
        <v>1610.7</v>
      </c>
      <c r="I132" s="17">
        <v>1796.6</v>
      </c>
      <c r="J132" s="17">
        <v>1796.6</v>
      </c>
      <c r="K132" s="18">
        <v>1874.6</v>
      </c>
      <c r="L132" s="18">
        <v>1874.6</v>
      </c>
    </row>
    <row r="133" spans="1:12" ht="12.75" customHeight="1">
      <c r="A133" s="31">
        <v>131</v>
      </c>
      <c r="B133" s="20">
        <v>403.48</v>
      </c>
      <c r="C133" s="20">
        <v>563.29999999999995</v>
      </c>
      <c r="D133" s="21">
        <v>1024.42</v>
      </c>
      <c r="E133" s="21">
        <v>1219.6099999999999</v>
      </c>
      <c r="F133" s="21">
        <v>1245.81</v>
      </c>
      <c r="G133" s="21">
        <v>1523.53</v>
      </c>
      <c r="H133" s="22">
        <v>1623.09</v>
      </c>
      <c r="I133" s="21">
        <v>1810.42</v>
      </c>
      <c r="J133" s="21">
        <v>1810.42</v>
      </c>
      <c r="K133" s="22">
        <v>1889.02</v>
      </c>
      <c r="L133" s="22">
        <v>1889.02</v>
      </c>
    </row>
    <row r="134" spans="1:12" ht="12.75" customHeight="1">
      <c r="A134" s="19">
        <v>132</v>
      </c>
      <c r="B134" s="24">
        <v>406.56</v>
      </c>
      <c r="C134" s="24">
        <v>567.6</v>
      </c>
      <c r="D134" s="25">
        <v>1032.24</v>
      </c>
      <c r="E134" s="25">
        <v>1228.92</v>
      </c>
      <c r="F134" s="25">
        <v>1255.32</v>
      </c>
      <c r="G134" s="25">
        <v>1535.16</v>
      </c>
      <c r="H134" s="26">
        <v>1635.48</v>
      </c>
      <c r="I134" s="25">
        <v>1824.24</v>
      </c>
      <c r="J134" s="25">
        <v>1824.24</v>
      </c>
      <c r="K134" s="26">
        <v>1903.44</v>
      </c>
      <c r="L134" s="26">
        <v>1903.44</v>
      </c>
    </row>
    <row r="135" spans="1:12" ht="12.75" customHeight="1">
      <c r="A135" s="19">
        <v>133</v>
      </c>
      <c r="B135" s="24">
        <v>409.64</v>
      </c>
      <c r="C135" s="24">
        <v>571.9</v>
      </c>
      <c r="D135" s="25">
        <v>1040.06</v>
      </c>
      <c r="E135" s="25">
        <v>1238.23</v>
      </c>
      <c r="F135" s="25">
        <v>1264.83</v>
      </c>
      <c r="G135" s="25">
        <v>1546.79</v>
      </c>
      <c r="H135" s="26">
        <v>1647.87</v>
      </c>
      <c r="I135" s="25">
        <v>1838.06</v>
      </c>
      <c r="J135" s="25">
        <v>1838.06</v>
      </c>
      <c r="K135" s="26">
        <v>1917.86</v>
      </c>
      <c r="L135" s="26">
        <v>1917.86</v>
      </c>
    </row>
    <row r="136" spans="1:12" ht="12.75" customHeight="1">
      <c r="A136" s="19">
        <v>134</v>
      </c>
      <c r="B136" s="24">
        <v>412.72</v>
      </c>
      <c r="C136" s="24">
        <v>576.20000000000005</v>
      </c>
      <c r="D136" s="25">
        <v>1047.8800000000001</v>
      </c>
      <c r="E136" s="25">
        <v>1247.54</v>
      </c>
      <c r="F136" s="25">
        <v>1274.3399999999999</v>
      </c>
      <c r="G136" s="25">
        <v>1558.42</v>
      </c>
      <c r="H136" s="26">
        <v>1660.26</v>
      </c>
      <c r="I136" s="25">
        <v>1851.88</v>
      </c>
      <c r="J136" s="25">
        <v>1851.88</v>
      </c>
      <c r="K136" s="26">
        <v>1932.28</v>
      </c>
      <c r="L136" s="26">
        <v>1932.28</v>
      </c>
    </row>
    <row r="137" spans="1:12" ht="12.75" customHeight="1">
      <c r="A137" s="19">
        <v>135</v>
      </c>
      <c r="B137" s="28">
        <v>415.8</v>
      </c>
      <c r="C137" s="28">
        <v>580.5</v>
      </c>
      <c r="D137" s="29">
        <v>1055.7</v>
      </c>
      <c r="E137" s="29">
        <v>1256.8499999999999</v>
      </c>
      <c r="F137" s="29">
        <v>1283.8499999999999</v>
      </c>
      <c r="G137" s="29">
        <v>1570.05</v>
      </c>
      <c r="H137" s="30">
        <v>1672.65</v>
      </c>
      <c r="I137" s="29">
        <v>1865.7</v>
      </c>
      <c r="J137" s="29">
        <v>1865.7</v>
      </c>
      <c r="K137" s="30">
        <v>1946.7</v>
      </c>
      <c r="L137" s="30">
        <v>1946.7</v>
      </c>
    </row>
    <row r="138" spans="1:12" ht="12.75" customHeight="1">
      <c r="A138" s="32">
        <v>136</v>
      </c>
      <c r="B138" s="10">
        <v>418.88</v>
      </c>
      <c r="C138" s="10">
        <v>584.79999999999995</v>
      </c>
      <c r="D138" s="10">
        <v>1063.52</v>
      </c>
      <c r="E138" s="10">
        <v>1266.1600000000001</v>
      </c>
      <c r="F138" s="10">
        <v>1293.3599999999999</v>
      </c>
      <c r="G138" s="10">
        <v>1581.68</v>
      </c>
      <c r="H138" s="11">
        <v>1685.04</v>
      </c>
      <c r="I138" s="10">
        <v>1879.52</v>
      </c>
      <c r="J138" s="10">
        <v>1879.52</v>
      </c>
      <c r="K138" s="11">
        <v>1961.12</v>
      </c>
      <c r="L138" s="11">
        <v>1961.12</v>
      </c>
    </row>
    <row r="139" spans="1:12" ht="12.75" customHeight="1">
      <c r="A139" s="13">
        <v>137</v>
      </c>
      <c r="B139" s="14">
        <v>421.96</v>
      </c>
      <c r="C139" s="14">
        <v>589.1</v>
      </c>
      <c r="D139" s="14">
        <v>1071.3399999999999</v>
      </c>
      <c r="E139" s="14">
        <v>1275.47</v>
      </c>
      <c r="F139" s="14">
        <v>1302.8699999999999</v>
      </c>
      <c r="G139" s="14">
        <v>1593.31</v>
      </c>
      <c r="H139" s="15">
        <v>1697.43</v>
      </c>
      <c r="I139" s="14">
        <v>1893.34</v>
      </c>
      <c r="J139" s="14">
        <v>1893.34</v>
      </c>
      <c r="K139" s="15">
        <v>1975.54</v>
      </c>
      <c r="L139" s="15">
        <v>1975.54</v>
      </c>
    </row>
    <row r="140" spans="1:12" ht="12.75" customHeight="1">
      <c r="A140" s="13">
        <v>138</v>
      </c>
      <c r="B140" s="14">
        <v>425.04</v>
      </c>
      <c r="C140" s="14">
        <v>593.4</v>
      </c>
      <c r="D140" s="14">
        <v>1079.1600000000001</v>
      </c>
      <c r="E140" s="14">
        <v>1284.78</v>
      </c>
      <c r="F140" s="14">
        <v>1312.38</v>
      </c>
      <c r="G140" s="14">
        <v>1604.94</v>
      </c>
      <c r="H140" s="15">
        <v>1709.82</v>
      </c>
      <c r="I140" s="14">
        <v>1907.16</v>
      </c>
      <c r="J140" s="14">
        <v>1907.16</v>
      </c>
      <c r="K140" s="15">
        <v>1989.96</v>
      </c>
      <c r="L140" s="15">
        <v>1989.96</v>
      </c>
    </row>
    <row r="141" spans="1:12" ht="12.75" customHeight="1">
      <c r="A141" s="13">
        <v>139</v>
      </c>
      <c r="B141" s="14">
        <v>428.12</v>
      </c>
      <c r="C141" s="14">
        <v>597.70000000000005</v>
      </c>
      <c r="D141" s="14">
        <v>1086.98</v>
      </c>
      <c r="E141" s="14">
        <v>1294.0899999999999</v>
      </c>
      <c r="F141" s="14">
        <v>1321.89</v>
      </c>
      <c r="G141" s="14">
        <v>1616.57</v>
      </c>
      <c r="H141" s="15">
        <v>1722.21</v>
      </c>
      <c r="I141" s="14">
        <v>1920.98</v>
      </c>
      <c r="J141" s="14">
        <v>1920.98</v>
      </c>
      <c r="K141" s="15">
        <v>2004.38</v>
      </c>
      <c r="L141" s="15">
        <v>2004.38</v>
      </c>
    </row>
    <row r="142" spans="1:12" ht="12.75" customHeight="1">
      <c r="A142" s="16">
        <v>140</v>
      </c>
      <c r="B142" s="17">
        <v>431.2</v>
      </c>
      <c r="C142" s="17">
        <v>602</v>
      </c>
      <c r="D142" s="17">
        <v>1094.8</v>
      </c>
      <c r="E142" s="17">
        <v>1303.4000000000001</v>
      </c>
      <c r="F142" s="17">
        <v>1331.4</v>
      </c>
      <c r="G142" s="17">
        <v>1628.2</v>
      </c>
      <c r="H142" s="18">
        <v>1734.6</v>
      </c>
      <c r="I142" s="17">
        <v>1934.8</v>
      </c>
      <c r="J142" s="17">
        <v>1934.8</v>
      </c>
      <c r="K142" s="18">
        <v>2018.8</v>
      </c>
      <c r="L142" s="18">
        <v>2018.8</v>
      </c>
    </row>
    <row r="143" spans="1:12" ht="12.75" customHeight="1">
      <c r="A143" s="19">
        <v>141</v>
      </c>
      <c r="B143" s="20">
        <v>434.28</v>
      </c>
      <c r="C143" s="20">
        <v>606.29999999999995</v>
      </c>
      <c r="D143" s="21">
        <v>1102.6199999999999</v>
      </c>
      <c r="E143" s="21">
        <v>1312.71</v>
      </c>
      <c r="F143" s="21">
        <v>1340.91</v>
      </c>
      <c r="G143" s="21">
        <v>1639.83</v>
      </c>
      <c r="H143" s="22">
        <v>1746.99</v>
      </c>
      <c r="I143" s="21">
        <v>1948.62</v>
      </c>
      <c r="J143" s="21">
        <v>1948.62</v>
      </c>
      <c r="K143" s="22">
        <v>2033.22</v>
      </c>
      <c r="L143" s="22">
        <v>2033.22</v>
      </c>
    </row>
    <row r="144" spans="1:12" ht="12.75" customHeight="1">
      <c r="A144" s="23">
        <v>142</v>
      </c>
      <c r="B144" s="24">
        <v>437.36</v>
      </c>
      <c r="C144" s="24">
        <v>610.6</v>
      </c>
      <c r="D144" s="25">
        <v>1110.44</v>
      </c>
      <c r="E144" s="25">
        <v>1322.02</v>
      </c>
      <c r="F144" s="25">
        <v>1350.42</v>
      </c>
      <c r="G144" s="25">
        <v>1651.46</v>
      </c>
      <c r="H144" s="26">
        <v>1759.38</v>
      </c>
      <c r="I144" s="25">
        <v>1962.44</v>
      </c>
      <c r="J144" s="25">
        <v>1962.44</v>
      </c>
      <c r="K144" s="26">
        <v>2047.64</v>
      </c>
      <c r="L144" s="26">
        <v>2047.64</v>
      </c>
    </row>
    <row r="145" spans="1:12" ht="12.75" customHeight="1">
      <c r="A145" s="23">
        <v>143</v>
      </c>
      <c r="B145" s="24">
        <v>440.44</v>
      </c>
      <c r="C145" s="24">
        <v>614.9</v>
      </c>
      <c r="D145" s="25">
        <v>1118.26</v>
      </c>
      <c r="E145" s="25">
        <v>1331.33</v>
      </c>
      <c r="F145" s="25">
        <v>1359.93</v>
      </c>
      <c r="G145" s="25">
        <v>1663.09</v>
      </c>
      <c r="H145" s="26">
        <v>1771.77</v>
      </c>
      <c r="I145" s="25">
        <v>1976.26</v>
      </c>
      <c r="J145" s="25">
        <v>1976.26</v>
      </c>
      <c r="K145" s="26">
        <v>2062.06</v>
      </c>
      <c r="L145" s="26">
        <v>2062.06</v>
      </c>
    </row>
    <row r="146" spans="1:12" ht="12.75" customHeight="1">
      <c r="A146" s="23">
        <v>144</v>
      </c>
      <c r="B146" s="24">
        <v>443.52</v>
      </c>
      <c r="C146" s="24">
        <v>619.20000000000005</v>
      </c>
      <c r="D146" s="25">
        <v>1126.08</v>
      </c>
      <c r="E146" s="25">
        <v>1340.64</v>
      </c>
      <c r="F146" s="25">
        <v>1369.44</v>
      </c>
      <c r="G146" s="25">
        <v>1674.72</v>
      </c>
      <c r="H146" s="26">
        <v>1784.16</v>
      </c>
      <c r="I146" s="25">
        <v>1990.08</v>
      </c>
      <c r="J146" s="25">
        <v>1990.08</v>
      </c>
      <c r="K146" s="26">
        <v>2076.48</v>
      </c>
      <c r="L146" s="26">
        <v>2076.48</v>
      </c>
    </row>
    <row r="147" spans="1:12" ht="12.75" customHeight="1">
      <c r="A147" s="23">
        <v>145</v>
      </c>
      <c r="B147" s="28">
        <v>446.6</v>
      </c>
      <c r="C147" s="28">
        <v>623.5</v>
      </c>
      <c r="D147" s="29">
        <v>1133.9000000000001</v>
      </c>
      <c r="E147" s="29">
        <v>1349.95</v>
      </c>
      <c r="F147" s="29">
        <v>1378.95</v>
      </c>
      <c r="G147" s="29">
        <v>1686.35</v>
      </c>
      <c r="H147" s="30">
        <v>1796.55</v>
      </c>
      <c r="I147" s="29">
        <v>2003.9</v>
      </c>
      <c r="J147" s="29">
        <v>2003.9</v>
      </c>
      <c r="K147" s="30">
        <v>2090.9</v>
      </c>
      <c r="L147" s="30">
        <v>2090.9</v>
      </c>
    </row>
    <row r="148" spans="1:12" ht="12.75" customHeight="1">
      <c r="A148" s="9">
        <v>146</v>
      </c>
      <c r="B148" s="10">
        <v>449.68</v>
      </c>
      <c r="C148" s="10">
        <v>627.79999999999995</v>
      </c>
      <c r="D148" s="10">
        <v>1141.72</v>
      </c>
      <c r="E148" s="10">
        <v>1359.26</v>
      </c>
      <c r="F148" s="10">
        <v>1388.46</v>
      </c>
      <c r="G148" s="10">
        <v>1697.98</v>
      </c>
      <c r="H148" s="11">
        <v>1808.94</v>
      </c>
      <c r="I148" s="10">
        <v>2017.72</v>
      </c>
      <c r="J148" s="10">
        <v>2017.72</v>
      </c>
      <c r="K148" s="11">
        <v>2105.3200000000002</v>
      </c>
      <c r="L148" s="11">
        <v>2105.3200000000002</v>
      </c>
    </row>
    <row r="149" spans="1:12" ht="12.75" customHeight="1">
      <c r="A149" s="33">
        <v>147</v>
      </c>
      <c r="B149" s="14">
        <v>452.76</v>
      </c>
      <c r="C149" s="14">
        <v>632.1</v>
      </c>
      <c r="D149" s="14">
        <v>1149.54</v>
      </c>
      <c r="E149" s="14">
        <v>1368.57</v>
      </c>
      <c r="F149" s="14">
        <v>1397.97</v>
      </c>
      <c r="G149" s="14">
        <v>1709.61</v>
      </c>
      <c r="H149" s="15">
        <v>1821.33</v>
      </c>
      <c r="I149" s="14">
        <v>2031.54</v>
      </c>
      <c r="J149" s="14">
        <v>2031.54</v>
      </c>
      <c r="K149" s="15">
        <v>2119.7399999999998</v>
      </c>
      <c r="L149" s="15">
        <v>2119.7399999999998</v>
      </c>
    </row>
    <row r="150" spans="1:12" ht="12.75" customHeight="1">
      <c r="A150" s="33">
        <v>148</v>
      </c>
      <c r="B150" s="14">
        <v>455.84</v>
      </c>
      <c r="C150" s="14">
        <v>636.4</v>
      </c>
      <c r="D150" s="14">
        <v>1157.3599999999999</v>
      </c>
      <c r="E150" s="14">
        <v>1377.88</v>
      </c>
      <c r="F150" s="14">
        <v>1407.48</v>
      </c>
      <c r="G150" s="14">
        <v>1721.24</v>
      </c>
      <c r="H150" s="15">
        <v>1833.72</v>
      </c>
      <c r="I150" s="14">
        <v>2045.36</v>
      </c>
      <c r="J150" s="14">
        <v>2045.36</v>
      </c>
      <c r="K150" s="15">
        <v>2134.16</v>
      </c>
      <c r="L150" s="15">
        <v>2134.16</v>
      </c>
    </row>
    <row r="151" spans="1:12" ht="12.75" customHeight="1">
      <c r="A151" s="33">
        <v>149</v>
      </c>
      <c r="B151" s="14">
        <v>458.92</v>
      </c>
      <c r="C151" s="14">
        <v>640.70000000000005</v>
      </c>
      <c r="D151" s="14">
        <v>1165.18</v>
      </c>
      <c r="E151" s="14">
        <v>1387.19</v>
      </c>
      <c r="F151" s="14">
        <v>1416.99</v>
      </c>
      <c r="G151" s="14">
        <v>1732.87</v>
      </c>
      <c r="H151" s="15">
        <v>1846.11</v>
      </c>
      <c r="I151" s="14">
        <v>2059.1799999999998</v>
      </c>
      <c r="J151" s="14">
        <v>2059.1799999999998</v>
      </c>
      <c r="K151" s="15">
        <v>2148.58</v>
      </c>
      <c r="L151" s="15">
        <v>2148.58</v>
      </c>
    </row>
    <row r="152" spans="1:12" ht="12.75" customHeight="1">
      <c r="A152" s="16">
        <v>150</v>
      </c>
      <c r="B152" s="17">
        <v>462</v>
      </c>
      <c r="C152" s="17">
        <v>645</v>
      </c>
      <c r="D152" s="17">
        <v>1173</v>
      </c>
      <c r="E152" s="17">
        <v>1396.5</v>
      </c>
      <c r="F152" s="17">
        <v>1426.5</v>
      </c>
      <c r="G152" s="17">
        <v>1744.5</v>
      </c>
      <c r="H152" s="18">
        <v>1858.5</v>
      </c>
      <c r="I152" s="17">
        <v>2073</v>
      </c>
      <c r="J152" s="17">
        <v>2073</v>
      </c>
      <c r="K152" s="18">
        <v>2163</v>
      </c>
      <c r="L152" s="18">
        <v>2163</v>
      </c>
    </row>
    <row r="153" spans="1:12" ht="12.75" customHeight="1">
      <c r="A153" s="36">
        <v>1000</v>
      </c>
      <c r="B153" s="37">
        <v>3.08</v>
      </c>
      <c r="C153" s="37">
        <v>4.3</v>
      </c>
      <c r="D153" s="37">
        <v>7.82</v>
      </c>
      <c r="E153" s="37">
        <v>9.31</v>
      </c>
      <c r="F153" s="37">
        <v>9.51</v>
      </c>
      <c r="G153" s="37">
        <v>11.63</v>
      </c>
      <c r="H153" s="37">
        <v>12.39</v>
      </c>
      <c r="I153" s="37">
        <v>13.82</v>
      </c>
      <c r="J153" s="37">
        <v>13.82</v>
      </c>
      <c r="K153" s="37">
        <v>14.42</v>
      </c>
      <c r="L153" s="37">
        <v>14.42</v>
      </c>
    </row>
    <row r="154" spans="1:12" ht="12.75" customHeight="1"/>
    <row r="155" spans="1:12" ht="12.75" customHeight="1"/>
    <row r="156" spans="1:12" ht="12.75" customHeight="1"/>
    <row r="157" spans="1:12" ht="12.75" customHeight="1"/>
    <row r="158" spans="1:12" ht="12.75" customHeight="1"/>
    <row r="159" spans="1:12" ht="12.75" customHeight="1"/>
    <row r="160" spans="1:12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heet="1" objects="1" scenarios="1"/>
  <pageMargins left="0.75" right="0.75" top="0.51" bottom="0.56999999999999995" header="0" footer="0"/>
  <pageSetup scale="92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Z914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2.5703125" defaultRowHeight="15" customHeight="1"/>
  <cols>
    <col min="1" max="1" width="9.7109375" customWidth="1"/>
    <col min="2" max="4" width="8.7109375" customWidth="1"/>
    <col min="5" max="5" width="8.42578125" customWidth="1"/>
    <col min="6" max="12" width="8.7109375" customWidth="1"/>
    <col min="13" max="13" width="9.5703125" customWidth="1"/>
    <col min="14" max="26" width="8.7109375" customWidth="1"/>
  </cols>
  <sheetData>
    <row r="1" spans="1:26" ht="12.75" customHeight="1">
      <c r="A1" s="38"/>
      <c r="B1" s="88" t="s">
        <v>16</v>
      </c>
      <c r="C1" s="88" t="s">
        <v>16</v>
      </c>
      <c r="D1" s="88" t="s">
        <v>19</v>
      </c>
      <c r="E1" s="88" t="s">
        <v>20</v>
      </c>
      <c r="F1" s="88" t="s">
        <v>21</v>
      </c>
      <c r="G1" s="88" t="s">
        <v>22</v>
      </c>
      <c r="H1" s="88" t="s">
        <v>23</v>
      </c>
      <c r="I1" s="88" t="s">
        <v>24</v>
      </c>
      <c r="J1" s="88" t="s">
        <v>25</v>
      </c>
      <c r="K1" s="88" t="s">
        <v>26</v>
      </c>
      <c r="L1" s="88" t="s">
        <v>27</v>
      </c>
      <c r="M1" s="88" t="s">
        <v>28</v>
      </c>
      <c r="N1" s="88" t="s">
        <v>29</v>
      </c>
      <c r="O1" s="88" t="s">
        <v>30</v>
      </c>
      <c r="P1" s="88" t="s">
        <v>31</v>
      </c>
      <c r="Q1" s="88" t="s">
        <v>81</v>
      </c>
      <c r="R1" s="36"/>
      <c r="S1" s="36"/>
      <c r="T1" s="36"/>
      <c r="U1" s="36"/>
      <c r="V1" s="36"/>
      <c r="W1" s="36"/>
      <c r="X1" s="36"/>
      <c r="Y1" s="36"/>
      <c r="Z1" s="36"/>
    </row>
    <row r="2" spans="1:26" ht="12.75" customHeight="1">
      <c r="A2" s="1" t="s">
        <v>5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N2" s="2" t="s">
        <v>44</v>
      </c>
      <c r="O2" s="2" t="s">
        <v>45</v>
      </c>
      <c r="P2" s="2" t="s">
        <v>46</v>
      </c>
      <c r="Q2" s="2" t="s">
        <v>12</v>
      </c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183">
        <v>126.18</v>
      </c>
      <c r="C3" s="183">
        <v>139.28</v>
      </c>
      <c r="D3" s="183">
        <v>129.72</v>
      </c>
      <c r="E3" s="183">
        <v>157.72999999999999</v>
      </c>
      <c r="F3" s="183">
        <v>244.1</v>
      </c>
      <c r="G3" s="183">
        <v>147.66</v>
      </c>
      <c r="H3" s="183">
        <v>142.38999999999999</v>
      </c>
      <c r="I3" s="184">
        <v>177.71</v>
      </c>
      <c r="J3" s="184">
        <v>141.12</v>
      </c>
      <c r="K3" s="184">
        <v>170.05</v>
      </c>
      <c r="L3" s="184">
        <v>166.54</v>
      </c>
      <c r="M3" s="184">
        <v>202.84</v>
      </c>
      <c r="N3" s="184">
        <v>258.92</v>
      </c>
      <c r="O3" s="184">
        <v>161.88999999999999</v>
      </c>
      <c r="P3" s="184">
        <v>180.35</v>
      </c>
      <c r="Q3" s="184">
        <v>96.35</v>
      </c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5">
        <v>2</v>
      </c>
      <c r="B4" s="185">
        <v>138.76</v>
      </c>
      <c r="C4" s="185">
        <v>149.91</v>
      </c>
      <c r="D4" s="186">
        <v>145.66999999999999</v>
      </c>
      <c r="E4" s="186">
        <v>171.95</v>
      </c>
      <c r="F4" s="186">
        <v>264.92</v>
      </c>
      <c r="G4" s="186">
        <v>167.41</v>
      </c>
      <c r="H4" s="186">
        <v>166.34</v>
      </c>
      <c r="I4" s="186">
        <v>205.84</v>
      </c>
      <c r="J4" s="185">
        <v>141.85</v>
      </c>
      <c r="K4" s="187">
        <v>209.74</v>
      </c>
      <c r="L4" s="188">
        <v>193.99</v>
      </c>
      <c r="M4" s="185">
        <v>244.52</v>
      </c>
      <c r="N4" s="185">
        <v>283.77999999999997</v>
      </c>
      <c r="O4" s="185">
        <v>187.04</v>
      </c>
      <c r="P4" s="185">
        <v>204.57</v>
      </c>
      <c r="Q4" s="185">
        <v>105.15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5">
        <v>3</v>
      </c>
      <c r="B5" s="189">
        <v>156.75</v>
      </c>
      <c r="C5" s="189">
        <v>166.27</v>
      </c>
      <c r="D5" s="190">
        <v>161.91</v>
      </c>
      <c r="E5" s="190">
        <v>199.77</v>
      </c>
      <c r="F5" s="190">
        <v>322.74</v>
      </c>
      <c r="G5" s="190">
        <v>200.03</v>
      </c>
      <c r="H5" s="189">
        <v>191.17</v>
      </c>
      <c r="I5" s="191">
        <v>228.38</v>
      </c>
      <c r="J5" s="189">
        <v>156.27000000000001</v>
      </c>
      <c r="K5" s="192">
        <v>240.91</v>
      </c>
      <c r="L5" s="191">
        <v>226.31</v>
      </c>
      <c r="M5" s="189">
        <v>280.38</v>
      </c>
      <c r="N5" s="189">
        <v>323.55</v>
      </c>
      <c r="O5" s="189">
        <v>210.68</v>
      </c>
      <c r="P5" s="189">
        <v>226.94</v>
      </c>
      <c r="Q5" s="189">
        <v>117.25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5">
        <v>4</v>
      </c>
      <c r="B6" s="189">
        <v>171.35</v>
      </c>
      <c r="C6" s="189">
        <v>183.49</v>
      </c>
      <c r="D6" s="190">
        <v>181.42</v>
      </c>
      <c r="E6" s="189">
        <v>227.39</v>
      </c>
      <c r="F6" s="191">
        <v>359.83</v>
      </c>
      <c r="G6" s="190">
        <v>232.29</v>
      </c>
      <c r="H6" s="190">
        <v>221.56</v>
      </c>
      <c r="I6" s="190">
        <v>245.45</v>
      </c>
      <c r="J6" s="189">
        <v>192.04</v>
      </c>
      <c r="K6" s="192">
        <v>281.5</v>
      </c>
      <c r="L6" s="191">
        <v>261.36</v>
      </c>
      <c r="M6" s="189">
        <v>340.64</v>
      </c>
      <c r="N6" s="189">
        <v>365.15</v>
      </c>
      <c r="O6" s="189">
        <v>238.9</v>
      </c>
      <c r="P6" s="189">
        <v>247.61</v>
      </c>
      <c r="Q6" s="189">
        <v>128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5">
        <v>5</v>
      </c>
      <c r="B7" s="193">
        <v>177.78</v>
      </c>
      <c r="C7" s="193">
        <v>221.07</v>
      </c>
      <c r="D7" s="194">
        <v>206.67</v>
      </c>
      <c r="E7" s="190">
        <v>264.42</v>
      </c>
      <c r="F7" s="190">
        <v>416.14</v>
      </c>
      <c r="G7" s="190">
        <v>263.22000000000003</v>
      </c>
      <c r="H7" s="190">
        <v>284.66000000000003</v>
      </c>
      <c r="I7" s="194">
        <v>273.14999999999998</v>
      </c>
      <c r="J7" s="193">
        <v>202.64</v>
      </c>
      <c r="K7" s="195">
        <v>317.45999999999998</v>
      </c>
      <c r="L7" s="196">
        <v>310.68</v>
      </c>
      <c r="M7" s="193">
        <v>362.47</v>
      </c>
      <c r="N7" s="193">
        <v>401.17</v>
      </c>
      <c r="O7" s="193">
        <v>289.5</v>
      </c>
      <c r="P7" s="193">
        <v>305.72000000000003</v>
      </c>
      <c r="Q7" s="193">
        <v>138.69999999999999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5">
        <v>6</v>
      </c>
      <c r="B8" s="197">
        <v>196.89</v>
      </c>
      <c r="C8" s="197">
        <v>231.55</v>
      </c>
      <c r="D8" s="198">
        <v>233.76</v>
      </c>
      <c r="E8" s="198">
        <v>280.97000000000003</v>
      </c>
      <c r="F8" s="199">
        <v>425.11</v>
      </c>
      <c r="G8" s="198">
        <v>298.5</v>
      </c>
      <c r="H8" s="198">
        <v>303.3</v>
      </c>
      <c r="I8" s="200">
        <v>290.11</v>
      </c>
      <c r="J8" s="200">
        <v>235.22</v>
      </c>
      <c r="K8" s="200">
        <v>347.76</v>
      </c>
      <c r="L8" s="200">
        <v>327.49</v>
      </c>
      <c r="M8" s="200">
        <v>409.96</v>
      </c>
      <c r="N8" s="200">
        <v>456.25</v>
      </c>
      <c r="O8" s="200">
        <v>316.85000000000002</v>
      </c>
      <c r="P8" s="200">
        <v>335.68</v>
      </c>
      <c r="Q8" s="200">
        <v>148.65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5">
        <v>7</v>
      </c>
      <c r="B9" s="201">
        <v>200.98</v>
      </c>
      <c r="C9" s="201">
        <v>237.14</v>
      </c>
      <c r="D9" s="202">
        <v>249.02</v>
      </c>
      <c r="E9" s="202">
        <v>297.27</v>
      </c>
      <c r="F9" s="203">
        <v>457.2</v>
      </c>
      <c r="G9" s="202">
        <v>302.05</v>
      </c>
      <c r="H9" s="202">
        <v>317.22000000000003</v>
      </c>
      <c r="I9" s="204">
        <v>316.25</v>
      </c>
      <c r="J9" s="204">
        <v>248.21</v>
      </c>
      <c r="K9" s="204">
        <v>378.54</v>
      </c>
      <c r="L9" s="204">
        <v>356.46</v>
      </c>
      <c r="M9" s="204">
        <v>455.79</v>
      </c>
      <c r="N9" s="204">
        <v>477.84</v>
      </c>
      <c r="O9" s="204">
        <v>342.25</v>
      </c>
      <c r="P9" s="204">
        <v>365.36</v>
      </c>
      <c r="Q9" s="204">
        <v>159.30000000000001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5">
        <v>8</v>
      </c>
      <c r="B10" s="201">
        <v>202.35</v>
      </c>
      <c r="C10" s="201">
        <v>237.71</v>
      </c>
      <c r="D10" s="202">
        <v>258.2</v>
      </c>
      <c r="E10" s="202">
        <v>308.79000000000002</v>
      </c>
      <c r="F10" s="203">
        <v>473.2</v>
      </c>
      <c r="G10" s="202">
        <v>310.57</v>
      </c>
      <c r="H10" s="202">
        <v>318.62</v>
      </c>
      <c r="I10" s="204">
        <v>338.3</v>
      </c>
      <c r="J10" s="204">
        <v>249.53</v>
      </c>
      <c r="K10" s="204">
        <v>407.68</v>
      </c>
      <c r="L10" s="204">
        <v>364.28</v>
      </c>
      <c r="M10" s="204">
        <v>541.94000000000005</v>
      </c>
      <c r="N10" s="204">
        <v>509.95</v>
      </c>
      <c r="O10" s="204">
        <v>357.92</v>
      </c>
      <c r="P10" s="204">
        <v>380.76</v>
      </c>
      <c r="Q10" s="204">
        <v>167.95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5">
        <v>9</v>
      </c>
      <c r="B11" s="201">
        <v>202.77</v>
      </c>
      <c r="C11" s="201">
        <v>238.19</v>
      </c>
      <c r="D11" s="202">
        <v>259.13</v>
      </c>
      <c r="E11" s="202">
        <v>311.45999999999998</v>
      </c>
      <c r="F11" s="203">
        <v>475.03</v>
      </c>
      <c r="G11" s="202">
        <v>311.43</v>
      </c>
      <c r="H11" s="202">
        <v>319.27</v>
      </c>
      <c r="I11" s="204">
        <v>340.53</v>
      </c>
      <c r="J11" s="204">
        <v>250.79</v>
      </c>
      <c r="K11" s="204">
        <v>412.66</v>
      </c>
      <c r="L11" s="204">
        <v>365.07</v>
      </c>
      <c r="M11" s="204">
        <v>551.41999999999996</v>
      </c>
      <c r="N11" s="204">
        <v>513.16999999999996</v>
      </c>
      <c r="O11" s="204">
        <v>359.49</v>
      </c>
      <c r="P11" s="204">
        <v>382.49</v>
      </c>
      <c r="Q11" s="204">
        <v>178.75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5">
        <v>10</v>
      </c>
      <c r="B12" s="201">
        <v>203.19</v>
      </c>
      <c r="C12" s="205">
        <v>242.93</v>
      </c>
      <c r="D12" s="206">
        <v>259.66000000000003</v>
      </c>
      <c r="E12" s="206">
        <v>312.2</v>
      </c>
      <c r="F12" s="207">
        <v>475.99</v>
      </c>
      <c r="G12" s="206">
        <v>312.06</v>
      </c>
      <c r="H12" s="206">
        <v>319.92</v>
      </c>
      <c r="I12" s="208">
        <v>342.51</v>
      </c>
      <c r="J12" s="208">
        <v>251.63</v>
      </c>
      <c r="K12" s="208">
        <v>413.51</v>
      </c>
      <c r="L12" s="208">
        <v>365.81</v>
      </c>
      <c r="M12" s="208">
        <v>554.71</v>
      </c>
      <c r="N12" s="208">
        <v>514.20000000000005</v>
      </c>
      <c r="O12" s="208">
        <v>360.21</v>
      </c>
      <c r="P12" s="208">
        <v>383.26</v>
      </c>
      <c r="Q12" s="208">
        <v>190.25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5">
        <v>11</v>
      </c>
      <c r="B13" s="185">
        <v>204.5</v>
      </c>
      <c r="C13" s="189">
        <v>246</v>
      </c>
      <c r="D13" s="189">
        <v>260.18</v>
      </c>
      <c r="E13" s="189">
        <v>314.77</v>
      </c>
      <c r="F13" s="192">
        <v>476.95</v>
      </c>
      <c r="G13" s="189">
        <v>316.85000000000002</v>
      </c>
      <c r="H13" s="189">
        <v>321.7</v>
      </c>
      <c r="I13" s="190">
        <v>343.2</v>
      </c>
      <c r="J13" s="190">
        <v>268.38</v>
      </c>
      <c r="K13" s="190">
        <v>422.18</v>
      </c>
      <c r="L13" s="190">
        <v>369.7</v>
      </c>
      <c r="M13" s="190">
        <v>565.78</v>
      </c>
      <c r="N13" s="190">
        <v>515.24</v>
      </c>
      <c r="O13" s="190">
        <v>360.94</v>
      </c>
      <c r="P13" s="190">
        <v>384.15</v>
      </c>
      <c r="Q13" s="190">
        <v>201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5">
        <v>12</v>
      </c>
      <c r="B14" s="189">
        <v>206.66</v>
      </c>
      <c r="C14" s="189">
        <v>251.77</v>
      </c>
      <c r="D14" s="189">
        <v>263.77999999999997</v>
      </c>
      <c r="E14" s="189">
        <v>318.10000000000002</v>
      </c>
      <c r="F14" s="192">
        <v>483.39</v>
      </c>
      <c r="G14" s="189">
        <v>321.81</v>
      </c>
      <c r="H14" s="189">
        <v>325.76</v>
      </c>
      <c r="I14" s="190">
        <v>346.79</v>
      </c>
      <c r="J14" s="190">
        <v>270.07</v>
      </c>
      <c r="K14" s="190">
        <v>428.18</v>
      </c>
      <c r="L14" s="190">
        <v>374.9</v>
      </c>
      <c r="M14" s="190">
        <v>571.94000000000005</v>
      </c>
      <c r="N14" s="190">
        <v>523.19000000000005</v>
      </c>
      <c r="O14" s="190">
        <v>366.21</v>
      </c>
      <c r="P14" s="190">
        <v>387.31</v>
      </c>
      <c r="Q14" s="190">
        <v>210.8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5">
        <v>13</v>
      </c>
      <c r="B15" s="189">
        <v>249.73</v>
      </c>
      <c r="C15" s="189">
        <v>317.49</v>
      </c>
      <c r="D15" s="189">
        <v>335.64</v>
      </c>
      <c r="E15" s="189">
        <v>384.32</v>
      </c>
      <c r="F15" s="192">
        <v>612.07000000000005</v>
      </c>
      <c r="G15" s="189">
        <v>420.66</v>
      </c>
      <c r="H15" s="189">
        <v>406.73</v>
      </c>
      <c r="I15" s="190">
        <v>418.59</v>
      </c>
      <c r="J15" s="190">
        <v>292.36</v>
      </c>
      <c r="K15" s="190">
        <v>547.91999999999996</v>
      </c>
      <c r="L15" s="190">
        <v>478.47</v>
      </c>
      <c r="M15" s="190">
        <v>694.99</v>
      </c>
      <c r="N15" s="190">
        <v>682.1</v>
      </c>
      <c r="O15" s="190">
        <v>471.27</v>
      </c>
      <c r="P15" s="190">
        <v>450.47</v>
      </c>
      <c r="Q15" s="190">
        <v>220.15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5">
        <v>14</v>
      </c>
      <c r="B16" s="189">
        <v>284.47000000000003</v>
      </c>
      <c r="C16" s="189">
        <v>334.02</v>
      </c>
      <c r="D16" s="189">
        <v>372.39</v>
      </c>
      <c r="E16" s="189">
        <v>434.52</v>
      </c>
      <c r="F16" s="192">
        <v>708.37</v>
      </c>
      <c r="G16" s="189">
        <v>445.91</v>
      </c>
      <c r="H16" s="189">
        <v>434.9</v>
      </c>
      <c r="I16" s="190">
        <v>462.31</v>
      </c>
      <c r="J16" s="190">
        <v>303.87</v>
      </c>
      <c r="K16" s="190">
        <v>629.29</v>
      </c>
      <c r="L16" s="190">
        <v>549.03</v>
      </c>
      <c r="M16" s="190">
        <v>781.38</v>
      </c>
      <c r="N16" s="190">
        <v>725.58</v>
      </c>
      <c r="O16" s="190">
        <v>544.4</v>
      </c>
      <c r="P16" s="190">
        <v>576.12</v>
      </c>
      <c r="Q16" s="190">
        <v>230.15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5">
        <v>15</v>
      </c>
      <c r="B17" s="193">
        <v>288.27999999999997</v>
      </c>
      <c r="C17" s="193">
        <v>345.26</v>
      </c>
      <c r="D17" s="193">
        <v>398.55</v>
      </c>
      <c r="E17" s="193">
        <v>439.54</v>
      </c>
      <c r="F17" s="195">
        <v>733.69</v>
      </c>
      <c r="G17" s="193">
        <v>462.07</v>
      </c>
      <c r="H17" s="193">
        <v>458.98</v>
      </c>
      <c r="I17" s="194">
        <v>490.7</v>
      </c>
      <c r="J17" s="194">
        <v>338.97</v>
      </c>
      <c r="K17" s="194">
        <v>660.2</v>
      </c>
      <c r="L17" s="194">
        <v>599.04</v>
      </c>
      <c r="M17" s="194">
        <v>821.99</v>
      </c>
      <c r="N17" s="194">
        <v>776.38</v>
      </c>
      <c r="O17" s="194">
        <v>571.16999999999996</v>
      </c>
      <c r="P17" s="194">
        <v>589.29</v>
      </c>
      <c r="Q17" s="194">
        <v>238.25</v>
      </c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5">
        <v>16</v>
      </c>
      <c r="B18" s="197">
        <v>311.77999999999997</v>
      </c>
      <c r="C18" s="197">
        <v>356.52</v>
      </c>
      <c r="D18" s="202">
        <v>401.17</v>
      </c>
      <c r="E18" s="202">
        <v>467.43</v>
      </c>
      <c r="F18" s="203">
        <v>836.16</v>
      </c>
      <c r="G18" s="202">
        <v>479.09</v>
      </c>
      <c r="H18" s="202">
        <v>478.7</v>
      </c>
      <c r="I18" s="204">
        <v>509.96</v>
      </c>
      <c r="J18" s="204">
        <v>360.81</v>
      </c>
      <c r="K18" s="204">
        <v>686.64</v>
      </c>
      <c r="L18" s="204">
        <v>607.02</v>
      </c>
      <c r="M18" s="204">
        <v>914.99</v>
      </c>
      <c r="N18" s="204">
        <v>851.42</v>
      </c>
      <c r="O18" s="204">
        <v>584.88</v>
      </c>
      <c r="P18" s="204">
        <v>596.48</v>
      </c>
      <c r="Q18" s="204">
        <v>247.65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5">
        <v>17</v>
      </c>
      <c r="B19" s="201">
        <v>320.5</v>
      </c>
      <c r="C19" s="201">
        <v>366.97</v>
      </c>
      <c r="D19" s="202">
        <v>401.98</v>
      </c>
      <c r="E19" s="202">
        <v>470.28</v>
      </c>
      <c r="F19" s="203">
        <v>869.74</v>
      </c>
      <c r="G19" s="202">
        <v>491.92</v>
      </c>
      <c r="H19" s="202">
        <v>480.68</v>
      </c>
      <c r="I19" s="204">
        <v>511.89</v>
      </c>
      <c r="J19" s="204">
        <v>363</v>
      </c>
      <c r="K19" s="204">
        <v>704.75</v>
      </c>
      <c r="L19" s="204">
        <v>608.24</v>
      </c>
      <c r="M19" s="204">
        <v>924.29</v>
      </c>
      <c r="N19" s="204">
        <v>858.94</v>
      </c>
      <c r="O19" s="204">
        <v>586.26</v>
      </c>
      <c r="P19" s="204">
        <v>599.54</v>
      </c>
      <c r="Q19" s="204">
        <v>253.15</v>
      </c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5">
        <v>18</v>
      </c>
      <c r="B20" s="201">
        <v>327.12</v>
      </c>
      <c r="C20" s="201">
        <v>368.04</v>
      </c>
      <c r="D20" s="202">
        <v>402.8</v>
      </c>
      <c r="E20" s="202">
        <v>471.76</v>
      </c>
      <c r="F20" s="203">
        <v>896.2</v>
      </c>
      <c r="G20" s="202">
        <v>493.22</v>
      </c>
      <c r="H20" s="202">
        <v>481.65</v>
      </c>
      <c r="I20" s="204">
        <v>512.92999999999995</v>
      </c>
      <c r="J20" s="204">
        <v>364.84</v>
      </c>
      <c r="K20" s="204">
        <v>706.59</v>
      </c>
      <c r="L20" s="204">
        <v>609.48</v>
      </c>
      <c r="M20" s="204">
        <v>956.88</v>
      </c>
      <c r="N20" s="204">
        <v>860.69</v>
      </c>
      <c r="O20" s="204">
        <v>587.44000000000005</v>
      </c>
      <c r="P20" s="204">
        <v>600.74</v>
      </c>
      <c r="Q20" s="204">
        <v>259.55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5">
        <v>19</v>
      </c>
      <c r="B21" s="201">
        <v>327.79</v>
      </c>
      <c r="C21" s="201">
        <v>372.23</v>
      </c>
      <c r="D21" s="202">
        <v>403.62</v>
      </c>
      <c r="E21" s="202">
        <v>472.71</v>
      </c>
      <c r="F21" s="203">
        <v>918.39</v>
      </c>
      <c r="G21" s="202">
        <v>494.23</v>
      </c>
      <c r="H21" s="202">
        <v>482.62</v>
      </c>
      <c r="I21" s="204">
        <v>513.96</v>
      </c>
      <c r="J21" s="204">
        <v>401.62</v>
      </c>
      <c r="K21" s="204">
        <v>708.01</v>
      </c>
      <c r="L21" s="204">
        <v>610.70000000000005</v>
      </c>
      <c r="M21" s="204">
        <v>967.79</v>
      </c>
      <c r="N21" s="204">
        <v>862.42</v>
      </c>
      <c r="O21" s="204">
        <v>588.62</v>
      </c>
      <c r="P21" s="204">
        <v>602.03</v>
      </c>
      <c r="Q21" s="204">
        <v>268.25</v>
      </c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5">
        <v>20</v>
      </c>
      <c r="B22" s="205">
        <v>328.46</v>
      </c>
      <c r="C22" s="205">
        <v>372.99</v>
      </c>
      <c r="D22" s="206">
        <v>404.43</v>
      </c>
      <c r="E22" s="206">
        <v>473.66</v>
      </c>
      <c r="F22" s="207">
        <v>920.62</v>
      </c>
      <c r="G22" s="206">
        <v>495.23</v>
      </c>
      <c r="H22" s="206">
        <v>483.6</v>
      </c>
      <c r="I22" s="208">
        <v>514.99</v>
      </c>
      <c r="J22" s="208">
        <v>405.3</v>
      </c>
      <c r="K22" s="208">
        <v>709.43</v>
      </c>
      <c r="L22" s="208">
        <v>611.94000000000005</v>
      </c>
      <c r="M22" s="208">
        <v>969.84</v>
      </c>
      <c r="N22" s="208">
        <v>864.16</v>
      </c>
      <c r="O22" s="208">
        <v>589.79999999999995</v>
      </c>
      <c r="P22" s="208">
        <v>603.29999999999995</v>
      </c>
      <c r="Q22" s="208">
        <v>273.45</v>
      </c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5">
        <v>21</v>
      </c>
      <c r="B23" s="185">
        <v>330.74</v>
      </c>
      <c r="C23" s="185">
        <v>387.95</v>
      </c>
      <c r="D23" s="189">
        <v>409.88</v>
      </c>
      <c r="E23" s="189">
        <v>476.62</v>
      </c>
      <c r="F23" s="192">
        <v>925.22</v>
      </c>
      <c r="G23" s="189">
        <v>498.33</v>
      </c>
      <c r="H23" s="189">
        <v>486.6</v>
      </c>
      <c r="I23" s="190">
        <v>519.14</v>
      </c>
      <c r="J23" s="190">
        <v>414.01</v>
      </c>
      <c r="K23" s="190">
        <v>713.72</v>
      </c>
      <c r="L23" s="190">
        <v>617.55999999999995</v>
      </c>
      <c r="M23" s="190">
        <v>973.66</v>
      </c>
      <c r="N23" s="190">
        <v>868.39</v>
      </c>
      <c r="O23" s="190">
        <v>593.35</v>
      </c>
      <c r="P23" s="190">
        <v>606.41999999999996</v>
      </c>
      <c r="Q23" s="190">
        <v>279.75</v>
      </c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5">
        <v>22</v>
      </c>
      <c r="B24" s="189">
        <v>331.06</v>
      </c>
      <c r="C24" s="189">
        <v>391.99</v>
      </c>
      <c r="D24" s="189">
        <v>410.44</v>
      </c>
      <c r="E24" s="189">
        <v>476.92</v>
      </c>
      <c r="F24" s="192">
        <v>925.68</v>
      </c>
      <c r="G24" s="189">
        <v>498.65</v>
      </c>
      <c r="H24" s="189">
        <v>486.91</v>
      </c>
      <c r="I24" s="190">
        <v>519.80999999999995</v>
      </c>
      <c r="J24" s="190">
        <v>414.89</v>
      </c>
      <c r="K24" s="190">
        <v>714.15</v>
      </c>
      <c r="L24" s="190">
        <v>618.13</v>
      </c>
      <c r="M24" s="190">
        <v>974.14</v>
      </c>
      <c r="N24" s="190">
        <v>868.82</v>
      </c>
      <c r="O24" s="190">
        <v>593.71</v>
      </c>
      <c r="P24" s="190">
        <v>606.74</v>
      </c>
      <c r="Q24" s="190">
        <v>286</v>
      </c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5">
        <v>23</v>
      </c>
      <c r="B25" s="189">
        <v>331.51</v>
      </c>
      <c r="C25" s="189">
        <v>392.52</v>
      </c>
      <c r="D25" s="189">
        <v>410.79</v>
      </c>
      <c r="E25" s="189">
        <v>477.2</v>
      </c>
      <c r="F25" s="192">
        <v>925.95</v>
      </c>
      <c r="G25" s="189">
        <v>498.94</v>
      </c>
      <c r="H25" s="189">
        <v>487.2</v>
      </c>
      <c r="I25" s="190">
        <v>520.12</v>
      </c>
      <c r="J25" s="190">
        <v>415.19</v>
      </c>
      <c r="K25" s="190">
        <v>714.45</v>
      </c>
      <c r="L25" s="190">
        <v>618.41999999999996</v>
      </c>
      <c r="M25" s="190">
        <v>974.4</v>
      </c>
      <c r="N25" s="190">
        <v>869.09</v>
      </c>
      <c r="O25" s="190">
        <v>593.99</v>
      </c>
      <c r="P25" s="190">
        <v>606.99</v>
      </c>
      <c r="Q25" s="190">
        <v>293.8</v>
      </c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5">
        <v>24</v>
      </c>
      <c r="B26" s="189">
        <v>331.79</v>
      </c>
      <c r="C26" s="189">
        <v>392.87</v>
      </c>
      <c r="D26" s="189">
        <v>411.14</v>
      </c>
      <c r="E26" s="189">
        <v>477.62</v>
      </c>
      <c r="F26" s="192">
        <v>926.45</v>
      </c>
      <c r="G26" s="189">
        <v>499.33</v>
      </c>
      <c r="H26" s="189">
        <v>487.54</v>
      </c>
      <c r="I26" s="190">
        <v>520.65</v>
      </c>
      <c r="J26" s="190">
        <v>415.46</v>
      </c>
      <c r="K26" s="190">
        <v>715.04</v>
      </c>
      <c r="L26" s="190">
        <v>618.94000000000005</v>
      </c>
      <c r="M26" s="190">
        <v>974.94</v>
      </c>
      <c r="N26" s="190">
        <v>869.46</v>
      </c>
      <c r="O26" s="190">
        <v>594.53</v>
      </c>
      <c r="P26" s="190">
        <v>607.53</v>
      </c>
      <c r="Q26" s="190">
        <v>299.39999999999998</v>
      </c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5">
        <v>25</v>
      </c>
      <c r="B27" s="193">
        <v>335.94</v>
      </c>
      <c r="C27" s="193">
        <v>398.22</v>
      </c>
      <c r="D27" s="193">
        <v>414.96</v>
      </c>
      <c r="E27" s="193">
        <v>485.92</v>
      </c>
      <c r="F27" s="195">
        <v>936.34</v>
      </c>
      <c r="G27" s="193">
        <v>507.04</v>
      </c>
      <c r="H27" s="193">
        <v>494.19</v>
      </c>
      <c r="I27" s="194">
        <v>531.1</v>
      </c>
      <c r="J27" s="194">
        <v>417.98</v>
      </c>
      <c r="K27" s="194">
        <v>726.56</v>
      </c>
      <c r="L27" s="194">
        <v>629.22</v>
      </c>
      <c r="M27" s="194">
        <v>985.68</v>
      </c>
      <c r="N27" s="194">
        <v>876.8</v>
      </c>
      <c r="O27" s="194">
        <v>605.16999999999996</v>
      </c>
      <c r="P27" s="194">
        <v>618.32000000000005</v>
      </c>
      <c r="Q27" s="194">
        <v>308.8</v>
      </c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5">
        <v>26</v>
      </c>
      <c r="B28" s="197">
        <v>418.58</v>
      </c>
      <c r="C28" s="197">
        <v>489.82</v>
      </c>
      <c r="D28" s="202">
        <v>489.18</v>
      </c>
      <c r="E28" s="202">
        <v>651.80999999999995</v>
      </c>
      <c r="F28" s="203">
        <v>1134.01</v>
      </c>
      <c r="G28" s="202">
        <v>661.03</v>
      </c>
      <c r="H28" s="202">
        <v>627.1</v>
      </c>
      <c r="I28" s="204">
        <v>739.82</v>
      </c>
      <c r="J28" s="204">
        <v>468.27</v>
      </c>
      <c r="K28" s="204">
        <v>956.94</v>
      </c>
      <c r="L28" s="204">
        <v>834.66</v>
      </c>
      <c r="M28" s="204">
        <v>1200.31</v>
      </c>
      <c r="N28" s="204">
        <v>1023.35</v>
      </c>
      <c r="O28" s="204">
        <v>817.95</v>
      </c>
      <c r="P28" s="204">
        <v>834.08</v>
      </c>
      <c r="Q28" s="204">
        <v>313.45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5">
        <v>27</v>
      </c>
      <c r="B29" s="201">
        <v>439.61</v>
      </c>
      <c r="C29" s="201">
        <v>521.46</v>
      </c>
      <c r="D29" s="202">
        <v>547.1</v>
      </c>
      <c r="E29" s="202">
        <v>685.54</v>
      </c>
      <c r="F29" s="203">
        <v>1345.46</v>
      </c>
      <c r="G29" s="202">
        <v>678.94</v>
      </c>
      <c r="H29" s="202">
        <v>702.01</v>
      </c>
      <c r="I29" s="204">
        <v>761</v>
      </c>
      <c r="J29" s="204">
        <v>507.68</v>
      </c>
      <c r="K29" s="204">
        <v>1010.33</v>
      </c>
      <c r="L29" s="204">
        <v>866.31</v>
      </c>
      <c r="M29" s="204">
        <v>1291.93</v>
      </c>
      <c r="N29" s="204">
        <v>1423.75</v>
      </c>
      <c r="O29" s="204">
        <v>840.48</v>
      </c>
      <c r="P29" s="204">
        <v>924.3</v>
      </c>
      <c r="Q29" s="204">
        <v>320.10000000000002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5">
        <v>28</v>
      </c>
      <c r="B30" s="201">
        <v>441.72</v>
      </c>
      <c r="C30" s="201">
        <v>528.46</v>
      </c>
      <c r="D30" s="202">
        <v>574.27</v>
      </c>
      <c r="E30" s="202">
        <v>721.96</v>
      </c>
      <c r="F30" s="203">
        <v>1371.71</v>
      </c>
      <c r="G30" s="202">
        <v>680.8</v>
      </c>
      <c r="H30" s="203">
        <v>709.51</v>
      </c>
      <c r="I30" s="204">
        <v>780.46</v>
      </c>
      <c r="J30" s="204">
        <v>511.64</v>
      </c>
      <c r="K30" s="204">
        <v>1015.69</v>
      </c>
      <c r="L30" s="204">
        <v>869.48</v>
      </c>
      <c r="M30" s="204">
        <v>1301.1099999999999</v>
      </c>
      <c r="N30" s="204">
        <v>1463.8</v>
      </c>
      <c r="O30" s="204">
        <v>876.23</v>
      </c>
      <c r="P30" s="204">
        <v>933.33</v>
      </c>
      <c r="Q30" s="204">
        <v>326.05</v>
      </c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5">
        <v>29</v>
      </c>
      <c r="B31" s="201">
        <v>442.04</v>
      </c>
      <c r="C31" s="201">
        <v>534.92999999999995</v>
      </c>
      <c r="D31" s="202">
        <v>577.02</v>
      </c>
      <c r="E31" s="202">
        <v>729.99</v>
      </c>
      <c r="F31" s="203">
        <v>1374.34</v>
      </c>
      <c r="G31" s="202">
        <v>717.58</v>
      </c>
      <c r="H31" s="203">
        <v>711.29</v>
      </c>
      <c r="I31" s="204">
        <v>782.68</v>
      </c>
      <c r="J31" s="204">
        <v>512.29999999999995</v>
      </c>
      <c r="K31" s="204">
        <v>1043.78</v>
      </c>
      <c r="L31" s="204">
        <v>878.47</v>
      </c>
      <c r="M31" s="204">
        <v>1359.64</v>
      </c>
      <c r="N31" s="204">
        <v>1467.82</v>
      </c>
      <c r="O31" s="204">
        <v>926.93</v>
      </c>
      <c r="P31" s="204">
        <v>960.03</v>
      </c>
      <c r="Q31" s="204">
        <v>331.05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2.75" customHeight="1">
      <c r="A32" s="5">
        <v>30</v>
      </c>
      <c r="B32" s="205">
        <v>444.12</v>
      </c>
      <c r="C32" s="205">
        <v>536.08000000000004</v>
      </c>
      <c r="D32" s="206">
        <v>577.66999999999996</v>
      </c>
      <c r="E32" s="206">
        <v>730.93</v>
      </c>
      <c r="F32" s="207">
        <v>1376.35</v>
      </c>
      <c r="G32" s="206">
        <v>721.27</v>
      </c>
      <c r="H32" s="207">
        <v>746.68</v>
      </c>
      <c r="I32" s="208">
        <v>802.15</v>
      </c>
      <c r="J32" s="208">
        <v>525.03</v>
      </c>
      <c r="K32" s="208">
        <v>1047.94</v>
      </c>
      <c r="L32" s="208">
        <v>951.11</v>
      </c>
      <c r="M32" s="208">
        <v>1370.34</v>
      </c>
      <c r="N32" s="208">
        <v>1468.23</v>
      </c>
      <c r="O32" s="208">
        <v>932.01</v>
      </c>
      <c r="P32" s="208">
        <v>965.56</v>
      </c>
      <c r="Q32" s="208">
        <v>337.05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2.75" customHeight="1">
      <c r="A33" s="5">
        <v>31</v>
      </c>
      <c r="B33" s="185">
        <v>485.59</v>
      </c>
      <c r="C33" s="185">
        <v>558.65</v>
      </c>
      <c r="D33" s="189">
        <v>578.38</v>
      </c>
      <c r="E33" s="189">
        <v>746.19</v>
      </c>
      <c r="F33" s="192">
        <v>1416.35</v>
      </c>
      <c r="G33" s="189">
        <v>749.5</v>
      </c>
      <c r="H33" s="192">
        <v>777.48</v>
      </c>
      <c r="I33" s="190">
        <v>807.52</v>
      </c>
      <c r="J33" s="190">
        <v>539.9</v>
      </c>
      <c r="K33" s="190">
        <v>1130.8</v>
      </c>
      <c r="L33" s="190">
        <v>960.19</v>
      </c>
      <c r="M33" s="190">
        <v>1373.56</v>
      </c>
      <c r="N33" s="190">
        <v>1468.54</v>
      </c>
      <c r="O33" s="190">
        <v>981.05</v>
      </c>
      <c r="P33" s="190">
        <v>969.21</v>
      </c>
      <c r="Q33" s="190">
        <v>343.15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2.75" customHeight="1">
      <c r="A34" s="5">
        <v>32</v>
      </c>
      <c r="B34" s="189">
        <v>489.8</v>
      </c>
      <c r="C34" s="189">
        <v>567.95000000000005</v>
      </c>
      <c r="D34" s="189">
        <v>580.20000000000005</v>
      </c>
      <c r="E34" s="189">
        <v>749.54</v>
      </c>
      <c r="F34" s="192">
        <v>1420.36</v>
      </c>
      <c r="G34" s="189">
        <v>791.74</v>
      </c>
      <c r="H34" s="192">
        <v>780.57</v>
      </c>
      <c r="I34" s="190">
        <v>808.67</v>
      </c>
      <c r="J34" s="190">
        <v>541.39</v>
      </c>
      <c r="K34" s="190">
        <v>1158.2</v>
      </c>
      <c r="L34" s="190">
        <v>962.21</v>
      </c>
      <c r="M34" s="190">
        <v>1378.75</v>
      </c>
      <c r="N34" s="190">
        <v>1468.82</v>
      </c>
      <c r="O34" s="190">
        <v>985.96</v>
      </c>
      <c r="P34" s="190">
        <v>1042.0999999999999</v>
      </c>
      <c r="Q34" s="190">
        <v>349.55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2.75" customHeight="1">
      <c r="A35" s="5">
        <v>33</v>
      </c>
      <c r="B35" s="189">
        <v>490.24</v>
      </c>
      <c r="C35" s="189">
        <v>579.21</v>
      </c>
      <c r="D35" s="189">
        <v>615.04</v>
      </c>
      <c r="E35" s="189">
        <v>816.38</v>
      </c>
      <c r="F35" s="192">
        <v>1460.41</v>
      </c>
      <c r="G35" s="189">
        <v>807.31</v>
      </c>
      <c r="H35" s="192">
        <v>815.88</v>
      </c>
      <c r="I35" s="190">
        <v>831.4</v>
      </c>
      <c r="J35" s="190">
        <v>542.41999999999996</v>
      </c>
      <c r="K35" s="190">
        <v>1184.79</v>
      </c>
      <c r="L35" s="190">
        <v>1002.34</v>
      </c>
      <c r="M35" s="190">
        <v>1482.31</v>
      </c>
      <c r="N35" s="190">
        <v>1469.11</v>
      </c>
      <c r="O35" s="190">
        <v>991.75</v>
      </c>
      <c r="P35" s="190">
        <v>1080.03</v>
      </c>
      <c r="Q35" s="190">
        <v>357.6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2.75" customHeight="1">
      <c r="A36" s="5">
        <v>34</v>
      </c>
      <c r="B36" s="189">
        <v>490.55</v>
      </c>
      <c r="C36" s="189">
        <v>588.6</v>
      </c>
      <c r="D36" s="189">
        <v>618.54</v>
      </c>
      <c r="E36" s="189">
        <v>823.11</v>
      </c>
      <c r="F36" s="192">
        <v>1464.42</v>
      </c>
      <c r="G36" s="189">
        <v>820.46</v>
      </c>
      <c r="H36" s="192">
        <v>819.45</v>
      </c>
      <c r="I36" s="190">
        <v>833.92</v>
      </c>
      <c r="J36" s="190">
        <v>562.33000000000004</v>
      </c>
      <c r="K36" s="190">
        <v>1210.4000000000001</v>
      </c>
      <c r="L36" s="190">
        <v>1006.37</v>
      </c>
      <c r="M36" s="190">
        <v>1492.68</v>
      </c>
      <c r="N36" s="190">
        <v>1469.38</v>
      </c>
      <c r="O36" s="190">
        <v>1027.45</v>
      </c>
      <c r="P36" s="190">
        <v>1084.6099999999999</v>
      </c>
      <c r="Q36" s="190">
        <v>364.8</v>
      </c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2.75" customHeight="1">
      <c r="A37" s="5">
        <v>35</v>
      </c>
      <c r="B37" s="193">
        <v>490.87</v>
      </c>
      <c r="C37" s="193">
        <v>597.97</v>
      </c>
      <c r="D37" s="193">
        <v>618.9</v>
      </c>
      <c r="E37" s="193">
        <v>846.35</v>
      </c>
      <c r="F37" s="195">
        <v>1508.72</v>
      </c>
      <c r="G37" s="193">
        <v>821.79</v>
      </c>
      <c r="H37" s="195">
        <v>821.65</v>
      </c>
      <c r="I37" s="194">
        <v>848.06</v>
      </c>
      <c r="J37" s="194">
        <v>564.76</v>
      </c>
      <c r="K37" s="194">
        <v>1236.9100000000001</v>
      </c>
      <c r="L37" s="194">
        <v>1008.69</v>
      </c>
      <c r="M37" s="194">
        <v>1581.24</v>
      </c>
      <c r="N37" s="194">
        <v>1469.66</v>
      </c>
      <c r="O37" s="194">
        <v>1031.3900000000001</v>
      </c>
      <c r="P37" s="194">
        <v>1110.8900000000001</v>
      </c>
      <c r="Q37" s="194">
        <v>372.25</v>
      </c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2.75" customHeight="1">
      <c r="A38" s="5">
        <v>36</v>
      </c>
      <c r="B38" s="183">
        <v>493.53</v>
      </c>
      <c r="C38" s="183">
        <v>598.98</v>
      </c>
      <c r="D38" s="183">
        <v>619.41999999999996</v>
      </c>
      <c r="E38" s="183">
        <v>848.68</v>
      </c>
      <c r="F38" s="183">
        <v>1513.15</v>
      </c>
      <c r="G38" s="183">
        <v>825.76</v>
      </c>
      <c r="H38" s="183">
        <v>865.61</v>
      </c>
      <c r="I38" s="184">
        <v>880.2</v>
      </c>
      <c r="J38" s="183">
        <v>612.62</v>
      </c>
      <c r="K38" s="183">
        <v>1239.57</v>
      </c>
      <c r="L38" s="184">
        <v>1009.05</v>
      </c>
      <c r="M38" s="183">
        <v>1646.65</v>
      </c>
      <c r="N38" s="183">
        <v>1470.05</v>
      </c>
      <c r="O38" s="183">
        <v>1093.6400000000001</v>
      </c>
      <c r="P38" s="183">
        <v>1150.2</v>
      </c>
      <c r="Q38" s="183">
        <v>379.45</v>
      </c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2.75" customHeight="1">
      <c r="A39" s="5">
        <v>37</v>
      </c>
      <c r="B39" s="185">
        <v>546.61</v>
      </c>
      <c r="C39" s="185">
        <v>618.57000000000005</v>
      </c>
      <c r="D39" s="186">
        <v>619.85</v>
      </c>
      <c r="E39" s="186">
        <v>850.11</v>
      </c>
      <c r="F39" s="186">
        <v>1547.45</v>
      </c>
      <c r="G39" s="186">
        <v>872.92</v>
      </c>
      <c r="H39" s="186">
        <v>882.17</v>
      </c>
      <c r="I39" s="186">
        <v>884.48</v>
      </c>
      <c r="J39" s="186">
        <v>646.78</v>
      </c>
      <c r="K39" s="186">
        <v>1289.95</v>
      </c>
      <c r="L39" s="186">
        <v>1009.37</v>
      </c>
      <c r="M39" s="186">
        <v>1679.77</v>
      </c>
      <c r="N39" s="186">
        <v>1470.32</v>
      </c>
      <c r="O39" s="186">
        <v>1099.8699999999999</v>
      </c>
      <c r="P39" s="186">
        <v>1154.1500000000001</v>
      </c>
      <c r="Q39" s="186">
        <v>387.7</v>
      </c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2.75" customHeight="1">
      <c r="A40" s="5">
        <v>38</v>
      </c>
      <c r="B40" s="189">
        <v>553.66</v>
      </c>
      <c r="C40" s="189">
        <v>626.99</v>
      </c>
      <c r="D40" s="190">
        <v>621.47</v>
      </c>
      <c r="E40" s="190">
        <v>875.88</v>
      </c>
      <c r="F40" s="190">
        <v>1552.56</v>
      </c>
      <c r="G40" s="190">
        <v>888.16</v>
      </c>
      <c r="H40" s="189">
        <v>897.85</v>
      </c>
      <c r="I40" s="191">
        <v>886.34</v>
      </c>
      <c r="J40" s="189">
        <v>650.20000000000005</v>
      </c>
      <c r="K40" s="189">
        <v>1340.98</v>
      </c>
      <c r="L40" s="191">
        <v>1012.22</v>
      </c>
      <c r="M40" s="189">
        <v>1683.09</v>
      </c>
      <c r="N40" s="189">
        <v>1470.61</v>
      </c>
      <c r="O40" s="189">
        <v>1107.1099999999999</v>
      </c>
      <c r="P40" s="189">
        <v>1161.57</v>
      </c>
      <c r="Q40" s="189">
        <v>394.85</v>
      </c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5">
        <v>39</v>
      </c>
      <c r="B41" s="189">
        <v>563.73</v>
      </c>
      <c r="C41" s="189">
        <v>635.38</v>
      </c>
      <c r="D41" s="190">
        <v>635.28</v>
      </c>
      <c r="E41" s="189">
        <v>896.67</v>
      </c>
      <c r="F41" s="191">
        <v>1553.08</v>
      </c>
      <c r="G41" s="190">
        <v>904.81</v>
      </c>
      <c r="H41" s="190">
        <v>914.36</v>
      </c>
      <c r="I41" s="190">
        <v>922.74</v>
      </c>
      <c r="J41" s="190">
        <v>663.53</v>
      </c>
      <c r="K41" s="190">
        <v>1365.19</v>
      </c>
      <c r="L41" s="190">
        <v>1069.06</v>
      </c>
      <c r="M41" s="190">
        <v>1683.51</v>
      </c>
      <c r="N41" s="190">
        <v>1476.23</v>
      </c>
      <c r="O41" s="190">
        <v>1163.6199999999999</v>
      </c>
      <c r="P41" s="190">
        <v>1194.31</v>
      </c>
      <c r="Q41" s="190">
        <v>402.55</v>
      </c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2.75" customHeight="1">
      <c r="A42" s="5">
        <v>40</v>
      </c>
      <c r="B42" s="193">
        <v>573.86</v>
      </c>
      <c r="C42" s="193">
        <v>643.82000000000005</v>
      </c>
      <c r="D42" s="194">
        <v>636.72</v>
      </c>
      <c r="E42" s="190">
        <v>910.96</v>
      </c>
      <c r="F42" s="190">
        <v>1553.41</v>
      </c>
      <c r="G42" s="190">
        <v>906.48</v>
      </c>
      <c r="H42" s="190">
        <v>916.03</v>
      </c>
      <c r="I42" s="194">
        <v>965.35</v>
      </c>
      <c r="J42" s="190">
        <v>676.79</v>
      </c>
      <c r="K42" s="190">
        <v>1367.63</v>
      </c>
      <c r="L42" s="194">
        <v>1074.75</v>
      </c>
      <c r="M42" s="190">
        <v>1683.86</v>
      </c>
      <c r="N42" s="190">
        <v>1588.43</v>
      </c>
      <c r="O42" s="190">
        <v>1169.71</v>
      </c>
      <c r="P42" s="190">
        <v>1197.5899999999999</v>
      </c>
      <c r="Q42" s="190">
        <v>410.65</v>
      </c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2.75" customHeight="1">
      <c r="A43" s="5">
        <v>41</v>
      </c>
      <c r="B43" s="197">
        <v>584</v>
      </c>
      <c r="C43" s="197">
        <v>652.29999999999995</v>
      </c>
      <c r="D43" s="198">
        <v>643.16</v>
      </c>
      <c r="E43" s="198">
        <v>926.66</v>
      </c>
      <c r="F43" s="199">
        <v>1553.9</v>
      </c>
      <c r="G43" s="198">
        <v>934.11</v>
      </c>
      <c r="H43" s="198">
        <v>918.12</v>
      </c>
      <c r="I43" s="200">
        <v>984.3</v>
      </c>
      <c r="J43" s="198">
        <v>678.12</v>
      </c>
      <c r="K43" s="198">
        <v>1394.09</v>
      </c>
      <c r="L43" s="200">
        <v>1096.33</v>
      </c>
      <c r="M43" s="198">
        <v>1685.6</v>
      </c>
      <c r="N43" s="198">
        <v>1624.43</v>
      </c>
      <c r="O43" s="198">
        <v>1172.92</v>
      </c>
      <c r="P43" s="198">
        <v>1262.04</v>
      </c>
      <c r="Q43" s="198">
        <v>418.7</v>
      </c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2.75" customHeight="1">
      <c r="A44" s="5">
        <v>42</v>
      </c>
      <c r="B44" s="201">
        <v>593.24</v>
      </c>
      <c r="C44" s="201">
        <v>662.57</v>
      </c>
      <c r="D44" s="202">
        <v>670.81</v>
      </c>
      <c r="E44" s="202">
        <v>938.47</v>
      </c>
      <c r="F44" s="203">
        <v>1559.17</v>
      </c>
      <c r="G44" s="202">
        <v>948.82</v>
      </c>
      <c r="H44" s="202">
        <v>958.89</v>
      </c>
      <c r="I44" s="204">
        <v>986.7</v>
      </c>
      <c r="J44" s="202">
        <v>680.52</v>
      </c>
      <c r="K44" s="202">
        <v>1420.63</v>
      </c>
      <c r="L44" s="204">
        <v>1131.81</v>
      </c>
      <c r="M44" s="202">
        <v>1720.16</v>
      </c>
      <c r="N44" s="202">
        <v>1640.71</v>
      </c>
      <c r="O44" s="202">
        <v>1208.47</v>
      </c>
      <c r="P44" s="202">
        <v>1289.32</v>
      </c>
      <c r="Q44" s="202">
        <v>427.25</v>
      </c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2.75" customHeight="1">
      <c r="A45" s="5">
        <v>43</v>
      </c>
      <c r="B45" s="201">
        <v>594.16999999999996</v>
      </c>
      <c r="C45" s="201">
        <v>676.55</v>
      </c>
      <c r="D45" s="202">
        <v>693.55</v>
      </c>
      <c r="E45" s="202">
        <v>957.28</v>
      </c>
      <c r="F45" s="203">
        <v>1620.21</v>
      </c>
      <c r="G45" s="202">
        <v>964.33</v>
      </c>
      <c r="H45" s="202">
        <v>962.97</v>
      </c>
      <c r="I45" s="204">
        <v>1034.55</v>
      </c>
      <c r="J45" s="202">
        <v>728.13</v>
      </c>
      <c r="K45" s="202">
        <v>1447.17</v>
      </c>
      <c r="L45" s="204">
        <v>1200.6400000000001</v>
      </c>
      <c r="M45" s="202">
        <v>1723.62</v>
      </c>
      <c r="N45" s="202">
        <v>1780.11</v>
      </c>
      <c r="O45" s="202">
        <v>1212.03</v>
      </c>
      <c r="P45" s="202">
        <v>1307.43</v>
      </c>
      <c r="Q45" s="202">
        <v>435.9</v>
      </c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2.75" customHeight="1">
      <c r="A46" s="5">
        <v>44</v>
      </c>
      <c r="B46" s="201">
        <v>609.73</v>
      </c>
      <c r="C46" s="201">
        <v>686.91</v>
      </c>
      <c r="D46" s="202">
        <v>695.83</v>
      </c>
      <c r="E46" s="202">
        <v>996.7</v>
      </c>
      <c r="F46" s="203">
        <v>1671.49</v>
      </c>
      <c r="G46" s="202">
        <v>979.01</v>
      </c>
      <c r="H46" s="202">
        <v>989.36</v>
      </c>
      <c r="I46" s="204">
        <v>1056.25</v>
      </c>
      <c r="J46" s="202">
        <v>741.91</v>
      </c>
      <c r="K46" s="202">
        <v>1473.68</v>
      </c>
      <c r="L46" s="204">
        <v>1253.5</v>
      </c>
      <c r="M46" s="202">
        <v>1724.88</v>
      </c>
      <c r="N46" s="202">
        <v>1794.06</v>
      </c>
      <c r="O46" s="202">
        <v>1283.0899999999999</v>
      </c>
      <c r="P46" s="202">
        <v>1312.62</v>
      </c>
      <c r="Q46" s="202">
        <v>445.3</v>
      </c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2.75" customHeight="1">
      <c r="A47" s="5">
        <v>45</v>
      </c>
      <c r="B47" s="201">
        <v>611.29</v>
      </c>
      <c r="C47" s="205">
        <v>695.31</v>
      </c>
      <c r="D47" s="206">
        <v>697.74</v>
      </c>
      <c r="E47" s="206">
        <v>1007.35</v>
      </c>
      <c r="F47" s="207">
        <v>1679.56</v>
      </c>
      <c r="G47" s="206">
        <v>994.56</v>
      </c>
      <c r="H47" s="206">
        <v>1005.08</v>
      </c>
      <c r="I47" s="208">
        <v>1101.02</v>
      </c>
      <c r="J47" s="206">
        <v>744.42</v>
      </c>
      <c r="K47" s="206">
        <v>1500.21</v>
      </c>
      <c r="L47" s="208">
        <v>1275.8499999999999</v>
      </c>
      <c r="M47" s="206">
        <v>1725.19</v>
      </c>
      <c r="N47" s="206">
        <v>1797.66</v>
      </c>
      <c r="O47" s="206">
        <v>1294.6300000000001</v>
      </c>
      <c r="P47" s="206">
        <v>1313.14</v>
      </c>
      <c r="Q47" s="206">
        <v>452.45</v>
      </c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2.75" customHeight="1">
      <c r="A48" s="5">
        <v>46</v>
      </c>
      <c r="B48" s="185">
        <v>626.07000000000005</v>
      </c>
      <c r="C48" s="189">
        <v>710.29</v>
      </c>
      <c r="D48" s="189">
        <v>727.13</v>
      </c>
      <c r="E48" s="189">
        <v>1028.08</v>
      </c>
      <c r="F48" s="192">
        <v>1840.72</v>
      </c>
      <c r="G48" s="189">
        <v>1009.77</v>
      </c>
      <c r="H48" s="189">
        <v>1014.55</v>
      </c>
      <c r="I48" s="190">
        <v>1105.51</v>
      </c>
      <c r="J48" s="189">
        <v>794.48</v>
      </c>
      <c r="K48" s="189">
        <v>1548.41</v>
      </c>
      <c r="L48" s="190">
        <v>1285.01</v>
      </c>
      <c r="M48" s="189">
        <v>1725.49</v>
      </c>
      <c r="N48" s="189">
        <v>1869.37</v>
      </c>
      <c r="O48" s="189">
        <v>1306.69</v>
      </c>
      <c r="P48" s="189">
        <v>1313.4</v>
      </c>
      <c r="Q48" s="189">
        <v>460.25</v>
      </c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2.75" customHeight="1">
      <c r="A49" s="5">
        <v>47</v>
      </c>
      <c r="B49" s="189">
        <v>635.41999999999996</v>
      </c>
      <c r="C49" s="189">
        <v>717.77</v>
      </c>
      <c r="D49" s="189">
        <v>739.09</v>
      </c>
      <c r="E49" s="189">
        <v>1045.8399999999999</v>
      </c>
      <c r="F49" s="192">
        <v>1856.85</v>
      </c>
      <c r="G49" s="189">
        <v>1021.33</v>
      </c>
      <c r="H49" s="189">
        <v>1031.1099999999999</v>
      </c>
      <c r="I49" s="190">
        <v>1108.4100000000001</v>
      </c>
      <c r="J49" s="189">
        <v>799.49</v>
      </c>
      <c r="K49" s="189">
        <v>1553.29</v>
      </c>
      <c r="L49" s="190">
        <v>1285.93</v>
      </c>
      <c r="M49" s="189">
        <v>1726.49</v>
      </c>
      <c r="N49" s="189">
        <v>1884.89</v>
      </c>
      <c r="O49" s="189">
        <v>1307.9000000000001</v>
      </c>
      <c r="P49" s="189">
        <v>1313.67</v>
      </c>
      <c r="Q49" s="189">
        <v>467.45</v>
      </c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2.75" customHeight="1">
      <c r="A50" s="5">
        <v>48</v>
      </c>
      <c r="B50" s="189">
        <v>643.94000000000005</v>
      </c>
      <c r="C50" s="189">
        <v>731.09</v>
      </c>
      <c r="D50" s="189">
        <v>748.7</v>
      </c>
      <c r="E50" s="189">
        <v>1048.06</v>
      </c>
      <c r="F50" s="192">
        <v>1916.15</v>
      </c>
      <c r="G50" s="189">
        <v>1036.83</v>
      </c>
      <c r="H50" s="189">
        <v>1032.8</v>
      </c>
      <c r="I50" s="190">
        <v>1166.27</v>
      </c>
      <c r="J50" s="189">
        <v>800</v>
      </c>
      <c r="K50" s="189">
        <v>1579.81</v>
      </c>
      <c r="L50" s="190">
        <v>1286.19</v>
      </c>
      <c r="M50" s="189">
        <v>1746.32</v>
      </c>
      <c r="N50" s="189">
        <v>1886.45</v>
      </c>
      <c r="O50" s="189">
        <v>1309.5899999999999</v>
      </c>
      <c r="P50" s="189">
        <v>1313.94</v>
      </c>
      <c r="Q50" s="189">
        <v>476.2</v>
      </c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2.75" customHeight="1">
      <c r="A51" s="5">
        <v>49</v>
      </c>
      <c r="B51" s="189">
        <v>644.94000000000005</v>
      </c>
      <c r="C51" s="189">
        <v>738.16</v>
      </c>
      <c r="D51" s="189">
        <v>749.68</v>
      </c>
      <c r="E51" s="189">
        <v>1075.3499999999999</v>
      </c>
      <c r="F51" s="192">
        <v>1951.65</v>
      </c>
      <c r="G51" s="189">
        <v>1053.1600000000001</v>
      </c>
      <c r="H51" s="189">
        <v>1063.3399999999999</v>
      </c>
      <c r="I51" s="190">
        <v>1172.06</v>
      </c>
      <c r="J51" s="189">
        <v>801.69</v>
      </c>
      <c r="K51" s="189">
        <v>1605.32</v>
      </c>
      <c r="L51" s="190">
        <v>1291.33</v>
      </c>
      <c r="M51" s="189">
        <v>1748.32</v>
      </c>
      <c r="N51" s="189">
        <v>1886.83</v>
      </c>
      <c r="O51" s="189">
        <v>1343.18</v>
      </c>
      <c r="P51" s="189">
        <v>1314.59</v>
      </c>
      <c r="Q51" s="189">
        <v>484.75</v>
      </c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2.75" customHeight="1">
      <c r="A52" s="5">
        <v>50</v>
      </c>
      <c r="B52" s="193">
        <v>664.88</v>
      </c>
      <c r="C52" s="193">
        <v>745.16</v>
      </c>
      <c r="D52" s="193">
        <v>750.97</v>
      </c>
      <c r="E52" s="193">
        <v>1082.1600000000001</v>
      </c>
      <c r="F52" s="195">
        <v>1979.71</v>
      </c>
      <c r="G52" s="193">
        <v>1071.76</v>
      </c>
      <c r="H52" s="193">
        <v>1082.1099999999999</v>
      </c>
      <c r="I52" s="194">
        <v>1193.4000000000001</v>
      </c>
      <c r="J52" s="193">
        <v>835.43</v>
      </c>
      <c r="K52" s="193">
        <v>1635.97</v>
      </c>
      <c r="L52" s="194">
        <v>1393.97</v>
      </c>
      <c r="M52" s="193">
        <v>1766.85</v>
      </c>
      <c r="N52" s="193">
        <v>1894.42</v>
      </c>
      <c r="O52" s="193">
        <v>1351.15</v>
      </c>
      <c r="P52" s="193">
        <v>1327.5</v>
      </c>
      <c r="Q52" s="193">
        <v>484.9</v>
      </c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2.75" customHeight="1">
      <c r="A53" s="5">
        <v>51</v>
      </c>
      <c r="B53" s="197">
        <v>666.88</v>
      </c>
      <c r="C53" s="197">
        <v>758.84</v>
      </c>
      <c r="D53" s="202">
        <v>762.24</v>
      </c>
      <c r="E53" s="202">
        <v>1112.52</v>
      </c>
      <c r="F53" s="203">
        <v>2031.07</v>
      </c>
      <c r="G53" s="202">
        <v>1073.6199999999999</v>
      </c>
      <c r="H53" s="202">
        <v>1083.99</v>
      </c>
      <c r="I53" s="204">
        <v>1197.79</v>
      </c>
      <c r="J53" s="202">
        <v>883.9</v>
      </c>
      <c r="K53" s="202">
        <v>1639.04</v>
      </c>
      <c r="L53" s="204">
        <v>1412.29</v>
      </c>
      <c r="M53" s="202">
        <v>2004.36</v>
      </c>
      <c r="N53" s="202">
        <v>1903</v>
      </c>
      <c r="O53" s="202">
        <v>1351.95</v>
      </c>
      <c r="P53" s="202">
        <v>1486.25</v>
      </c>
      <c r="Q53" s="202">
        <v>503.2</v>
      </c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2.75" customHeight="1">
      <c r="A54" s="5">
        <v>52</v>
      </c>
      <c r="B54" s="201">
        <v>667.21</v>
      </c>
      <c r="C54" s="201">
        <v>767.6</v>
      </c>
      <c r="D54" s="202">
        <v>763.73</v>
      </c>
      <c r="E54" s="202">
        <v>1126</v>
      </c>
      <c r="F54" s="203">
        <v>2036.21</v>
      </c>
      <c r="G54" s="202">
        <v>1074.54</v>
      </c>
      <c r="H54" s="202">
        <v>1101.43</v>
      </c>
      <c r="I54" s="204">
        <v>1202.46</v>
      </c>
      <c r="J54" s="202">
        <v>892.72</v>
      </c>
      <c r="K54" s="202">
        <v>1699.97</v>
      </c>
      <c r="L54" s="204">
        <v>1414.14</v>
      </c>
      <c r="M54" s="202">
        <v>2028.12</v>
      </c>
      <c r="N54" s="202">
        <v>2069.77</v>
      </c>
      <c r="O54" s="202">
        <v>1354.55</v>
      </c>
      <c r="P54" s="202">
        <v>1502.14</v>
      </c>
      <c r="Q54" s="202">
        <v>513.35</v>
      </c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2.75" customHeight="1">
      <c r="A55" s="5">
        <v>53</v>
      </c>
      <c r="B55" s="201">
        <v>667.51</v>
      </c>
      <c r="C55" s="201">
        <v>772.88</v>
      </c>
      <c r="D55" s="202">
        <v>793.27</v>
      </c>
      <c r="E55" s="202">
        <v>1127.3499999999999</v>
      </c>
      <c r="F55" s="203">
        <v>2036.73</v>
      </c>
      <c r="G55" s="202">
        <v>1092.69</v>
      </c>
      <c r="H55" s="202">
        <v>1104.23</v>
      </c>
      <c r="I55" s="204">
        <v>1267.2</v>
      </c>
      <c r="J55" s="202">
        <v>893.61</v>
      </c>
      <c r="K55" s="202">
        <v>1706.18</v>
      </c>
      <c r="L55" s="204">
        <v>1450.93</v>
      </c>
      <c r="M55" s="202">
        <v>2039.49</v>
      </c>
      <c r="N55" s="202">
        <v>2086.4499999999998</v>
      </c>
      <c r="O55" s="202">
        <v>1406.29</v>
      </c>
      <c r="P55" s="202">
        <v>1561.24</v>
      </c>
      <c r="Q55" s="202">
        <v>521.95000000000005</v>
      </c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2.75" customHeight="1">
      <c r="A56" s="5">
        <v>54</v>
      </c>
      <c r="B56" s="201">
        <v>667.83</v>
      </c>
      <c r="C56" s="201">
        <v>779.34</v>
      </c>
      <c r="D56" s="202">
        <v>801.18</v>
      </c>
      <c r="E56" s="202">
        <v>1150.0899999999999</v>
      </c>
      <c r="F56" s="203">
        <v>2039.14</v>
      </c>
      <c r="G56" s="202">
        <v>1109.8599999999999</v>
      </c>
      <c r="H56" s="202">
        <v>1105.3599999999999</v>
      </c>
      <c r="I56" s="204">
        <v>1273.69</v>
      </c>
      <c r="J56" s="202">
        <v>893.93</v>
      </c>
      <c r="K56" s="202">
        <v>1727.51</v>
      </c>
      <c r="L56" s="204">
        <v>1454.61</v>
      </c>
      <c r="M56" s="202">
        <v>2041.86</v>
      </c>
      <c r="N56" s="202">
        <v>2088.12</v>
      </c>
      <c r="O56" s="202">
        <v>1411.47</v>
      </c>
      <c r="P56" s="202">
        <v>1567.15</v>
      </c>
      <c r="Q56" s="202">
        <v>531.75</v>
      </c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2.75" customHeight="1">
      <c r="A57" s="5">
        <v>55</v>
      </c>
      <c r="B57" s="205">
        <v>668.16</v>
      </c>
      <c r="C57" s="205">
        <v>786.82</v>
      </c>
      <c r="D57" s="206">
        <v>809.14</v>
      </c>
      <c r="E57" s="206">
        <v>1168.07</v>
      </c>
      <c r="F57" s="207">
        <v>2073.94</v>
      </c>
      <c r="G57" s="206">
        <v>1127.1199999999999</v>
      </c>
      <c r="H57" s="206">
        <v>1125.8</v>
      </c>
      <c r="I57" s="208">
        <v>1275.4100000000001</v>
      </c>
      <c r="J57" s="206">
        <v>898.98</v>
      </c>
      <c r="K57" s="206">
        <v>1760.23</v>
      </c>
      <c r="L57" s="208">
        <v>1454.99</v>
      </c>
      <c r="M57" s="206">
        <v>2089.19</v>
      </c>
      <c r="N57" s="206">
        <v>2088.41</v>
      </c>
      <c r="O57" s="206">
        <v>1443.05</v>
      </c>
      <c r="P57" s="206">
        <v>1577.95</v>
      </c>
      <c r="Q57" s="206">
        <v>540</v>
      </c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2.75" customHeight="1">
      <c r="A58" s="5">
        <v>56</v>
      </c>
      <c r="B58" s="185">
        <v>668.49</v>
      </c>
      <c r="C58" s="185">
        <v>794.3</v>
      </c>
      <c r="D58" s="189">
        <v>816.33</v>
      </c>
      <c r="E58" s="189">
        <v>1186.04</v>
      </c>
      <c r="F58" s="192">
        <v>2108.7399999999998</v>
      </c>
      <c r="G58" s="189">
        <v>1144.3599999999999</v>
      </c>
      <c r="H58" s="189">
        <v>1148.4000000000001</v>
      </c>
      <c r="I58" s="190">
        <v>1277.1400000000001</v>
      </c>
      <c r="J58" s="189">
        <v>904.02</v>
      </c>
      <c r="K58" s="189">
        <v>1792.93</v>
      </c>
      <c r="L58" s="190">
        <v>1455.35</v>
      </c>
      <c r="M58" s="189">
        <v>2136.52</v>
      </c>
      <c r="N58" s="189">
        <v>2088.6799999999998</v>
      </c>
      <c r="O58" s="189">
        <v>1474.64</v>
      </c>
      <c r="P58" s="189">
        <v>1588.75</v>
      </c>
      <c r="Q58" s="189">
        <v>548.6</v>
      </c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2.75" customHeight="1">
      <c r="A59" s="5">
        <v>57</v>
      </c>
      <c r="B59" s="189">
        <v>668.82</v>
      </c>
      <c r="C59" s="189">
        <v>801.78</v>
      </c>
      <c r="D59" s="189">
        <v>824.28</v>
      </c>
      <c r="E59" s="189">
        <v>1204.02</v>
      </c>
      <c r="F59" s="192">
        <v>2143.5500000000002</v>
      </c>
      <c r="G59" s="189">
        <v>1161.6099999999999</v>
      </c>
      <c r="H59" s="189">
        <v>1169.9100000000001</v>
      </c>
      <c r="I59" s="190">
        <v>1278.8599999999999</v>
      </c>
      <c r="J59" s="189">
        <v>909.06</v>
      </c>
      <c r="K59" s="189">
        <v>1825.64</v>
      </c>
      <c r="L59" s="190">
        <v>1455.74</v>
      </c>
      <c r="M59" s="189">
        <v>2183.86</v>
      </c>
      <c r="N59" s="189">
        <v>2088.96</v>
      </c>
      <c r="O59" s="189">
        <v>1506.21</v>
      </c>
      <c r="P59" s="189">
        <v>1599.54</v>
      </c>
      <c r="Q59" s="189">
        <v>557.65</v>
      </c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2.75" customHeight="1">
      <c r="A60" s="5">
        <v>58</v>
      </c>
      <c r="B60" s="189">
        <v>669.15</v>
      </c>
      <c r="C60" s="189">
        <v>809.25</v>
      </c>
      <c r="D60" s="189">
        <v>832.24</v>
      </c>
      <c r="E60" s="189">
        <v>1222</v>
      </c>
      <c r="F60" s="192">
        <v>2178.35</v>
      </c>
      <c r="G60" s="189">
        <v>1178.8499999999999</v>
      </c>
      <c r="H60" s="189">
        <v>1190.28</v>
      </c>
      <c r="I60" s="190">
        <v>1280.5999999999999</v>
      </c>
      <c r="J60" s="189">
        <v>914.13</v>
      </c>
      <c r="K60" s="189">
        <v>1858.35</v>
      </c>
      <c r="L60" s="190">
        <v>1456.11</v>
      </c>
      <c r="M60" s="189">
        <v>2231.21</v>
      </c>
      <c r="N60" s="189">
        <v>2089.2399999999998</v>
      </c>
      <c r="O60" s="189">
        <v>1537.8</v>
      </c>
      <c r="P60" s="189">
        <v>1610.34</v>
      </c>
      <c r="Q60" s="189">
        <v>567.45000000000005</v>
      </c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2.75" customHeight="1">
      <c r="A61" s="5">
        <v>59</v>
      </c>
      <c r="B61" s="189">
        <v>672.92</v>
      </c>
      <c r="C61" s="189">
        <v>810.14</v>
      </c>
      <c r="D61" s="189">
        <v>833.99</v>
      </c>
      <c r="E61" s="189">
        <v>1236.33</v>
      </c>
      <c r="F61" s="192">
        <v>2300.3000000000002</v>
      </c>
      <c r="G61" s="189">
        <v>1181.55</v>
      </c>
      <c r="H61" s="189">
        <v>1205.48</v>
      </c>
      <c r="I61" s="190">
        <v>1315.14</v>
      </c>
      <c r="J61" s="189">
        <v>915.96</v>
      </c>
      <c r="K61" s="189">
        <v>1882.66</v>
      </c>
      <c r="L61" s="190">
        <v>1456.41</v>
      </c>
      <c r="M61" s="189">
        <v>2235.9499999999998</v>
      </c>
      <c r="N61" s="189">
        <v>2094.8200000000002</v>
      </c>
      <c r="O61" s="189">
        <v>1544.03</v>
      </c>
      <c r="P61" s="189">
        <v>1669.37</v>
      </c>
      <c r="Q61" s="189">
        <v>569.85</v>
      </c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2.75" customHeight="1">
      <c r="A62" s="5">
        <v>60</v>
      </c>
      <c r="B62" s="193">
        <v>739.84</v>
      </c>
      <c r="C62" s="193">
        <v>827.38</v>
      </c>
      <c r="D62" s="193">
        <v>834.82</v>
      </c>
      <c r="E62" s="193">
        <v>1237.78</v>
      </c>
      <c r="F62" s="195">
        <v>2330.5700000000002</v>
      </c>
      <c r="G62" s="193">
        <v>1223.49</v>
      </c>
      <c r="H62" s="193">
        <v>1237.5999999999999</v>
      </c>
      <c r="I62" s="194">
        <v>1353.42</v>
      </c>
      <c r="J62" s="193">
        <v>916.35</v>
      </c>
      <c r="K62" s="193">
        <v>1947.17</v>
      </c>
      <c r="L62" s="194">
        <v>1459.27</v>
      </c>
      <c r="M62" s="193">
        <v>2237.73</v>
      </c>
      <c r="N62" s="193">
        <v>2105.5300000000002</v>
      </c>
      <c r="O62" s="193">
        <v>1667.74</v>
      </c>
      <c r="P62" s="193">
        <v>1684.22</v>
      </c>
      <c r="Q62" s="193">
        <v>584.4</v>
      </c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2.75" customHeight="1">
      <c r="A63" s="5">
        <v>61</v>
      </c>
      <c r="B63" s="197">
        <v>746.78</v>
      </c>
      <c r="C63" s="197">
        <v>831.01</v>
      </c>
      <c r="D63" s="202">
        <v>849.71</v>
      </c>
      <c r="E63" s="202">
        <v>1238.1600000000001</v>
      </c>
      <c r="F63" s="203">
        <v>2333.6</v>
      </c>
      <c r="G63" s="202">
        <v>1227.7</v>
      </c>
      <c r="H63" s="202">
        <v>1240.82</v>
      </c>
      <c r="I63" s="204">
        <v>1360.74</v>
      </c>
      <c r="J63" s="198">
        <v>918.99</v>
      </c>
      <c r="K63" s="198">
        <v>1988.6</v>
      </c>
      <c r="L63" s="204">
        <v>1516.32</v>
      </c>
      <c r="M63" s="198">
        <v>2238.04</v>
      </c>
      <c r="N63" s="198">
        <v>2106.61</v>
      </c>
      <c r="O63" s="198">
        <v>1680.48</v>
      </c>
      <c r="P63" s="198">
        <v>1685.72</v>
      </c>
      <c r="Q63" s="198">
        <v>597.4</v>
      </c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2.75" customHeight="1">
      <c r="A64" s="5">
        <v>62</v>
      </c>
      <c r="B64" s="201">
        <v>757.06</v>
      </c>
      <c r="C64" s="201">
        <v>842.5</v>
      </c>
      <c r="D64" s="202">
        <v>851.2</v>
      </c>
      <c r="E64" s="202">
        <v>1240.8599999999999</v>
      </c>
      <c r="F64" s="203">
        <v>2333.91</v>
      </c>
      <c r="G64" s="202">
        <v>1256.79</v>
      </c>
      <c r="H64" s="202">
        <v>1270.1199999999999</v>
      </c>
      <c r="I64" s="204">
        <v>1361.48</v>
      </c>
      <c r="J64" s="202">
        <v>971.5</v>
      </c>
      <c r="K64" s="202">
        <v>2001.14</v>
      </c>
      <c r="L64" s="204">
        <v>1522.04</v>
      </c>
      <c r="M64" s="202">
        <v>2238.3200000000002</v>
      </c>
      <c r="N64" s="202">
        <v>2107.0500000000002</v>
      </c>
      <c r="O64" s="202">
        <v>1683.53</v>
      </c>
      <c r="P64" s="202">
        <v>1686.02</v>
      </c>
      <c r="Q64" s="202">
        <v>606.79999999999995</v>
      </c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2.75" customHeight="1">
      <c r="A65" s="5">
        <v>63</v>
      </c>
      <c r="B65" s="201">
        <v>759.35</v>
      </c>
      <c r="C65" s="201">
        <v>846.84</v>
      </c>
      <c r="D65" s="202">
        <v>851.53</v>
      </c>
      <c r="E65" s="202">
        <v>1294.1300000000001</v>
      </c>
      <c r="F65" s="203">
        <v>2334.31</v>
      </c>
      <c r="G65" s="202">
        <v>1259.73</v>
      </c>
      <c r="H65" s="203">
        <v>1273.1400000000001</v>
      </c>
      <c r="I65" s="204">
        <v>1361.82</v>
      </c>
      <c r="J65" s="202">
        <v>976.76</v>
      </c>
      <c r="K65" s="202">
        <v>2005.92</v>
      </c>
      <c r="L65" s="204">
        <v>1528.12</v>
      </c>
      <c r="M65" s="202">
        <v>2238.59</v>
      </c>
      <c r="N65" s="202">
        <v>2115.79</v>
      </c>
      <c r="O65" s="202">
        <v>1686.74</v>
      </c>
      <c r="P65" s="202">
        <v>1686.35</v>
      </c>
      <c r="Q65" s="202">
        <v>616.6</v>
      </c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2.75" customHeight="1">
      <c r="A66" s="5">
        <v>64</v>
      </c>
      <c r="B66" s="201">
        <v>759.87</v>
      </c>
      <c r="C66" s="201">
        <v>855.25</v>
      </c>
      <c r="D66" s="202">
        <v>851.88</v>
      </c>
      <c r="E66" s="202">
        <v>1299.46</v>
      </c>
      <c r="F66" s="203">
        <v>2334.59</v>
      </c>
      <c r="G66" s="202">
        <v>1288.8800000000001</v>
      </c>
      <c r="H66" s="203">
        <v>1301.33</v>
      </c>
      <c r="I66" s="204">
        <v>1362.09</v>
      </c>
      <c r="J66" s="202">
        <v>1028.75</v>
      </c>
      <c r="K66" s="202">
        <v>2098.88</v>
      </c>
      <c r="L66" s="204">
        <v>1649.57</v>
      </c>
      <c r="M66" s="202">
        <v>2243.88</v>
      </c>
      <c r="N66" s="202">
        <v>2256.65</v>
      </c>
      <c r="O66" s="202">
        <v>1689.98</v>
      </c>
      <c r="P66" s="202">
        <v>1686.63</v>
      </c>
      <c r="Q66" s="202">
        <v>626.5</v>
      </c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2.75" customHeight="1">
      <c r="A67" s="5">
        <v>65</v>
      </c>
      <c r="B67" s="205">
        <v>760.27</v>
      </c>
      <c r="C67" s="205">
        <v>856.1</v>
      </c>
      <c r="D67" s="206">
        <v>852.7</v>
      </c>
      <c r="E67" s="206">
        <v>1302.6099999999999</v>
      </c>
      <c r="F67" s="207">
        <v>2334.9299999999998</v>
      </c>
      <c r="G67" s="206">
        <v>1291.8399999999999</v>
      </c>
      <c r="H67" s="207">
        <v>1304.28</v>
      </c>
      <c r="I67" s="208">
        <v>1365.37</v>
      </c>
      <c r="J67" s="206">
        <v>1033.95</v>
      </c>
      <c r="K67" s="206">
        <v>2114.16</v>
      </c>
      <c r="L67" s="208">
        <v>1662.2</v>
      </c>
      <c r="M67" s="206">
        <v>2346.83</v>
      </c>
      <c r="N67" s="206">
        <v>2303.2399999999998</v>
      </c>
      <c r="O67" s="206">
        <v>1752.97</v>
      </c>
      <c r="P67" s="206">
        <v>1686.9</v>
      </c>
      <c r="Q67" s="206">
        <v>626.75</v>
      </c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2.75" customHeight="1">
      <c r="A68" s="5">
        <v>66</v>
      </c>
      <c r="B68" s="185">
        <v>760.58</v>
      </c>
      <c r="C68" s="185">
        <v>868.83</v>
      </c>
      <c r="D68" s="189">
        <v>868.94</v>
      </c>
      <c r="E68" s="189">
        <v>1365.44</v>
      </c>
      <c r="F68" s="192">
        <v>2340.58</v>
      </c>
      <c r="G68" s="189">
        <v>1320.87</v>
      </c>
      <c r="H68" s="192">
        <v>1310.0899999999999</v>
      </c>
      <c r="I68" s="190">
        <v>1430.82</v>
      </c>
      <c r="J68" s="189">
        <v>1034.5899999999999</v>
      </c>
      <c r="K68" s="189">
        <v>2115.69</v>
      </c>
      <c r="L68" s="190">
        <v>1663.5</v>
      </c>
      <c r="M68" s="189">
        <v>2357.16</v>
      </c>
      <c r="N68" s="189">
        <v>2307.91</v>
      </c>
      <c r="O68" s="189">
        <v>1759.45</v>
      </c>
      <c r="P68" s="189">
        <v>1687.4</v>
      </c>
      <c r="Q68" s="189">
        <v>637.85</v>
      </c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2.75" customHeight="1">
      <c r="A69" s="5">
        <v>67</v>
      </c>
      <c r="B69" s="189">
        <v>760.95</v>
      </c>
      <c r="C69" s="189">
        <v>877.63</v>
      </c>
      <c r="D69" s="189">
        <v>883.39</v>
      </c>
      <c r="E69" s="189">
        <v>1371.84</v>
      </c>
      <c r="F69" s="192">
        <v>2387.44</v>
      </c>
      <c r="G69" s="189">
        <v>1323.9</v>
      </c>
      <c r="H69" s="192">
        <v>1312.76</v>
      </c>
      <c r="I69" s="190">
        <v>1458.35</v>
      </c>
      <c r="J69" s="189">
        <v>1045.03</v>
      </c>
      <c r="K69" s="189">
        <v>2129.37</v>
      </c>
      <c r="L69" s="190">
        <v>1663.8</v>
      </c>
      <c r="M69" s="189">
        <v>2389.5</v>
      </c>
      <c r="N69" s="189">
        <v>2317.6</v>
      </c>
      <c r="O69" s="189">
        <v>1761.94</v>
      </c>
      <c r="P69" s="189">
        <v>1696.98</v>
      </c>
      <c r="Q69" s="189">
        <v>657.45</v>
      </c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2.75" customHeight="1">
      <c r="A70" s="5">
        <v>68</v>
      </c>
      <c r="B70" s="189">
        <v>761.26</v>
      </c>
      <c r="C70" s="189">
        <v>881.1</v>
      </c>
      <c r="D70" s="189">
        <v>911.21</v>
      </c>
      <c r="E70" s="189">
        <v>1401.91</v>
      </c>
      <c r="F70" s="192">
        <v>2460.1999999999998</v>
      </c>
      <c r="G70" s="189">
        <v>1352.96</v>
      </c>
      <c r="H70" s="192">
        <v>1363.73</v>
      </c>
      <c r="I70" s="190">
        <v>1461.11</v>
      </c>
      <c r="J70" s="189">
        <v>1051.55</v>
      </c>
      <c r="K70" s="189">
        <v>2131.9</v>
      </c>
      <c r="L70" s="190">
        <v>1664.08</v>
      </c>
      <c r="M70" s="189">
        <v>2546.6999999999998</v>
      </c>
      <c r="N70" s="189">
        <v>2423.9299999999998</v>
      </c>
      <c r="O70" s="189">
        <v>1763.67</v>
      </c>
      <c r="P70" s="189">
        <v>1888.45</v>
      </c>
      <c r="Q70" s="189">
        <v>659.15</v>
      </c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2.75" customHeight="1">
      <c r="A71" s="5">
        <v>69</v>
      </c>
      <c r="B71" s="189">
        <v>761.57</v>
      </c>
      <c r="C71" s="189">
        <v>881.46</v>
      </c>
      <c r="D71" s="189">
        <v>915.32</v>
      </c>
      <c r="E71" s="189">
        <v>1404.92</v>
      </c>
      <c r="F71" s="192">
        <v>2467.4899999999998</v>
      </c>
      <c r="G71" s="189">
        <v>1355.93</v>
      </c>
      <c r="H71" s="192">
        <v>1369</v>
      </c>
      <c r="I71" s="190">
        <v>1461.39</v>
      </c>
      <c r="J71" s="189">
        <v>1095.1600000000001</v>
      </c>
      <c r="K71" s="189">
        <v>2182.48</v>
      </c>
      <c r="L71" s="190">
        <v>1664.39</v>
      </c>
      <c r="M71" s="189">
        <v>2562.44</v>
      </c>
      <c r="N71" s="189">
        <v>2437.83</v>
      </c>
      <c r="O71" s="189">
        <v>1795.95</v>
      </c>
      <c r="P71" s="189">
        <v>1907.6</v>
      </c>
      <c r="Q71" s="189">
        <v>679.6</v>
      </c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2.75" customHeight="1">
      <c r="A72" s="5">
        <v>70</v>
      </c>
      <c r="B72" s="193">
        <v>761.9</v>
      </c>
      <c r="C72" s="193">
        <v>881.78</v>
      </c>
      <c r="D72" s="193">
        <v>927.35</v>
      </c>
      <c r="E72" s="193">
        <v>1435.18</v>
      </c>
      <c r="F72" s="195">
        <v>2504.36</v>
      </c>
      <c r="G72" s="193">
        <v>1385</v>
      </c>
      <c r="H72" s="195">
        <v>1399.59</v>
      </c>
      <c r="I72" s="194">
        <v>1465.08</v>
      </c>
      <c r="J72" s="193">
        <v>1099.55</v>
      </c>
      <c r="K72" s="193">
        <v>2255.15</v>
      </c>
      <c r="L72" s="194">
        <v>1664.88</v>
      </c>
      <c r="M72" s="193">
        <v>2564.0300000000002</v>
      </c>
      <c r="N72" s="193">
        <v>2439.23</v>
      </c>
      <c r="O72" s="193">
        <v>1827.75</v>
      </c>
      <c r="P72" s="193">
        <v>1938.06</v>
      </c>
      <c r="Q72" s="193">
        <v>688.7</v>
      </c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2.75" customHeight="1">
      <c r="A73" s="5">
        <v>71</v>
      </c>
      <c r="B73" s="183">
        <v>768.3</v>
      </c>
      <c r="C73" s="183">
        <v>882.89</v>
      </c>
      <c r="D73" s="183">
        <v>928.56</v>
      </c>
      <c r="E73" s="183">
        <v>1438.21</v>
      </c>
      <c r="F73" s="183">
        <v>2508.29</v>
      </c>
      <c r="G73" s="183">
        <v>1387.91</v>
      </c>
      <c r="H73" s="183">
        <v>1402.65</v>
      </c>
      <c r="I73" s="184">
        <v>1538.65</v>
      </c>
      <c r="J73" s="183">
        <v>1099.99</v>
      </c>
      <c r="K73" s="183">
        <v>2276.9699999999998</v>
      </c>
      <c r="L73" s="184">
        <v>1674.46</v>
      </c>
      <c r="M73" s="183">
        <v>2564.3200000000002</v>
      </c>
      <c r="N73" s="183">
        <v>2439.5300000000002</v>
      </c>
      <c r="O73" s="183">
        <v>1830.94</v>
      </c>
      <c r="P73" s="183">
        <v>1941.11</v>
      </c>
      <c r="Q73" s="183">
        <v>701.35</v>
      </c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2.75" customHeight="1">
      <c r="A74" s="5">
        <v>72</v>
      </c>
      <c r="B74" s="185">
        <v>769.95</v>
      </c>
      <c r="C74" s="185">
        <v>904.75</v>
      </c>
      <c r="D74" s="186">
        <v>928.96</v>
      </c>
      <c r="E74" s="186">
        <v>1465.87</v>
      </c>
      <c r="F74" s="186">
        <v>2515.3200000000002</v>
      </c>
      <c r="G74" s="186">
        <v>1395.02</v>
      </c>
      <c r="H74" s="186">
        <v>1405.74</v>
      </c>
      <c r="I74" s="186">
        <v>1546.38</v>
      </c>
      <c r="J74" s="186">
        <v>1100.31</v>
      </c>
      <c r="K74" s="186">
        <v>2298.14</v>
      </c>
      <c r="L74" s="186">
        <v>1865.91</v>
      </c>
      <c r="M74" s="186">
        <v>2564.58</v>
      </c>
      <c r="N74" s="186">
        <v>2439.8000000000002</v>
      </c>
      <c r="O74" s="186">
        <v>1835.56</v>
      </c>
      <c r="P74" s="186">
        <v>1941.42</v>
      </c>
      <c r="Q74" s="186">
        <v>701.5</v>
      </c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2.75" customHeight="1">
      <c r="A75" s="5">
        <v>73</v>
      </c>
      <c r="B75" s="189">
        <v>790.21</v>
      </c>
      <c r="C75" s="189">
        <v>921.56</v>
      </c>
      <c r="D75" s="190">
        <v>929.4</v>
      </c>
      <c r="E75" s="190">
        <v>1468.64</v>
      </c>
      <c r="F75" s="190">
        <v>2538.04</v>
      </c>
      <c r="G75" s="190">
        <v>1424.26</v>
      </c>
      <c r="H75" s="189">
        <v>1406.42</v>
      </c>
      <c r="I75" s="191">
        <v>1655.71</v>
      </c>
      <c r="J75" s="189">
        <v>1100.6199999999999</v>
      </c>
      <c r="K75" s="189">
        <v>2331.1799999999998</v>
      </c>
      <c r="L75" s="191">
        <v>1890.82</v>
      </c>
      <c r="M75" s="189">
        <v>2568.63</v>
      </c>
      <c r="N75" s="189">
        <v>2445.1999999999998</v>
      </c>
      <c r="O75" s="189">
        <v>1872.28</v>
      </c>
      <c r="P75" s="189">
        <v>1941.7</v>
      </c>
      <c r="Q75" s="189">
        <v>713.4</v>
      </c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2.75" customHeight="1">
      <c r="A76" s="5">
        <v>74</v>
      </c>
      <c r="B76" s="189">
        <v>792.24</v>
      </c>
      <c r="C76" s="189">
        <v>927.08</v>
      </c>
      <c r="D76" s="190">
        <v>929.69</v>
      </c>
      <c r="E76" s="189">
        <v>1498.89</v>
      </c>
      <c r="F76" s="191">
        <v>2547.0700000000002</v>
      </c>
      <c r="G76" s="190">
        <v>1446.56</v>
      </c>
      <c r="H76" s="190">
        <v>1409.21</v>
      </c>
      <c r="I76" s="190">
        <v>1666.65</v>
      </c>
      <c r="J76" s="190">
        <v>1103.93</v>
      </c>
      <c r="K76" s="190">
        <v>2342.0700000000002</v>
      </c>
      <c r="L76" s="190">
        <v>1893.32</v>
      </c>
      <c r="M76" s="190">
        <v>2577</v>
      </c>
      <c r="N76" s="190">
        <v>2445.7800000000002</v>
      </c>
      <c r="O76" s="190">
        <v>1885.08</v>
      </c>
      <c r="P76" s="190">
        <v>1941.98</v>
      </c>
      <c r="Q76" s="190">
        <v>713.85</v>
      </c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2.75" customHeight="1">
      <c r="A77" s="5">
        <v>75</v>
      </c>
      <c r="B77" s="193">
        <v>810.3</v>
      </c>
      <c r="C77" s="193">
        <v>935.54</v>
      </c>
      <c r="D77" s="194">
        <v>930.01</v>
      </c>
      <c r="E77" s="190">
        <v>1531.05</v>
      </c>
      <c r="F77" s="190">
        <v>2547.98</v>
      </c>
      <c r="G77" s="190">
        <v>1449.45</v>
      </c>
      <c r="H77" s="190">
        <v>1464.76</v>
      </c>
      <c r="I77" s="194">
        <v>1667.75</v>
      </c>
      <c r="J77" s="190">
        <v>1169.6099999999999</v>
      </c>
      <c r="K77" s="190">
        <v>2343.19</v>
      </c>
      <c r="L77" s="194">
        <v>1894.96</v>
      </c>
      <c r="M77" s="190">
        <v>2680.57</v>
      </c>
      <c r="N77" s="190">
        <v>2446.0500000000002</v>
      </c>
      <c r="O77" s="190">
        <v>1895.56</v>
      </c>
      <c r="P77" s="190">
        <v>1947.51</v>
      </c>
      <c r="Q77" s="190">
        <v>714</v>
      </c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2.75" customHeight="1">
      <c r="A78" s="5">
        <v>76</v>
      </c>
      <c r="B78" s="197">
        <v>852.99</v>
      </c>
      <c r="C78" s="197">
        <v>936.46</v>
      </c>
      <c r="D78" s="198">
        <v>931.39</v>
      </c>
      <c r="E78" s="198">
        <v>1534.27</v>
      </c>
      <c r="F78" s="199">
        <v>2563.65</v>
      </c>
      <c r="G78" s="198">
        <v>1478.55</v>
      </c>
      <c r="H78" s="198">
        <v>1492.8</v>
      </c>
      <c r="I78" s="200">
        <v>1668.1</v>
      </c>
      <c r="J78" s="198">
        <v>1181.6500000000001</v>
      </c>
      <c r="K78" s="198">
        <v>2345.64</v>
      </c>
      <c r="L78" s="200">
        <v>1927.6</v>
      </c>
      <c r="M78" s="198">
        <v>2759.3</v>
      </c>
      <c r="N78" s="198">
        <v>2446.37</v>
      </c>
      <c r="O78" s="198">
        <v>1917.52</v>
      </c>
      <c r="P78" s="198">
        <v>2057.9699999999998</v>
      </c>
      <c r="Q78" s="198">
        <v>743.4</v>
      </c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2.75" customHeight="1">
      <c r="A79" s="5">
        <v>77</v>
      </c>
      <c r="B79" s="201">
        <v>859.1</v>
      </c>
      <c r="C79" s="201">
        <v>947.72</v>
      </c>
      <c r="D79" s="202">
        <v>958.89</v>
      </c>
      <c r="E79" s="202">
        <v>1535.15</v>
      </c>
      <c r="F79" s="203">
        <v>2612.6</v>
      </c>
      <c r="G79" s="202">
        <v>1481.46</v>
      </c>
      <c r="H79" s="202">
        <v>1495.75</v>
      </c>
      <c r="I79" s="204">
        <v>1675.01</v>
      </c>
      <c r="J79" s="202">
        <v>1189.32</v>
      </c>
      <c r="K79" s="202">
        <v>2394.4</v>
      </c>
      <c r="L79" s="204">
        <v>1930.87</v>
      </c>
      <c r="M79" s="202">
        <v>2767.18</v>
      </c>
      <c r="N79" s="202">
        <v>2446.66</v>
      </c>
      <c r="O79" s="202">
        <v>1929.07</v>
      </c>
      <c r="P79" s="202">
        <v>2076.54</v>
      </c>
      <c r="Q79" s="202">
        <v>760.15</v>
      </c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2.75" customHeight="1">
      <c r="A80" s="5">
        <v>78</v>
      </c>
      <c r="B80" s="201">
        <v>859.73</v>
      </c>
      <c r="C80" s="201">
        <v>948.85</v>
      </c>
      <c r="D80" s="202">
        <v>964.79</v>
      </c>
      <c r="E80" s="202">
        <v>1551.23</v>
      </c>
      <c r="F80" s="203">
        <v>2617.5</v>
      </c>
      <c r="G80" s="202">
        <v>1483.8</v>
      </c>
      <c r="H80" s="202">
        <v>1525.14</v>
      </c>
      <c r="I80" s="204">
        <v>1675.71</v>
      </c>
      <c r="J80" s="202">
        <v>1194.23</v>
      </c>
      <c r="K80" s="202">
        <v>2399.3000000000002</v>
      </c>
      <c r="L80" s="204">
        <v>1931.2</v>
      </c>
      <c r="M80" s="202">
        <v>2767.98</v>
      </c>
      <c r="N80" s="202">
        <v>2446.9299999999998</v>
      </c>
      <c r="O80" s="202">
        <v>1932.67</v>
      </c>
      <c r="P80" s="202">
        <v>2078.41</v>
      </c>
      <c r="Q80" s="202">
        <v>770.2</v>
      </c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2.75" customHeight="1">
      <c r="A81" s="5">
        <v>79</v>
      </c>
      <c r="B81" s="201">
        <v>860.7</v>
      </c>
      <c r="C81" s="201">
        <v>956.86</v>
      </c>
      <c r="D81" s="202">
        <v>965.38</v>
      </c>
      <c r="E81" s="202">
        <v>1555.59</v>
      </c>
      <c r="F81" s="203">
        <v>2620.6799999999998</v>
      </c>
      <c r="G81" s="202">
        <v>1513.56</v>
      </c>
      <c r="H81" s="202">
        <v>1529.54</v>
      </c>
      <c r="I81" s="204">
        <v>1676.07</v>
      </c>
      <c r="J81" s="202">
        <v>1271.96</v>
      </c>
      <c r="K81" s="202">
        <v>2399.79</v>
      </c>
      <c r="L81" s="204">
        <v>1931.49</v>
      </c>
      <c r="M81" s="202">
        <v>2768.26</v>
      </c>
      <c r="N81" s="202">
        <v>2450.91</v>
      </c>
      <c r="O81" s="202">
        <v>1938.09</v>
      </c>
      <c r="P81" s="202">
        <v>2078.69</v>
      </c>
      <c r="Q81" s="202">
        <v>772.55</v>
      </c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2.75" customHeight="1">
      <c r="A82" s="5">
        <v>80</v>
      </c>
      <c r="B82" s="201">
        <v>879.87</v>
      </c>
      <c r="C82" s="205">
        <v>965.53</v>
      </c>
      <c r="D82" s="206">
        <v>967.28</v>
      </c>
      <c r="E82" s="206">
        <v>1556.03</v>
      </c>
      <c r="F82" s="207">
        <v>2622.44</v>
      </c>
      <c r="G82" s="206">
        <v>1542.65</v>
      </c>
      <c r="H82" s="206">
        <v>1544.03</v>
      </c>
      <c r="I82" s="208">
        <v>1683.22</v>
      </c>
      <c r="J82" s="206">
        <v>1279.75</v>
      </c>
      <c r="K82" s="206">
        <v>2400.23</v>
      </c>
      <c r="L82" s="208">
        <v>1935.02</v>
      </c>
      <c r="M82" s="206">
        <v>2769.46</v>
      </c>
      <c r="N82" s="206">
        <v>2526.4699999999998</v>
      </c>
      <c r="O82" s="206">
        <v>1981.72</v>
      </c>
      <c r="P82" s="206">
        <v>2078.9699999999998</v>
      </c>
      <c r="Q82" s="206">
        <v>790.1</v>
      </c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2.75" customHeight="1">
      <c r="A83" s="5">
        <v>81</v>
      </c>
      <c r="B83" s="185">
        <v>881.79</v>
      </c>
      <c r="C83" s="189">
        <v>971.43</v>
      </c>
      <c r="D83" s="189">
        <v>1005.2</v>
      </c>
      <c r="E83" s="189">
        <v>1558.22</v>
      </c>
      <c r="F83" s="192">
        <v>2656.76</v>
      </c>
      <c r="G83" s="189">
        <v>1545.95</v>
      </c>
      <c r="H83" s="189">
        <v>1545.49</v>
      </c>
      <c r="I83" s="190">
        <v>1733.69</v>
      </c>
      <c r="J83" s="189">
        <v>1280.53</v>
      </c>
      <c r="K83" s="189">
        <v>2400.6799999999998</v>
      </c>
      <c r="L83" s="190">
        <v>1938.65</v>
      </c>
      <c r="M83" s="189">
        <v>2793.35</v>
      </c>
      <c r="N83" s="189">
        <v>2566.94</v>
      </c>
      <c r="O83" s="189">
        <v>1986.82</v>
      </c>
      <c r="P83" s="189">
        <v>2082.4699999999998</v>
      </c>
      <c r="Q83" s="189">
        <v>790.2</v>
      </c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2.75" customHeight="1">
      <c r="A84" s="5">
        <v>82</v>
      </c>
      <c r="B84" s="189">
        <v>882.1</v>
      </c>
      <c r="C84" s="189">
        <v>977.36</v>
      </c>
      <c r="D84" s="189">
        <v>1011.18</v>
      </c>
      <c r="E84" s="189">
        <v>1601.14</v>
      </c>
      <c r="F84" s="192">
        <v>2660.2</v>
      </c>
      <c r="G84" s="189">
        <v>1546.33</v>
      </c>
      <c r="H84" s="189">
        <v>1551.22</v>
      </c>
      <c r="I84" s="190">
        <v>1769.53</v>
      </c>
      <c r="J84" s="189">
        <v>1280.8499999999999</v>
      </c>
      <c r="K84" s="189">
        <v>2407.6</v>
      </c>
      <c r="L84" s="190">
        <v>1939.02</v>
      </c>
      <c r="M84" s="189">
        <v>2795.86</v>
      </c>
      <c r="N84" s="189">
        <v>2571</v>
      </c>
      <c r="O84" s="189">
        <v>2084.85</v>
      </c>
      <c r="P84" s="189">
        <v>2082.83</v>
      </c>
      <c r="Q84" s="189">
        <v>803.5</v>
      </c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2.75" customHeight="1">
      <c r="A85" s="5">
        <v>83</v>
      </c>
      <c r="B85" s="189">
        <v>885.05</v>
      </c>
      <c r="C85" s="189">
        <v>980.51</v>
      </c>
      <c r="D85" s="189">
        <v>1011.79</v>
      </c>
      <c r="E85" s="189">
        <v>1605.45</v>
      </c>
      <c r="F85" s="192">
        <v>2660.56</v>
      </c>
      <c r="G85" s="189">
        <v>1546.73</v>
      </c>
      <c r="H85" s="189">
        <v>1586.53</v>
      </c>
      <c r="I85" s="190">
        <v>1773.12</v>
      </c>
      <c r="J85" s="189">
        <v>1285.57</v>
      </c>
      <c r="K85" s="189">
        <v>2416.6</v>
      </c>
      <c r="L85" s="190">
        <v>1939.42</v>
      </c>
      <c r="M85" s="189">
        <v>2796.2</v>
      </c>
      <c r="N85" s="189">
        <v>2571.4299999999998</v>
      </c>
      <c r="O85" s="189">
        <v>2094.85</v>
      </c>
      <c r="P85" s="189">
        <v>2083.17</v>
      </c>
      <c r="Q85" s="189">
        <v>803.7</v>
      </c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2.75" customHeight="1">
      <c r="A86" s="5">
        <v>84</v>
      </c>
      <c r="B86" s="189">
        <v>889.96</v>
      </c>
      <c r="C86" s="189">
        <v>986.39</v>
      </c>
      <c r="D86" s="189">
        <v>1021.21</v>
      </c>
      <c r="E86" s="189">
        <v>1605.89</v>
      </c>
      <c r="F86" s="192">
        <v>2666.82</v>
      </c>
      <c r="G86" s="189">
        <v>1549.4</v>
      </c>
      <c r="H86" s="189">
        <v>1602.61</v>
      </c>
      <c r="I86" s="190">
        <v>1773.48</v>
      </c>
      <c r="J86" s="189">
        <v>1372.5</v>
      </c>
      <c r="K86" s="189">
        <v>2556.9699999999998</v>
      </c>
      <c r="L86" s="190">
        <v>1939.89</v>
      </c>
      <c r="M86" s="189">
        <v>2796.53</v>
      </c>
      <c r="N86" s="189">
        <v>2579.79</v>
      </c>
      <c r="O86" s="189">
        <v>2097.85</v>
      </c>
      <c r="P86" s="189">
        <v>2083.4699999999998</v>
      </c>
      <c r="Q86" s="189">
        <v>811.55</v>
      </c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2.75" customHeight="1">
      <c r="A87" s="5">
        <v>85</v>
      </c>
      <c r="B87" s="193">
        <v>895.04</v>
      </c>
      <c r="C87" s="193">
        <v>992.33</v>
      </c>
      <c r="D87" s="193">
        <v>1022.17</v>
      </c>
      <c r="E87" s="193">
        <v>1608.34</v>
      </c>
      <c r="F87" s="195">
        <v>2674.33</v>
      </c>
      <c r="G87" s="193">
        <v>1602.65</v>
      </c>
      <c r="H87" s="193">
        <v>1604.22</v>
      </c>
      <c r="I87" s="194">
        <v>1773.76</v>
      </c>
      <c r="J87" s="193">
        <v>1381.22</v>
      </c>
      <c r="K87" s="193">
        <v>2578.84</v>
      </c>
      <c r="L87" s="194">
        <v>1949.2</v>
      </c>
      <c r="M87" s="193">
        <v>2796.86</v>
      </c>
      <c r="N87" s="193">
        <v>2708.59</v>
      </c>
      <c r="O87" s="193">
        <v>2098.17</v>
      </c>
      <c r="P87" s="193">
        <v>2086.5700000000002</v>
      </c>
      <c r="Q87" s="193">
        <v>811.8</v>
      </c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2.75" customHeight="1">
      <c r="A88" s="5">
        <v>86</v>
      </c>
      <c r="B88" s="60">
        <v>895.67</v>
      </c>
      <c r="C88" s="60">
        <v>1001.11</v>
      </c>
      <c r="D88" s="60">
        <v>1022.91</v>
      </c>
      <c r="E88" s="60">
        <v>1654.75</v>
      </c>
      <c r="F88" s="60">
        <v>2821.62</v>
      </c>
      <c r="G88" s="60">
        <v>1624.6</v>
      </c>
      <c r="H88" s="60">
        <v>1630.54</v>
      </c>
      <c r="I88" s="60">
        <v>1774.04</v>
      </c>
      <c r="J88" s="60">
        <v>1382.13</v>
      </c>
      <c r="K88" s="60">
        <v>2600.77</v>
      </c>
      <c r="L88" s="60">
        <v>1950.74</v>
      </c>
      <c r="M88" s="60">
        <v>2797.19</v>
      </c>
      <c r="N88" s="60">
        <v>2804.73</v>
      </c>
      <c r="O88" s="60">
        <v>2098.48</v>
      </c>
      <c r="P88" s="60">
        <v>2148.41</v>
      </c>
      <c r="Q88" s="60">
        <v>811.95</v>
      </c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2.75" customHeight="1">
      <c r="A89" s="5">
        <v>87</v>
      </c>
      <c r="B89" s="60">
        <v>904.94</v>
      </c>
      <c r="C89" s="60">
        <v>1006.97</v>
      </c>
      <c r="D89" s="60">
        <v>1023.41</v>
      </c>
      <c r="E89" s="60">
        <v>1659.4</v>
      </c>
      <c r="F89" s="60">
        <v>2842.19</v>
      </c>
      <c r="G89" s="60">
        <v>1626.8</v>
      </c>
      <c r="H89" s="60">
        <v>1645.16</v>
      </c>
      <c r="I89" s="60">
        <v>1776.7</v>
      </c>
      <c r="J89" s="60">
        <v>1382.42</v>
      </c>
      <c r="K89" s="60">
        <v>2622.67</v>
      </c>
      <c r="L89" s="60">
        <v>1980.87</v>
      </c>
      <c r="M89" s="60">
        <v>2797.54</v>
      </c>
      <c r="N89" s="60">
        <v>2826.96</v>
      </c>
      <c r="O89" s="60">
        <v>2098.77</v>
      </c>
      <c r="P89" s="60">
        <v>2289.33</v>
      </c>
      <c r="Q89" s="60">
        <v>848.95</v>
      </c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2.75" customHeight="1">
      <c r="A90" s="5">
        <v>88</v>
      </c>
      <c r="B90" s="60">
        <v>905.87</v>
      </c>
      <c r="C90" s="60">
        <v>1007.58</v>
      </c>
      <c r="D90" s="60">
        <v>1024.55</v>
      </c>
      <c r="E90" s="60">
        <v>1662.04</v>
      </c>
      <c r="F90" s="60">
        <v>2915.9</v>
      </c>
      <c r="G90" s="60">
        <v>1628.39</v>
      </c>
      <c r="H90" s="60">
        <v>1648.2</v>
      </c>
      <c r="I90" s="60">
        <v>1829.84</v>
      </c>
      <c r="J90" s="60">
        <v>1383.35</v>
      </c>
      <c r="K90" s="60">
        <v>2644.54</v>
      </c>
      <c r="L90" s="60">
        <v>1983.89</v>
      </c>
      <c r="M90" s="60">
        <v>2797.86</v>
      </c>
      <c r="N90" s="60">
        <v>2829.19</v>
      </c>
      <c r="O90" s="60">
        <v>2099.0500000000002</v>
      </c>
      <c r="P90" s="60">
        <v>2345.4299999999998</v>
      </c>
      <c r="Q90" s="60">
        <v>849.1</v>
      </c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2.75" customHeight="1">
      <c r="A91" s="5">
        <v>89</v>
      </c>
      <c r="B91" s="60">
        <v>914.96</v>
      </c>
      <c r="C91" s="60">
        <v>1007.96</v>
      </c>
      <c r="D91" s="60">
        <v>1040.53</v>
      </c>
      <c r="E91" s="60">
        <v>1714.73</v>
      </c>
      <c r="F91" s="60">
        <v>2923.28</v>
      </c>
      <c r="G91" s="60">
        <v>1659.23</v>
      </c>
      <c r="H91" s="60">
        <v>1650.23</v>
      </c>
      <c r="I91" s="60">
        <v>1893.3</v>
      </c>
      <c r="J91" s="60">
        <v>1400.32</v>
      </c>
      <c r="K91" s="60">
        <v>2666.45</v>
      </c>
      <c r="L91" s="60">
        <v>1995.12</v>
      </c>
      <c r="M91" s="60">
        <v>2798.2</v>
      </c>
      <c r="N91" s="60">
        <v>2831</v>
      </c>
      <c r="O91" s="60">
        <v>2099.4499999999998</v>
      </c>
      <c r="P91" s="60">
        <v>2351.04</v>
      </c>
      <c r="Q91" s="60">
        <v>876.15</v>
      </c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2.75" customHeight="1">
      <c r="A92" s="5">
        <v>90</v>
      </c>
      <c r="B92" s="60">
        <v>920.02</v>
      </c>
      <c r="C92" s="60">
        <v>1015.15</v>
      </c>
      <c r="D92" s="60">
        <v>1052.6500000000001</v>
      </c>
      <c r="E92" s="60">
        <v>1720</v>
      </c>
      <c r="F92" s="60">
        <v>2935.5</v>
      </c>
      <c r="G92" s="60">
        <v>1673.97</v>
      </c>
      <c r="H92" s="60">
        <v>1690.81</v>
      </c>
      <c r="I92" s="60">
        <v>1914.39</v>
      </c>
      <c r="J92" s="60">
        <v>1402.03</v>
      </c>
      <c r="K92" s="60">
        <v>2688.3</v>
      </c>
      <c r="L92" s="60">
        <v>2146.35</v>
      </c>
      <c r="M92" s="60">
        <v>2798.53</v>
      </c>
      <c r="N92" s="60">
        <v>2866.91</v>
      </c>
      <c r="O92" s="60">
        <v>2107.31</v>
      </c>
      <c r="P92" s="60">
        <v>2351.61</v>
      </c>
      <c r="Q92" s="60">
        <v>876.35</v>
      </c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2.75" customHeight="1">
      <c r="A93" s="5">
        <v>91</v>
      </c>
      <c r="B93" s="60">
        <v>920.53</v>
      </c>
      <c r="C93" s="60">
        <v>1019.11</v>
      </c>
      <c r="D93" s="60">
        <v>1055.3499999999999</v>
      </c>
      <c r="E93" s="60">
        <v>1741.2</v>
      </c>
      <c r="F93" s="60">
        <v>2936.73</v>
      </c>
      <c r="G93" s="60">
        <v>1675.46</v>
      </c>
      <c r="H93" s="60">
        <v>1705.5</v>
      </c>
      <c r="I93" s="60">
        <v>1973.53</v>
      </c>
      <c r="J93" s="60">
        <v>1402.34</v>
      </c>
      <c r="K93" s="60">
        <v>2690.49</v>
      </c>
      <c r="L93" s="60">
        <v>2220.84</v>
      </c>
      <c r="M93" s="60">
        <v>2798.8</v>
      </c>
      <c r="N93" s="60">
        <v>2915.96</v>
      </c>
      <c r="O93" s="60">
        <v>2108.11</v>
      </c>
      <c r="P93" s="60">
        <v>2352.1999999999998</v>
      </c>
      <c r="Q93" s="60">
        <v>898.8</v>
      </c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2.75" customHeight="1">
      <c r="A94" s="5">
        <v>92</v>
      </c>
      <c r="B94" s="60">
        <v>929.8</v>
      </c>
      <c r="C94" s="60">
        <v>1019.52</v>
      </c>
      <c r="D94" s="60">
        <v>1068.6400000000001</v>
      </c>
      <c r="E94" s="60">
        <v>1743.33</v>
      </c>
      <c r="F94" s="60">
        <v>2951.47</v>
      </c>
      <c r="G94" s="60">
        <v>1698.27</v>
      </c>
      <c r="H94" s="60">
        <v>1718.53</v>
      </c>
      <c r="I94" s="60">
        <v>1979.45</v>
      </c>
      <c r="J94" s="60">
        <v>1404.74</v>
      </c>
      <c r="K94" s="60">
        <v>2711.65</v>
      </c>
      <c r="L94" s="60">
        <v>2228.3000000000002</v>
      </c>
      <c r="M94" s="60">
        <v>2799.08</v>
      </c>
      <c r="N94" s="60">
        <v>3038.85</v>
      </c>
      <c r="O94" s="60">
        <v>2108.4</v>
      </c>
      <c r="P94" s="60">
        <v>2363.75</v>
      </c>
      <c r="Q94" s="60">
        <v>908.6</v>
      </c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2.75" customHeight="1">
      <c r="A95" s="5">
        <v>93</v>
      </c>
      <c r="B95" s="60">
        <v>934.95</v>
      </c>
      <c r="C95" s="60">
        <v>1019.83</v>
      </c>
      <c r="D95" s="60">
        <v>1070.75</v>
      </c>
      <c r="E95" s="60">
        <v>1776.5</v>
      </c>
      <c r="F95" s="60">
        <v>2959.54</v>
      </c>
      <c r="G95" s="60">
        <v>1700.56</v>
      </c>
      <c r="H95" s="60">
        <v>1734.87</v>
      </c>
      <c r="I95" s="60">
        <v>2001.22</v>
      </c>
      <c r="J95" s="60">
        <v>1452.34</v>
      </c>
      <c r="K95" s="60">
        <v>2713.77</v>
      </c>
      <c r="L95" s="60">
        <v>2229.0500000000002</v>
      </c>
      <c r="M95" s="60">
        <v>2799.55</v>
      </c>
      <c r="N95" s="60">
        <v>3051.15</v>
      </c>
      <c r="O95" s="60">
        <v>2108.6999999999998</v>
      </c>
      <c r="P95" s="60">
        <v>2365.04</v>
      </c>
      <c r="Q95" s="60">
        <v>909.05</v>
      </c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2.75" customHeight="1">
      <c r="A96" s="5">
        <v>94</v>
      </c>
      <c r="B96" s="60">
        <v>943.98</v>
      </c>
      <c r="C96" s="60">
        <v>1020.15</v>
      </c>
      <c r="D96" s="60">
        <v>1071.0899999999999</v>
      </c>
      <c r="E96" s="60">
        <v>1779.9</v>
      </c>
      <c r="F96" s="60">
        <v>3036.94</v>
      </c>
      <c r="G96" s="60">
        <v>1728.77</v>
      </c>
      <c r="H96" s="60">
        <v>1737.86</v>
      </c>
      <c r="I96" s="60">
        <v>2003.4</v>
      </c>
      <c r="J96" s="60">
        <v>1457.11</v>
      </c>
      <c r="K96" s="60">
        <v>2746.77</v>
      </c>
      <c r="L96" s="60">
        <v>2229.4</v>
      </c>
      <c r="M96" s="60">
        <v>2799.84</v>
      </c>
      <c r="N96" s="60">
        <v>3052.38</v>
      </c>
      <c r="O96" s="60">
        <v>2108.9699999999998</v>
      </c>
      <c r="P96" s="60">
        <v>2365.89</v>
      </c>
      <c r="Q96" s="60">
        <v>909.1</v>
      </c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2.75" customHeight="1">
      <c r="A97" s="5">
        <v>95</v>
      </c>
      <c r="B97" s="60">
        <v>944.89</v>
      </c>
      <c r="C97" s="60">
        <v>1020.46</v>
      </c>
      <c r="D97" s="60">
        <v>1071.49</v>
      </c>
      <c r="E97" s="60">
        <v>1791.03</v>
      </c>
      <c r="F97" s="60">
        <v>3176.76</v>
      </c>
      <c r="G97" s="60">
        <v>1739.96</v>
      </c>
      <c r="H97" s="60">
        <v>1738.17</v>
      </c>
      <c r="I97" s="60">
        <v>2003.73</v>
      </c>
      <c r="J97" s="60">
        <v>1460.42</v>
      </c>
      <c r="K97" s="60">
        <v>2750.08</v>
      </c>
      <c r="L97" s="60">
        <v>2229.71</v>
      </c>
      <c r="M97" s="60">
        <v>2800.18</v>
      </c>
      <c r="N97" s="60">
        <v>3052.67</v>
      </c>
      <c r="O97" s="60">
        <v>2113.56</v>
      </c>
      <c r="P97" s="60">
        <v>2382.6999999999998</v>
      </c>
      <c r="Q97" s="60">
        <v>912.1</v>
      </c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2.75" customHeight="1">
      <c r="A98" s="5">
        <v>96</v>
      </c>
      <c r="B98" s="60">
        <v>945.44</v>
      </c>
      <c r="C98" s="60">
        <v>1020.74</v>
      </c>
      <c r="D98" s="60">
        <v>1071.79</v>
      </c>
      <c r="E98" s="60">
        <v>1792.15</v>
      </c>
      <c r="F98" s="60">
        <v>3190.75</v>
      </c>
      <c r="G98" s="60">
        <v>1741.09</v>
      </c>
      <c r="H98" s="60">
        <v>1740.81</v>
      </c>
      <c r="I98" s="60">
        <v>2004</v>
      </c>
      <c r="J98" s="60">
        <v>1463.59</v>
      </c>
      <c r="K98" s="60">
        <v>2750.42</v>
      </c>
      <c r="L98" s="60">
        <v>2230</v>
      </c>
      <c r="M98" s="60">
        <v>2800.45</v>
      </c>
      <c r="N98" s="60">
        <v>3052.93</v>
      </c>
      <c r="O98" s="60">
        <v>2186.63</v>
      </c>
      <c r="P98" s="60">
        <v>2478.14</v>
      </c>
      <c r="Q98" s="60">
        <v>915.4</v>
      </c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2.75" customHeight="1">
      <c r="A99" s="5">
        <v>97</v>
      </c>
      <c r="B99" s="60">
        <v>947.27</v>
      </c>
      <c r="C99" s="60">
        <v>1021.03</v>
      </c>
      <c r="D99" s="60">
        <v>1072.32</v>
      </c>
      <c r="E99" s="60">
        <v>1792.45</v>
      </c>
      <c r="F99" s="60">
        <v>3217.98</v>
      </c>
      <c r="G99" s="60">
        <v>1742.47</v>
      </c>
      <c r="H99" s="60">
        <v>1791.9</v>
      </c>
      <c r="I99" s="60">
        <v>2004.91</v>
      </c>
      <c r="J99" s="60">
        <v>1526.95</v>
      </c>
      <c r="K99" s="60">
        <v>2750.73</v>
      </c>
      <c r="L99" s="60">
        <v>2230.35</v>
      </c>
      <c r="M99" s="60">
        <v>2800.83</v>
      </c>
      <c r="N99" s="60">
        <v>3053.62</v>
      </c>
      <c r="O99" s="60">
        <v>2203.96</v>
      </c>
      <c r="P99" s="60">
        <v>2488.64</v>
      </c>
      <c r="Q99" s="60">
        <v>936.75</v>
      </c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2.75" customHeight="1">
      <c r="A100" s="5">
        <v>98</v>
      </c>
      <c r="B100" s="60">
        <v>947.56</v>
      </c>
      <c r="C100" s="60">
        <v>1021.42</v>
      </c>
      <c r="D100" s="60">
        <v>1072.6099999999999</v>
      </c>
      <c r="E100" s="60">
        <v>1792.74</v>
      </c>
      <c r="F100" s="60">
        <v>3453.11</v>
      </c>
      <c r="G100" s="60">
        <v>1769.99</v>
      </c>
      <c r="H100" s="60">
        <v>1797.34</v>
      </c>
      <c r="I100" s="60">
        <v>2021.77</v>
      </c>
      <c r="J100" s="60">
        <v>1533.31</v>
      </c>
      <c r="K100" s="60">
        <v>2751.04</v>
      </c>
      <c r="L100" s="60">
        <v>2237.14</v>
      </c>
      <c r="M100" s="60">
        <v>2801.58</v>
      </c>
      <c r="N100" s="60">
        <v>3067.24</v>
      </c>
      <c r="O100" s="60">
        <v>2205.6999999999998</v>
      </c>
      <c r="P100" s="60">
        <v>2489.6999999999998</v>
      </c>
      <c r="Q100" s="60">
        <v>936.85</v>
      </c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2.75" customHeight="1">
      <c r="A101" s="5">
        <v>99</v>
      </c>
      <c r="B101" s="60">
        <v>949.03</v>
      </c>
      <c r="C101" s="60">
        <v>1021.81</v>
      </c>
      <c r="D101" s="60">
        <v>1073.1300000000001</v>
      </c>
      <c r="E101" s="60">
        <v>1793.39</v>
      </c>
      <c r="F101" s="60">
        <v>3479.94</v>
      </c>
      <c r="G101" s="60">
        <v>1773.81</v>
      </c>
      <c r="H101" s="60">
        <v>1801.62</v>
      </c>
      <c r="I101" s="60">
        <v>2110.16</v>
      </c>
      <c r="J101" s="60">
        <v>1540.14</v>
      </c>
      <c r="K101" s="60">
        <v>2753.39</v>
      </c>
      <c r="L101" s="60">
        <v>2372.88</v>
      </c>
      <c r="M101" s="60">
        <v>2816.36</v>
      </c>
      <c r="N101" s="60">
        <v>3339.58</v>
      </c>
      <c r="O101" s="60">
        <v>2208.2199999999998</v>
      </c>
      <c r="P101" s="60">
        <v>2491.62</v>
      </c>
      <c r="Q101" s="60">
        <v>949.65</v>
      </c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2.75" customHeight="1">
      <c r="A102" s="60">
        <v>100</v>
      </c>
      <c r="B102" s="60">
        <v>976</v>
      </c>
      <c r="C102" s="60">
        <v>1028</v>
      </c>
      <c r="D102" s="60">
        <v>1083</v>
      </c>
      <c r="E102" s="60">
        <v>1804</v>
      </c>
      <c r="F102" s="60">
        <v>3551</v>
      </c>
      <c r="G102" s="60">
        <v>1849</v>
      </c>
      <c r="H102" s="60">
        <v>1844</v>
      </c>
      <c r="I102" s="60">
        <v>2119</v>
      </c>
      <c r="J102" s="60">
        <v>1666</v>
      </c>
      <c r="K102" s="60">
        <v>2799</v>
      </c>
      <c r="L102" s="60">
        <v>2568</v>
      </c>
      <c r="M102" s="60">
        <v>3093</v>
      </c>
      <c r="N102" s="60">
        <v>3805</v>
      </c>
      <c r="O102" s="60">
        <v>2234</v>
      </c>
      <c r="P102" s="60">
        <v>2530</v>
      </c>
      <c r="Q102" s="60">
        <v>1037</v>
      </c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2.75" customHeight="1">
      <c r="A103" s="60" t="s">
        <v>82</v>
      </c>
      <c r="B103" s="60">
        <v>9.86</v>
      </c>
      <c r="C103" s="60">
        <v>10.38</v>
      </c>
      <c r="D103" s="60">
        <v>10.94</v>
      </c>
      <c r="E103" s="60">
        <v>18.22</v>
      </c>
      <c r="F103" s="60">
        <v>35.869999999999997</v>
      </c>
      <c r="G103" s="60">
        <v>18.68</v>
      </c>
      <c r="H103" s="60">
        <v>18.63</v>
      </c>
      <c r="I103" s="60">
        <v>21.4</v>
      </c>
      <c r="J103" s="60">
        <v>16.829999999999998</v>
      </c>
      <c r="K103" s="60">
        <v>28.27</v>
      </c>
      <c r="L103" s="60">
        <v>25.94</v>
      </c>
      <c r="M103" s="60">
        <v>21.24</v>
      </c>
      <c r="N103" s="60">
        <v>34.43</v>
      </c>
      <c r="O103" s="60">
        <v>22.57</v>
      </c>
      <c r="P103" s="60">
        <v>25.56</v>
      </c>
      <c r="Q103" s="60">
        <v>10.47</v>
      </c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2.75" customHeight="1">
      <c r="A104" s="60" t="s">
        <v>65</v>
      </c>
      <c r="B104" s="96">
        <v>96.85</v>
      </c>
      <c r="C104" s="96">
        <v>106.94</v>
      </c>
      <c r="D104" s="96">
        <v>101.03</v>
      </c>
      <c r="E104" s="96">
        <v>119.89000000000001</v>
      </c>
      <c r="F104" s="96">
        <v>188.41</v>
      </c>
      <c r="G104" s="96">
        <v>112.16000000000001</v>
      </c>
      <c r="H104" s="96">
        <v>108.12</v>
      </c>
      <c r="I104" s="96">
        <v>137.39000000000001</v>
      </c>
      <c r="J104" s="96">
        <v>106.53999999999999</v>
      </c>
      <c r="K104" s="96">
        <v>129.09</v>
      </c>
      <c r="L104" s="96">
        <v>126.51</v>
      </c>
      <c r="M104" s="96">
        <v>155.53</v>
      </c>
      <c r="N104" s="96">
        <v>200.18</v>
      </c>
      <c r="O104" s="96">
        <v>122.83000000000001</v>
      </c>
      <c r="P104" s="96">
        <v>136.79</v>
      </c>
      <c r="Q104" s="96">
        <v>137.79</v>
      </c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22.5" customHeight="1">
      <c r="A105" s="60" t="s">
        <v>66</v>
      </c>
      <c r="B105" s="96">
        <f t="shared" ref="B105:P105" si="0">B3-B104</f>
        <v>29.330000000000013</v>
      </c>
      <c r="C105" s="96">
        <f t="shared" si="0"/>
        <v>32.340000000000003</v>
      </c>
      <c r="D105" s="96">
        <f t="shared" si="0"/>
        <v>28.689999999999998</v>
      </c>
      <c r="E105" s="96">
        <f t="shared" si="0"/>
        <v>37.839999999999975</v>
      </c>
      <c r="F105" s="96">
        <f t="shared" si="0"/>
        <v>55.69</v>
      </c>
      <c r="G105" s="96">
        <f t="shared" si="0"/>
        <v>35.499999999999986</v>
      </c>
      <c r="H105" s="96">
        <f t="shared" si="0"/>
        <v>34.269999999999982</v>
      </c>
      <c r="I105" s="96">
        <f t="shared" si="0"/>
        <v>40.319999999999993</v>
      </c>
      <c r="J105" s="96">
        <f t="shared" si="0"/>
        <v>34.580000000000013</v>
      </c>
      <c r="K105" s="96">
        <f t="shared" si="0"/>
        <v>40.960000000000008</v>
      </c>
      <c r="L105" s="96">
        <f t="shared" si="0"/>
        <v>40.029999999999987</v>
      </c>
      <c r="M105" s="96">
        <f t="shared" si="0"/>
        <v>47.31</v>
      </c>
      <c r="N105" s="96">
        <f t="shared" si="0"/>
        <v>58.740000000000009</v>
      </c>
      <c r="O105" s="96">
        <f t="shared" si="0"/>
        <v>39.059999999999974</v>
      </c>
      <c r="P105" s="96">
        <f t="shared" si="0"/>
        <v>43.56</v>
      </c>
      <c r="Q105" s="96">
        <v>43.56</v>
      </c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2.7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2.7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2.7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2.7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2.7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2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2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2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2.7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2.7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2.7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2.7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2.7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2.7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2.7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2.7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2.7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2.7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2.7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2.7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2.7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2.7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2.7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2.7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2.7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2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2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2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2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2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2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2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2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2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2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2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2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2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2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2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2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2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2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2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2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2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2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2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2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2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2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2.7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2.7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2.7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2.7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2.7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2.7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2.7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2.7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2.7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2.7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2.7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2.7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2.7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2.7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2.7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2.7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2.7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2.7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2.7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2.7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2.7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2.7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2.7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2.7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2.7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2.7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2.7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2.7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2.7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2.7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2.7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2.7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2.7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2.7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2.7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2.7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2.7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2.7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2.7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2.7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2.7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2.7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2.7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2.7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2.7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2.7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2.7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2.7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2.7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2.7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2.7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2.7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2.7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2.7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2.7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2.7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2.7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2.7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2.7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2.7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2.7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2.7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2.7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2.7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2.7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2.7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2.7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2.7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2.7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2.7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2.7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2.7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2.7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2.7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2.7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2.7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2.7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2.7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2.7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2.7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2.7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2.7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2.7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2.7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2.7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2.7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2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2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2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2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2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2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2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2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2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2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2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2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2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2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2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2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2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2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2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2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2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2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2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2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2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2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2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2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2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2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2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2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2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2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2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2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2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2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2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2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2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2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2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2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2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2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2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2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2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2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2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2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2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2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2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2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2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2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2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2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2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2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2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2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2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2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2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2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2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2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2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2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2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2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2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2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2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2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2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2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2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2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2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2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2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2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2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2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2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2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2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2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2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2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2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2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2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2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2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2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2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2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2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2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2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2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2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2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2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2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2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2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2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2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2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2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2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2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2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2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2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2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2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2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2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2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2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2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2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2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2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2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2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2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2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2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2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2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2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2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2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2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2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2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2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2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2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2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2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2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2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2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2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2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2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2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2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2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2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2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2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2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2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2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2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2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2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2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2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2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2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2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2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2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2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2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2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2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2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2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2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2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2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2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2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2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2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2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2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2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2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2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2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2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2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2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2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2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2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2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2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2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2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2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2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2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2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2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2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2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2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2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2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2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2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2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2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2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2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2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2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2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2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2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2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2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2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2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2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2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2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2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2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2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2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2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2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2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2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2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2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2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2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2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2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2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2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2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2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2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2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2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2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2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2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2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2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2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2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2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2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2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2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2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2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2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2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2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2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2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2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2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2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2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2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2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2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2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2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2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2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2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2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2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2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2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2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2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2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2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2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2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2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2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2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2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2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2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2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2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2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2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2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2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2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2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2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2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2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2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2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2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2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2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2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2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2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2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2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2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2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2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2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2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2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2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2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2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2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2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2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2.7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2.7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2.7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2.7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2.7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2.7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2.7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2.7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2.7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2.7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2.7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2.7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2.7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2.7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2.7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2.7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2.7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2.7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2.7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2.7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2.7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2.7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2.7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2.7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2.7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2.7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2.7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2.7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2.7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2.7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2.7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2.7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2.7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2.7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2.7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2.7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2.7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2.7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2.7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2.7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2.7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2.7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2.7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2.7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2.7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2.7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2.7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2.7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2.7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2.7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2.7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2.7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2.7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2.7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2.7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2.7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2.7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2.7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2.7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2.7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2.7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2.7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2.7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2.7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2.7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2.7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2.7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2.7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2.7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2.7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2.7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2.7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2.7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2.7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2.7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2.7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2.7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2.7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2.7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2.7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2.7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2.7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2.7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2.7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2.7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2.7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2.7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2.7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2.7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2.7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2.7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2.7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2.7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2.7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2.7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2.7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2.7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2.7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2.7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2.7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2.7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2.7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2.7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2.7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2.7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2.7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2.7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2.7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2.7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2.7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2.7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2.7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2.7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2.7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2.7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2.7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2.7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2.7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2.7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2.7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2.7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2.7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2.7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2.7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2.7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2.7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2.7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2.7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2.7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2.7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2.7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2.7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2.7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2.7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2.7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2.7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2.7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2.7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2.7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2.7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2.7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2.7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2.7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2.7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2.7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2.7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2.7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2.7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2.7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2.7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2.7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2.7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2.7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2.7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2.7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2.7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2.7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2.7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2.7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2.7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2.7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2.7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2.7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2.7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2.7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2.7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2.7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2.7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2.7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2.7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2.7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2.7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2.7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2.7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2.7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2.7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2.7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2.7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2.7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2.7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2.7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2.7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2.7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2.7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2.7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2.7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2.7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2.7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2.7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2.7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2.7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2.7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2.7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2.7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2.7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2.7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2.7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2.7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2.7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2.7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2.7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2.7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2.7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2.7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2.7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2.7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2.7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2.7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2.7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2.7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2.7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2.7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2.7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2.7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2.7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2.7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2.7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2.7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2.7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2.7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2.7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2.7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2.7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2.7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2.7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2.7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2.7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2.7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2.7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2.7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2.7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2.7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2.7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2.7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2.7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2.7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2.7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2.7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2.7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2.7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2.7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2.7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2.7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2.7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2.7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2.7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2.7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2.7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2.7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2.7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2.7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2.7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2.7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2.7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2.7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2.7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2.7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2.7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2.7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2.7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2.7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2.7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2.7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2.7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2.7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2.7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2.7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2.7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2.7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2.7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2.7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2.7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2.7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2.7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2.7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2.7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2.7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2.7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2.7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2.7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2.7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2.7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2.7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2.7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2.7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2.7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2.7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2.7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2.7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2.7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2.7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2.7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2.7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2.7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2.7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2.7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2.7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2.7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2.7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2.7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2.7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2.7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2.7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2.7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2.7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2.7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2.7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2.7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2.7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2.7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2.7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2.7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2.7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2.7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2.7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2.7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2.7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2.7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2.7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2.7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2.7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2.7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2.7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2.7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2.7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2.7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2.7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2.7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2.7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2.7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2.7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2.7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2.7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2.7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2.7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2.7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2.7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2.7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2.7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2.7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2.7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</sheetData>
  <pageMargins left="0.75" right="0.75" top="0.51" bottom="0.56999999999999995" header="0" footer="0"/>
  <pageSetup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7CAAC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1" width="6.5703125" customWidth="1"/>
    <col min="2" max="9" width="7.5703125" customWidth="1"/>
    <col min="10" max="10" width="24" customWidth="1"/>
    <col min="11" max="11" width="8.42578125" customWidth="1"/>
    <col min="12" max="12" width="3.5703125" customWidth="1"/>
    <col min="13" max="26" width="8.5703125" customWidth="1"/>
  </cols>
  <sheetData>
    <row r="1" spans="1:26" ht="12.75" customHeight="1">
      <c r="B1" s="209"/>
      <c r="C1" s="209"/>
      <c r="D1" s="210" t="s">
        <v>83</v>
      </c>
      <c r="E1" s="211">
        <f>ExpressResWithFS</f>
        <v>4.55</v>
      </c>
      <c r="H1" s="212" t="s">
        <v>84</v>
      </c>
    </row>
    <row r="2" spans="1:26" ht="12.75" customHeight="1">
      <c r="B2" s="213" t="s">
        <v>85</v>
      </c>
      <c r="H2" s="212" t="s">
        <v>86</v>
      </c>
    </row>
    <row r="3" spans="1:26" ht="12.75" customHeight="1">
      <c r="B3" s="213" t="s">
        <v>87</v>
      </c>
    </row>
    <row r="4" spans="1:26" ht="12.75" customHeight="1">
      <c r="A4" s="214" t="s">
        <v>5</v>
      </c>
      <c r="B4" s="214" t="s">
        <v>0</v>
      </c>
      <c r="C4" s="214" t="s">
        <v>0</v>
      </c>
      <c r="D4" s="214" t="s">
        <v>0</v>
      </c>
      <c r="E4" s="214" t="s">
        <v>0</v>
      </c>
      <c r="F4" s="214" t="s">
        <v>0</v>
      </c>
      <c r="G4" s="214" t="s">
        <v>0</v>
      </c>
      <c r="H4" s="214" t="s">
        <v>0</v>
      </c>
    </row>
    <row r="5" spans="1:26" ht="12.75" customHeight="1">
      <c r="A5" s="215" t="s">
        <v>49</v>
      </c>
      <c r="B5" s="216">
        <v>2</v>
      </c>
      <c r="C5" s="216">
        <v>3</v>
      </c>
      <c r="D5" s="216">
        <v>4</v>
      </c>
      <c r="E5" s="216">
        <v>5</v>
      </c>
      <c r="F5" s="216">
        <v>6</v>
      </c>
      <c r="G5" s="216">
        <v>7</v>
      </c>
      <c r="H5" s="216">
        <v>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217" t="s">
        <v>88</v>
      </c>
      <c r="B6" s="218">
        <f>ROUND((IF(MinBase1AMDay&gt;ROUND(((1-(OvernightDiscount1_to_10+FedExExrpessEarnedDiscount))*'1Day AM Base'!B3),2),ROUND(MinBase1AMDay*(1+ExpressFuelSurcharge),2),ROUND(((1-(OvernightDiscount1_to_10+FedExExrpessEarnedDiscount))*'1Day AM Base'!B3)*(1+ExpressFuelSurcharge),2)))*(1+FedEx_Markup),2)</f>
        <v>40.15</v>
      </c>
      <c r="C6" s="218">
        <f>ROUND((IF(MinBase1AMDay&gt;ROUND(((1-(OvernightDiscount1_to_10+FedExExrpessEarnedDiscount))*'1Day AM Base'!C3),2),ROUND(MinBase1AMDay*(1+ExpressFuelSurcharge),2),ROUND(((1-(OvernightDiscount1_to_10+FedExExrpessEarnedDiscount))*'1Day AM Base'!C3)*(1+ExpressFuelSurcharge),2)))*(1+FedEx_Markup),2)</f>
        <v>40.15</v>
      </c>
      <c r="D6" s="218">
        <f>ROUND((IF(MinBase1AMDay&gt;ROUND(((1-(OvernightDiscount1_to_10+FedExExrpessEarnedDiscount))*'1Day AM Base'!D3),2),ROUND(MinBase1AMDay*(1+ExpressFuelSurcharge),2),ROUND(((1-(OvernightDiscount1_to_10+FedExExrpessEarnedDiscount))*'1Day AM Base'!D3)*(1+ExpressFuelSurcharge),2)))*(1+FedEx_Markup),2)</f>
        <v>42.49</v>
      </c>
      <c r="E6" s="218">
        <f>ROUND((IF(MinBase1AMDay&gt;ROUND(((1-(OvernightDiscount1_to_10+FedExExrpessEarnedDiscount))*'1Day AM Base'!E3),2),ROUND(MinBase1AMDay*(1+ExpressFuelSurcharge),2),ROUND(((1-(OvernightDiscount1_to_10+FedExExrpessEarnedDiscount))*'1Day AM Base'!E3)*(1+ExpressFuelSurcharge),2)))*(1+FedEx_Markup),2)</f>
        <v>46.98</v>
      </c>
      <c r="F6" s="218">
        <f>ROUND((IF(MinBase1AMDay&gt;ROUND(((1-(OvernightDiscount1_to_10+FedExExrpessEarnedDiscount))*'1Day AM Base'!F3),2),ROUND(MinBase1AMDay*(1+ExpressFuelSurcharge),2),ROUND(((1-(OvernightDiscount1_to_10+FedExExrpessEarnedDiscount))*'1Day AM Base'!F3)*(1+ExpressFuelSurcharge),2)))*(1+FedEx_Markup),2)</f>
        <v>49.46</v>
      </c>
      <c r="G6" s="218">
        <f>ROUND((IF(MinBase1AMDay&gt;ROUND(((1-(OvernightDiscount1_to_10+FedExExrpessEarnedDiscount))*'1Day AM Base'!G3),2),ROUND(MinBase1AMDay*(1+ExpressFuelSurcharge),2),ROUND(((1-(OvernightDiscount1_to_10+FedExExrpessEarnedDiscount))*'1Day AM Base'!G3)*(1+ExpressFuelSurcharge),2)))*(1+FedEx_Markup),2)</f>
        <v>54.86</v>
      </c>
      <c r="H6" s="218">
        <f>ROUND((IF(MinBase1AMDay&gt;ROUND(((1-(OvernightDiscount1_to_10+FedExExrpessEarnedDiscount))*'1Day AM Base'!H3),2),ROUND(MinBase1AMDay*(1+ExpressFuelSurcharge),2),ROUND(((1-(OvernightDiscount1_to_10+FedExExrpessEarnedDiscount))*'1Day AM Base'!H3)*(1+ExpressFuelSurcharge),2)))*(1+FedEx_Markup),2)</f>
        <v>56.3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217">
        <v>2</v>
      </c>
      <c r="B7" s="218">
        <f>ROUND((IF(MinBase1AMDay&gt;ROUND(((1-(OvernightDiscount1_to_10+FedExExrpessEarnedDiscount))*'1Day AM Base'!B4),2),ROUND(MinBase1AMDay*(1+ExpressFuelSurcharge),2),ROUND(((1-(OvernightDiscount1_to_10+FedExExrpessEarnedDiscount))*'1Day AM Base'!B4)*(1+ExpressFuelSurcharge),2)))*(1+FedEx_Markup),2)</f>
        <v>40.15</v>
      </c>
      <c r="C7" s="218">
        <f>ROUND((IF(MinBase1AMDay&gt;ROUND(((1-(OvernightDiscount1_to_10+FedExExrpessEarnedDiscount))*'1Day AM Base'!C4),2),ROUND(MinBase1AMDay*(1+ExpressFuelSurcharge),2),ROUND(((1-(OvernightDiscount1_to_10+FedExExrpessEarnedDiscount))*'1Day AM Base'!C4)*(1+ExpressFuelSurcharge),2)))*(1+FedEx_Markup),2)</f>
        <v>40.15</v>
      </c>
      <c r="D7" s="218">
        <f>ROUND((IF(MinBase1AMDay&gt;ROUND(((1-(OvernightDiscount1_to_10+FedExExrpessEarnedDiscount))*'1Day AM Base'!D4),2),ROUND(MinBase1AMDay*(1+ExpressFuelSurcharge),2),ROUND(((1-(OvernightDiscount1_to_10+FedExExrpessEarnedDiscount))*'1Day AM Base'!D4)*(1+ExpressFuelSurcharge),2)))*(1+FedEx_Markup),2)</f>
        <v>46.39</v>
      </c>
      <c r="E7" s="218">
        <f>ROUND((IF(MinBase1AMDay&gt;ROUND(((1-(OvernightDiscount1_to_10+FedExExrpessEarnedDiscount))*'1Day AM Base'!E4),2),ROUND(MinBase1AMDay*(1+ExpressFuelSurcharge),2),ROUND(((1-(OvernightDiscount1_to_10+FedExExrpessEarnedDiscount))*'1Day AM Base'!E4)*(1+ExpressFuelSurcharge),2)))*(1+FedEx_Markup),2)</f>
        <v>50.44</v>
      </c>
      <c r="F7" s="218">
        <f>ROUND((IF(MinBase1AMDay&gt;ROUND(((1-(OvernightDiscount1_to_10+FedExExrpessEarnedDiscount))*'1Day AM Base'!F4),2),ROUND(MinBase1AMDay*(1+ExpressFuelSurcharge),2),ROUND(((1-(OvernightDiscount1_to_10+FedExExrpessEarnedDiscount))*'1Day AM Base'!F4)*(1+ExpressFuelSurcharge),2)))*(1+FedEx_Markup),2)</f>
        <v>51.95</v>
      </c>
      <c r="G7" s="218">
        <f>ROUND((IF(MinBase1AMDay&gt;ROUND(((1-(OvernightDiscount1_to_10+FedExExrpessEarnedDiscount))*'1Day AM Base'!G4),2),ROUND(MinBase1AMDay*(1+ExpressFuelSurcharge),2),ROUND(((1-(OvernightDiscount1_to_10+FedExExrpessEarnedDiscount))*'1Day AM Base'!G4)*(1+ExpressFuelSurcharge),2)))*(1+FedEx_Markup),2)</f>
        <v>58.49</v>
      </c>
      <c r="H7" s="218">
        <f>ROUND((IF(MinBase1AMDay&gt;ROUND(((1-(OvernightDiscount1_to_10+FedExExrpessEarnedDiscount))*'1Day AM Base'!H4),2),ROUND(MinBase1AMDay*(1+ExpressFuelSurcharge),2),ROUND(((1-(OvernightDiscount1_to_10+FedExExrpessEarnedDiscount))*'1Day AM Base'!H4)*(1+ExpressFuelSurcharge),2)))*(1+FedEx_Markup),2)</f>
        <v>64.48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217">
        <v>3</v>
      </c>
      <c r="B8" s="218">
        <f>ROUND((IF(MinBase1AMDay&gt;ROUND(((1-(OvernightDiscount1_to_10+FedExExrpessEarnedDiscount))*'1Day AM Base'!B5),2),ROUND(MinBase1AMDay*(1+ExpressFuelSurcharge),2),ROUND(((1-(OvernightDiscount1_to_10+FedExExrpessEarnedDiscount))*'1Day AM Base'!B5)*(1+ExpressFuelSurcharge),2)))*(1+FedEx_Markup),2)</f>
        <v>40.15</v>
      </c>
      <c r="C8" s="218">
        <f>ROUND((IF(MinBase1AMDay&gt;ROUND(((1-(OvernightDiscount1_to_10+FedExExrpessEarnedDiscount))*'1Day AM Base'!C5),2),ROUND(MinBase1AMDay*(1+ExpressFuelSurcharge),2),ROUND(((1-(OvernightDiscount1_to_10+FedExExrpessEarnedDiscount))*'1Day AM Base'!C5)*(1+ExpressFuelSurcharge),2)))*(1+FedEx_Markup),2)</f>
        <v>40.15</v>
      </c>
      <c r="D8" s="218">
        <f>ROUND((IF(MinBase1AMDay&gt;ROUND(((1-(OvernightDiscount1_to_10+FedExExrpessEarnedDiscount))*'1Day AM Base'!D5),2),ROUND(MinBase1AMDay*(1+ExpressFuelSurcharge),2),ROUND(((1-(OvernightDiscount1_to_10+FedExExrpessEarnedDiscount))*'1Day AM Base'!D5)*(1+ExpressFuelSurcharge),2)))*(1+FedEx_Markup),2)</f>
        <v>51.38</v>
      </c>
      <c r="E8" s="218">
        <f>ROUND((IF(MinBase1AMDay&gt;ROUND(((1-(OvernightDiscount1_to_10+FedExExrpessEarnedDiscount))*'1Day AM Base'!E5),2),ROUND(MinBase1AMDay*(1+ExpressFuelSurcharge),2),ROUND(((1-(OvernightDiscount1_to_10+FedExExrpessEarnedDiscount))*'1Day AM Base'!E5)*(1+ExpressFuelSurcharge),2)))*(1+FedEx_Markup),2)</f>
        <v>57.65</v>
      </c>
      <c r="F8" s="218">
        <f>ROUND((IF(MinBase1AMDay&gt;ROUND(((1-(OvernightDiscount1_to_10+FedExExrpessEarnedDiscount))*'1Day AM Base'!F5),2),ROUND(MinBase1AMDay*(1+ExpressFuelSurcharge),2),ROUND(((1-(OvernightDiscount1_to_10+FedExExrpessEarnedDiscount))*'1Day AM Base'!F5)*(1+ExpressFuelSurcharge),2)))*(1+FedEx_Markup),2)</f>
        <v>62</v>
      </c>
      <c r="G8" s="218">
        <f>ROUND((IF(MinBase1AMDay&gt;ROUND(((1-(OvernightDiscount1_to_10+FedExExrpessEarnedDiscount))*'1Day AM Base'!G5),2),ROUND(MinBase1AMDay*(1+ExpressFuelSurcharge),2),ROUND(((1-(OvernightDiscount1_to_10+FedExExrpessEarnedDiscount))*'1Day AM Base'!G5)*(1+ExpressFuelSurcharge),2)))*(1+FedEx_Markup),2)</f>
        <v>68.069999999999993</v>
      </c>
      <c r="H8" s="218">
        <f>ROUND((IF(MinBase1AMDay&gt;ROUND(((1-(OvernightDiscount1_to_10+FedExExrpessEarnedDiscount))*'1Day AM Base'!H5),2),ROUND(MinBase1AMDay*(1+ExpressFuelSurcharge),2),ROUND(((1-(OvernightDiscount1_to_10+FedExExrpessEarnedDiscount))*'1Day AM Base'!H5)*(1+ExpressFuelSurcharge),2)))*(1+FedEx_Markup),2)</f>
        <v>70.5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17">
        <v>4</v>
      </c>
      <c r="B9" s="218">
        <f>ROUND((IF(MinBase1AMDay&gt;ROUND(((1-(OvernightDiscount1_to_10+FedExExrpessEarnedDiscount))*'1Day AM Base'!B6),2),ROUND(MinBase1AMDay*(1+ExpressFuelSurcharge),2),ROUND(((1-(OvernightDiscount1_to_10+FedExExrpessEarnedDiscount))*'1Day AM Base'!B6)*(1+ExpressFuelSurcharge),2)))*(1+FedEx_Markup),2)</f>
        <v>40.15</v>
      </c>
      <c r="C9" s="218">
        <f>ROUND((IF(MinBase1AMDay&gt;ROUND(((1-(OvernightDiscount1_to_10+FedExExrpessEarnedDiscount))*'1Day AM Base'!C6),2),ROUND(MinBase1AMDay*(1+ExpressFuelSurcharge),2),ROUND(((1-(OvernightDiscount1_to_10+FedExExrpessEarnedDiscount))*'1Day AM Base'!C6)*(1+ExpressFuelSurcharge),2)))*(1+FedEx_Markup),2)</f>
        <v>40.15</v>
      </c>
      <c r="D9" s="218">
        <f>ROUND((IF(MinBase1AMDay&gt;ROUND(((1-(OvernightDiscount1_to_10+FedExExrpessEarnedDiscount))*'1Day AM Base'!D6),2),ROUND(MinBase1AMDay*(1+ExpressFuelSurcharge),2),ROUND(((1-(OvernightDiscount1_to_10+FedExExrpessEarnedDiscount))*'1Day AM Base'!D6)*(1+ExpressFuelSurcharge),2)))*(1+FedEx_Markup),2)</f>
        <v>57.47</v>
      </c>
      <c r="E9" s="218">
        <f>ROUND((IF(MinBase1AMDay&gt;ROUND(((1-(OvernightDiscount1_to_10+FedExExrpessEarnedDiscount))*'1Day AM Base'!E6),2),ROUND(MinBase1AMDay*(1+ExpressFuelSurcharge),2),ROUND(((1-(OvernightDiscount1_to_10+FedExExrpessEarnedDiscount))*'1Day AM Base'!E6)*(1+ExpressFuelSurcharge),2)))*(1+FedEx_Markup),2)</f>
        <v>63.14</v>
      </c>
      <c r="F9" s="218">
        <f>ROUND((IF(MinBase1AMDay&gt;ROUND(((1-(OvernightDiscount1_to_10+FedExExrpessEarnedDiscount))*'1Day AM Base'!F6),2),ROUND(MinBase1AMDay*(1+ExpressFuelSurcharge),2),ROUND(((1-(OvernightDiscount1_to_10+FedExExrpessEarnedDiscount))*'1Day AM Base'!F6)*(1+ExpressFuelSurcharge),2)))*(1+FedEx_Markup),2)</f>
        <v>65.42</v>
      </c>
      <c r="G9" s="218">
        <f>ROUND((IF(MinBase1AMDay&gt;ROUND(((1-(OvernightDiscount1_to_10+FedExExrpessEarnedDiscount))*'1Day AM Base'!G6),2),ROUND(MinBase1AMDay*(1+ExpressFuelSurcharge),2),ROUND(((1-(OvernightDiscount1_to_10+FedExExrpessEarnedDiscount))*'1Day AM Base'!G6)*(1+ExpressFuelSurcharge),2)))*(1+FedEx_Markup),2)</f>
        <v>73.930000000000007</v>
      </c>
      <c r="H9" s="218">
        <f>ROUND((IF(MinBase1AMDay&gt;ROUND(((1-(OvernightDiscount1_to_10+FedExExrpessEarnedDiscount))*'1Day AM Base'!H6),2),ROUND(MinBase1AMDay*(1+ExpressFuelSurcharge),2),ROUND(((1-(OvernightDiscount1_to_10+FedExExrpessEarnedDiscount))*'1Day AM Base'!H6)*(1+ExpressFuelSurcharge),2)))*(1+FedEx_Markup),2)</f>
        <v>76.72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5</v>
      </c>
      <c r="B10" s="218">
        <f>ROUND((IF(MinBase1AMDay&gt;ROUND(((1-(OvernightDiscount1_to_10+FedExExrpessEarnedDiscount))*'1Day AM Base'!B7),2),ROUND(MinBase1AMDay*(1+ExpressFuelSurcharge),2),ROUND(((1-(OvernightDiscount1_to_10+FedExExrpessEarnedDiscount))*'1Day AM Base'!B7)*(1+ExpressFuelSurcharge),2)))*(1+FedEx_Markup),2)</f>
        <v>40.15</v>
      </c>
      <c r="C10" s="218">
        <f>ROUND((IF(MinBase1AMDay&gt;ROUND(((1-(OvernightDiscount1_to_10+FedExExrpessEarnedDiscount))*'1Day AM Base'!C7),2),ROUND(MinBase1AMDay*(1+ExpressFuelSurcharge),2),ROUND(((1-(OvernightDiscount1_to_10+FedExExrpessEarnedDiscount))*'1Day AM Base'!C7)*(1+ExpressFuelSurcharge),2)))*(1+FedEx_Markup),2)</f>
        <v>40.15</v>
      </c>
      <c r="D10" s="218">
        <f>ROUND((IF(MinBase1AMDay&gt;ROUND(((1-(OvernightDiscount1_to_10+FedExExrpessEarnedDiscount))*'1Day AM Base'!D7),2),ROUND(MinBase1AMDay*(1+ExpressFuelSurcharge),2),ROUND(((1-(OvernightDiscount1_to_10+FedExExrpessEarnedDiscount))*'1Day AM Base'!D7)*(1+ExpressFuelSurcharge),2)))*(1+FedEx_Markup),2)</f>
        <v>59.73</v>
      </c>
      <c r="E10" s="218">
        <f>ROUND((IF(MinBase1AMDay&gt;ROUND(((1-(OvernightDiscount1_to_10+FedExExrpessEarnedDiscount))*'1Day AM Base'!E7),2),ROUND(MinBase1AMDay*(1+ExpressFuelSurcharge),2),ROUND(((1-(OvernightDiscount1_to_10+FedExExrpessEarnedDiscount))*'1Day AM Base'!E7)*(1+ExpressFuelSurcharge),2)))*(1+FedEx_Markup),2)</f>
        <v>63.7</v>
      </c>
      <c r="F10" s="218">
        <f>ROUND((IF(MinBase1AMDay&gt;ROUND(((1-(OvernightDiscount1_to_10+FedExExrpessEarnedDiscount))*'1Day AM Base'!F7),2),ROUND(MinBase1AMDay*(1+ExpressFuelSurcharge),2),ROUND(((1-(OvernightDiscount1_to_10+FedExExrpessEarnedDiscount))*'1Day AM Base'!F7)*(1+ExpressFuelSurcharge),2)))*(1+FedEx_Markup),2)</f>
        <v>66.040000000000006</v>
      </c>
      <c r="G10" s="218">
        <f>ROUND((IF(MinBase1AMDay&gt;ROUND(((1-(OvernightDiscount1_to_10+FedExExrpessEarnedDiscount))*'1Day AM Base'!G7),2),ROUND(MinBase1AMDay*(1+ExpressFuelSurcharge),2),ROUND(((1-(OvernightDiscount1_to_10+FedExExrpessEarnedDiscount))*'1Day AM Base'!G7)*(1+ExpressFuelSurcharge),2)))*(1+FedEx_Markup),2)</f>
        <v>74.959999999999994</v>
      </c>
      <c r="H10" s="218">
        <f>ROUND((IF(MinBase1AMDay&gt;ROUND(((1-(OvernightDiscount1_to_10+FedExExrpessEarnedDiscount))*'1Day AM Base'!H7),2),ROUND(MinBase1AMDay*(1+ExpressFuelSurcharge),2),ROUND(((1-(OvernightDiscount1_to_10+FedExExrpessEarnedDiscount))*'1Day AM Base'!H7)*(1+ExpressFuelSurcharge),2)))*(1+FedEx_Markup),2)</f>
        <v>77.349999999999994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6</v>
      </c>
      <c r="B11" s="218">
        <f>ROUND((IF(MinBase1AMDay&gt;ROUND(((1-(OvernightDiscount1_to_10+FedExExrpessEarnedDiscount))*'1Day AM Base'!B8),2),ROUND(MinBase1AMDay*(1+ExpressFuelSurcharge),2),ROUND(((1-(OvernightDiscount1_to_10+FedExExrpessEarnedDiscount))*'1Day AM Base'!B8)*(1+ExpressFuelSurcharge),2)))*(1+FedEx_Markup),2)</f>
        <v>40.15</v>
      </c>
      <c r="C11" s="218">
        <f>ROUND((IF(MinBase1AMDay&gt;ROUND(((1-(OvernightDiscount1_to_10+FedExExrpessEarnedDiscount))*'1Day AM Base'!C8),2),ROUND(MinBase1AMDay*(1+ExpressFuelSurcharge),2),ROUND(((1-(OvernightDiscount1_to_10+FedExExrpessEarnedDiscount))*'1Day AM Base'!C8)*(1+ExpressFuelSurcharge),2)))*(1+FedEx_Markup),2)</f>
        <v>43.04</v>
      </c>
      <c r="D11" s="218">
        <f>ROUND((IF(MinBase1AMDay&gt;ROUND(((1-(OvernightDiscount1_to_10+FedExExrpessEarnedDiscount))*'1Day AM Base'!D8),2),ROUND(MinBase1AMDay*(1+ExpressFuelSurcharge),2),ROUND(((1-(OvernightDiscount1_to_10+FedExExrpessEarnedDiscount))*'1Day AM Base'!D8)*(1+ExpressFuelSurcharge),2)))*(1+FedEx_Markup),2)</f>
        <v>66</v>
      </c>
      <c r="E11" s="218">
        <f>ROUND((IF(MinBase1AMDay&gt;ROUND(((1-(OvernightDiscount1_to_10+FedExExrpessEarnedDiscount))*'1Day AM Base'!E8),2),ROUND(MinBase1AMDay*(1+ExpressFuelSurcharge),2),ROUND(((1-(OvernightDiscount1_to_10+FedExExrpessEarnedDiscount))*'1Day AM Base'!E8)*(1+ExpressFuelSurcharge),2)))*(1+FedEx_Markup),2)</f>
        <v>74.5</v>
      </c>
      <c r="F11" s="218">
        <f>ROUND((IF(MinBase1AMDay&gt;ROUND(((1-(OvernightDiscount1_to_10+FedExExrpessEarnedDiscount))*'1Day AM Base'!F8),2),ROUND(MinBase1AMDay*(1+ExpressFuelSurcharge),2),ROUND(((1-(OvernightDiscount1_to_10+FedExExrpessEarnedDiscount))*'1Day AM Base'!F8)*(1+ExpressFuelSurcharge),2)))*(1+FedEx_Markup),2)</f>
        <v>77.92</v>
      </c>
      <c r="G11" s="218">
        <f>ROUND((IF(MinBase1AMDay&gt;ROUND(((1-(OvernightDiscount1_to_10+FedExExrpessEarnedDiscount))*'1Day AM Base'!G8),2),ROUND(MinBase1AMDay*(1+ExpressFuelSurcharge),2),ROUND(((1-(OvernightDiscount1_to_10+FedExExrpessEarnedDiscount))*'1Day AM Base'!G8)*(1+ExpressFuelSurcharge),2)))*(1+FedEx_Markup),2)</f>
        <v>85.97</v>
      </c>
      <c r="H11" s="218">
        <f>ROUND((IF(MinBase1AMDay&gt;ROUND(((1-(OvernightDiscount1_to_10+FedExExrpessEarnedDiscount))*'1Day AM Base'!H8),2),ROUND(MinBase1AMDay*(1+ExpressFuelSurcharge),2),ROUND(((1-(OvernightDiscount1_to_10+FedExExrpessEarnedDiscount))*'1Day AM Base'!H8)*(1+ExpressFuelSurcharge),2)))*(1+FedEx_Markup),2)</f>
        <v>89.68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7</v>
      </c>
      <c r="B12" s="218">
        <f>ROUND((IF(MinBase1AMDay&gt;ROUND(((1-(OvernightDiscount1_to_10+FedExExrpessEarnedDiscount))*'1Day AM Base'!B9),2),ROUND(MinBase1AMDay*(1+ExpressFuelSurcharge),2),ROUND(((1-(OvernightDiscount1_to_10+FedExExrpessEarnedDiscount))*'1Day AM Base'!B9)*(1+ExpressFuelSurcharge),2)))*(1+FedEx_Markup),2)</f>
        <v>40.15</v>
      </c>
      <c r="C12" s="218">
        <f>ROUND((IF(MinBase1AMDay&gt;ROUND(((1-(OvernightDiscount1_to_10+FedExExrpessEarnedDiscount))*'1Day AM Base'!C9),2),ROUND(MinBase1AMDay*(1+ExpressFuelSurcharge),2),ROUND(((1-(OvernightDiscount1_to_10+FedExExrpessEarnedDiscount))*'1Day AM Base'!C9)*(1+ExpressFuelSurcharge),2)))*(1+FedEx_Markup),2)</f>
        <v>45.29</v>
      </c>
      <c r="D12" s="218">
        <f>ROUND((IF(MinBase1AMDay&gt;ROUND(((1-(OvernightDiscount1_to_10+FedExExrpessEarnedDiscount))*'1Day AM Base'!D9),2),ROUND(MinBase1AMDay*(1+ExpressFuelSurcharge),2),ROUND(((1-(OvernightDiscount1_to_10+FedExExrpessEarnedDiscount))*'1Day AM Base'!D9)*(1+ExpressFuelSurcharge),2)))*(1+FedEx_Markup),2)</f>
        <v>68.94</v>
      </c>
      <c r="E12" s="218">
        <f>ROUND((IF(MinBase1AMDay&gt;ROUND(((1-(OvernightDiscount1_to_10+FedExExrpessEarnedDiscount))*'1Day AM Base'!E9),2),ROUND(MinBase1AMDay*(1+ExpressFuelSurcharge),2),ROUND(((1-(OvernightDiscount1_to_10+FedExExrpessEarnedDiscount))*'1Day AM Base'!E9)*(1+ExpressFuelSurcharge),2)))*(1+FedEx_Markup),2)</f>
        <v>78.17</v>
      </c>
      <c r="F12" s="218">
        <f>ROUND((IF(MinBase1AMDay&gt;ROUND(((1-(OvernightDiscount1_to_10+FedExExrpessEarnedDiscount))*'1Day AM Base'!F9),2),ROUND(MinBase1AMDay*(1+ExpressFuelSurcharge),2),ROUND(((1-(OvernightDiscount1_to_10+FedExExrpessEarnedDiscount))*'1Day AM Base'!F9)*(1+ExpressFuelSurcharge),2)))*(1+FedEx_Markup),2)</f>
        <v>81.13</v>
      </c>
      <c r="G12" s="218">
        <f>ROUND((IF(MinBase1AMDay&gt;ROUND(((1-(OvernightDiscount1_to_10+FedExExrpessEarnedDiscount))*'1Day AM Base'!G9),2),ROUND(MinBase1AMDay*(1+ExpressFuelSurcharge),2),ROUND(((1-(OvernightDiscount1_to_10+FedExExrpessEarnedDiscount))*'1Day AM Base'!G9)*(1+ExpressFuelSurcharge),2)))*(1+FedEx_Markup),2)</f>
        <v>89.73</v>
      </c>
      <c r="H12" s="218">
        <f>ROUND((IF(MinBase1AMDay&gt;ROUND(((1-(OvernightDiscount1_to_10+FedExExrpessEarnedDiscount))*'1Day AM Base'!H9),2),ROUND(MinBase1AMDay*(1+ExpressFuelSurcharge),2),ROUND(((1-(OvernightDiscount1_to_10+FedExExrpessEarnedDiscount))*'1Day AM Base'!H9)*(1+ExpressFuelSurcharge),2)))*(1+FedEx_Markup),2)</f>
        <v>95.81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8</v>
      </c>
      <c r="B13" s="218">
        <f>ROUND((IF(MinBase1AMDay&gt;ROUND(((1-(OvernightDiscount1_to_10+FedExExrpessEarnedDiscount))*'1Day AM Base'!B10),2),ROUND(MinBase1AMDay*(1+ExpressFuelSurcharge),2),ROUND(((1-(OvernightDiscount1_to_10+FedExExrpessEarnedDiscount))*'1Day AM Base'!B10)*(1+ExpressFuelSurcharge),2)))*(1+FedEx_Markup),2)</f>
        <v>40.15</v>
      </c>
      <c r="C13" s="218">
        <f>ROUND((IF(MinBase1AMDay&gt;ROUND(((1-(OvernightDiscount1_to_10+FedExExrpessEarnedDiscount))*'1Day AM Base'!C10),2),ROUND(MinBase1AMDay*(1+ExpressFuelSurcharge),2),ROUND(((1-(OvernightDiscount1_to_10+FedExExrpessEarnedDiscount))*'1Day AM Base'!C10)*(1+ExpressFuelSurcharge),2)))*(1+FedEx_Markup),2)</f>
        <v>45.51</v>
      </c>
      <c r="D13" s="218">
        <f>ROUND((IF(MinBase1AMDay&gt;ROUND(((1-(OvernightDiscount1_to_10+FedExExrpessEarnedDiscount))*'1Day AM Base'!D10),2),ROUND(MinBase1AMDay*(1+ExpressFuelSurcharge),2),ROUND(((1-(OvernightDiscount1_to_10+FedExExrpessEarnedDiscount))*'1Day AM Base'!D10)*(1+ExpressFuelSurcharge),2)))*(1+FedEx_Markup),2)</f>
        <v>71.94</v>
      </c>
      <c r="E13" s="218">
        <f>ROUND((IF(MinBase1AMDay&gt;ROUND(((1-(OvernightDiscount1_to_10+FedExExrpessEarnedDiscount))*'1Day AM Base'!E10),2),ROUND(MinBase1AMDay*(1+ExpressFuelSurcharge),2),ROUND(((1-(OvernightDiscount1_to_10+FedExExrpessEarnedDiscount))*'1Day AM Base'!E10)*(1+ExpressFuelSurcharge),2)))*(1+FedEx_Markup),2)</f>
        <v>81.2</v>
      </c>
      <c r="F13" s="218">
        <f>ROUND((IF(MinBase1AMDay&gt;ROUND(((1-(OvernightDiscount1_to_10+FedExExrpessEarnedDiscount))*'1Day AM Base'!F10),2),ROUND(MinBase1AMDay*(1+ExpressFuelSurcharge),2),ROUND(((1-(OvernightDiscount1_to_10+FedExExrpessEarnedDiscount))*'1Day AM Base'!F10)*(1+ExpressFuelSurcharge),2)))*(1+FedEx_Markup),2)</f>
        <v>84.95</v>
      </c>
      <c r="G13" s="218">
        <f>ROUND((IF(MinBase1AMDay&gt;ROUND(((1-(OvernightDiscount1_to_10+FedExExrpessEarnedDiscount))*'1Day AM Base'!G10),2),ROUND(MinBase1AMDay*(1+ExpressFuelSurcharge),2),ROUND(((1-(OvernightDiscount1_to_10+FedExExrpessEarnedDiscount))*'1Day AM Base'!G10)*(1+ExpressFuelSurcharge),2)))*(1+FedEx_Markup),2)</f>
        <v>95.04</v>
      </c>
      <c r="H13" s="218">
        <f>ROUND((IF(MinBase1AMDay&gt;ROUND(((1-(OvernightDiscount1_to_10+FedExExrpessEarnedDiscount))*'1Day AM Base'!H10),2),ROUND(MinBase1AMDay*(1+ExpressFuelSurcharge),2),ROUND(((1-(OvernightDiscount1_to_10+FedExExrpessEarnedDiscount))*'1Day AM Base'!H10)*(1+ExpressFuelSurcharge),2)))*(1+FedEx_Markup),2)</f>
        <v>98.8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9</v>
      </c>
      <c r="B14" s="218">
        <f>ROUND((IF(MinBase1AMDay&gt;ROUND(((1-(OvernightDiscount1_to_10+FedExExrpessEarnedDiscount))*'1Day AM Base'!B11),2),ROUND(MinBase1AMDay*(1+ExpressFuelSurcharge),2),ROUND(((1-(OvernightDiscount1_to_10+FedExExrpessEarnedDiscount))*'1Day AM Base'!B11)*(1+ExpressFuelSurcharge),2)))*(1+FedEx_Markup),2)</f>
        <v>40.15</v>
      </c>
      <c r="C14" s="218">
        <f>ROUND((IF(MinBase1AMDay&gt;ROUND(((1-(OvernightDiscount1_to_10+FedExExrpessEarnedDiscount))*'1Day AM Base'!C11),2),ROUND(MinBase1AMDay*(1+ExpressFuelSurcharge),2),ROUND(((1-(OvernightDiscount1_to_10+FedExExrpessEarnedDiscount))*'1Day AM Base'!C11)*(1+ExpressFuelSurcharge),2)))*(1+FedEx_Markup),2)</f>
        <v>45.83</v>
      </c>
      <c r="D14" s="218">
        <f>ROUND((IF(MinBase1AMDay&gt;ROUND(((1-(OvernightDiscount1_to_10+FedExExrpessEarnedDiscount))*'1Day AM Base'!D11),2),ROUND(MinBase1AMDay*(1+ExpressFuelSurcharge),2),ROUND(((1-(OvernightDiscount1_to_10+FedExExrpessEarnedDiscount))*'1Day AM Base'!D11)*(1+ExpressFuelSurcharge),2)))*(1+FedEx_Markup),2)</f>
        <v>74.5</v>
      </c>
      <c r="E14" s="218">
        <f>ROUND((IF(MinBase1AMDay&gt;ROUND(((1-(OvernightDiscount1_to_10+FedExExrpessEarnedDiscount))*'1Day AM Base'!E11),2),ROUND(MinBase1AMDay*(1+ExpressFuelSurcharge),2),ROUND(((1-(OvernightDiscount1_to_10+FedExExrpessEarnedDiscount))*'1Day AM Base'!E11)*(1+ExpressFuelSurcharge),2)))*(1+FedEx_Markup),2)</f>
        <v>81.510000000000005</v>
      </c>
      <c r="F14" s="218">
        <f>ROUND((IF(MinBase1AMDay&gt;ROUND(((1-(OvernightDiscount1_to_10+FedExExrpessEarnedDiscount))*'1Day AM Base'!F11),2),ROUND(MinBase1AMDay*(1+ExpressFuelSurcharge),2),ROUND(((1-(OvernightDiscount1_to_10+FedExExrpessEarnedDiscount))*'1Day AM Base'!F11)*(1+ExpressFuelSurcharge),2)))*(1+FedEx_Markup),2)</f>
        <v>85.34</v>
      </c>
      <c r="G14" s="218">
        <f>ROUND((IF(MinBase1AMDay&gt;ROUND(((1-(OvernightDiscount1_to_10+FedExExrpessEarnedDiscount))*'1Day AM Base'!G11),2),ROUND(MinBase1AMDay*(1+ExpressFuelSurcharge),2),ROUND(((1-(OvernightDiscount1_to_10+FedExExrpessEarnedDiscount))*'1Day AM Base'!G11)*(1+ExpressFuelSurcharge),2)))*(1+FedEx_Markup),2)</f>
        <v>95.58</v>
      </c>
      <c r="H14" s="218">
        <f>ROUND((IF(MinBase1AMDay&gt;ROUND(((1-(OvernightDiscount1_to_10+FedExExrpessEarnedDiscount))*'1Day AM Base'!H11),2),ROUND(MinBase1AMDay*(1+ExpressFuelSurcharge),2),ROUND(((1-(OvernightDiscount1_to_10+FedExExrpessEarnedDiscount))*'1Day AM Base'!H11)*(1+ExpressFuelSurcharge),2)))*(1+FedEx_Markup),2)</f>
        <v>99.1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10</v>
      </c>
      <c r="B15" s="218">
        <f>ROUND((IF(MinBase1AMDay&gt;ROUND(((1-(OvernightDiscount1_to_10+FedExExrpessEarnedDiscount))*'1Day AM Base'!B12),2),ROUND(MinBase1AMDay*(1+ExpressFuelSurcharge),2),ROUND(((1-(OvernightDiscount1_to_10+FedExExrpessEarnedDiscount))*'1Day AM Base'!B12)*(1+ExpressFuelSurcharge),2)))*(1+FedEx_Markup),2)</f>
        <v>40.15</v>
      </c>
      <c r="C15" s="218">
        <f>ROUND((IF(MinBase1AMDay&gt;ROUND(((1-(OvernightDiscount1_to_10+FedExExrpessEarnedDiscount))*'1Day AM Base'!C12),2),ROUND(MinBase1AMDay*(1+ExpressFuelSurcharge),2),ROUND(((1-(OvernightDiscount1_to_10+FedExExrpessEarnedDiscount))*'1Day AM Base'!C12)*(1+ExpressFuelSurcharge),2)))*(1+FedEx_Markup),2)</f>
        <v>46.43</v>
      </c>
      <c r="D15" s="218">
        <f>ROUND((IF(MinBase1AMDay&gt;ROUND(((1-(OvernightDiscount1_to_10+FedExExrpessEarnedDiscount))*'1Day AM Base'!D12),2),ROUND(MinBase1AMDay*(1+ExpressFuelSurcharge),2),ROUND(((1-(OvernightDiscount1_to_10+FedExExrpessEarnedDiscount))*'1Day AM Base'!D12)*(1+ExpressFuelSurcharge),2)))*(1+FedEx_Markup),2)</f>
        <v>75.34</v>
      </c>
      <c r="E15" s="218">
        <f>ROUND((IF(MinBase1AMDay&gt;ROUND(((1-(OvernightDiscount1_to_10+FedExExrpessEarnedDiscount))*'1Day AM Base'!E12),2),ROUND(MinBase1AMDay*(1+ExpressFuelSurcharge),2),ROUND(((1-(OvernightDiscount1_to_10+FedExExrpessEarnedDiscount))*'1Day AM Base'!E12)*(1+ExpressFuelSurcharge),2)))*(1+FedEx_Markup),2)</f>
        <v>82.65</v>
      </c>
      <c r="F15" s="218">
        <f>ROUND((IF(MinBase1AMDay&gt;ROUND(((1-(OvernightDiscount1_to_10+FedExExrpessEarnedDiscount))*'1Day AM Base'!F12),2),ROUND(MinBase1AMDay*(1+ExpressFuelSurcharge),2),ROUND(((1-(OvernightDiscount1_to_10+FedExExrpessEarnedDiscount))*'1Day AM Base'!F12)*(1+ExpressFuelSurcharge),2)))*(1+FedEx_Markup),2)</f>
        <v>86.53</v>
      </c>
      <c r="G15" s="218">
        <f>ROUND((IF(MinBase1AMDay&gt;ROUND(((1-(OvernightDiscount1_to_10+FedExExrpessEarnedDiscount))*'1Day AM Base'!G12),2),ROUND(MinBase1AMDay*(1+ExpressFuelSurcharge),2),ROUND(((1-(OvernightDiscount1_to_10+FedExExrpessEarnedDiscount))*'1Day AM Base'!G12)*(1+ExpressFuelSurcharge),2)))*(1+FedEx_Markup),2)</f>
        <v>96.5</v>
      </c>
      <c r="H15" s="218">
        <f>ROUND((IF(MinBase1AMDay&gt;ROUND(((1-(OvernightDiscount1_to_10+FedExExrpessEarnedDiscount))*'1Day AM Base'!H12),2),ROUND(MinBase1AMDay*(1+ExpressFuelSurcharge),2),ROUND(((1-(OvernightDiscount1_to_10+FedExExrpessEarnedDiscount))*'1Day AM Base'!H12)*(1+ExpressFuelSurcharge),2)))*(1+FedEx_Markup),2)</f>
        <v>99.97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11</v>
      </c>
      <c r="B16" s="218">
        <f>ROUND((IF(MinBase1AMDay&gt;ROUND(((1-(OverNightDiscount_11_to_20+FedExExrpessEarnedDiscount))*'1Day AM Base'!B13),2),ROUND(MinBase1AMDay*(1+ExpressFuelSurcharge),2),ROUND(((1-(OverNightDiscount_11_to_20+FedExExrpessEarnedDiscount))*'1Day AM Base'!B13)*(1+ExpressFuelSurcharge),2)))*(1+FedEx_Markup),2)</f>
        <v>40.15</v>
      </c>
      <c r="C16" s="218">
        <f>ROUND((IF(MinBase1AMDay&gt;ROUND(((1-(OverNightDiscount_11_to_20+FedExExrpessEarnedDiscount))*'1Day AM Base'!C13),2),ROUND(MinBase1AMDay*(1+ExpressFuelSurcharge),2),ROUND(((1-(OverNightDiscount_11_to_20+FedExExrpessEarnedDiscount))*'1Day AM Base'!C13)*(1+ExpressFuelSurcharge),2)))*(1+FedEx_Markup),2)</f>
        <v>52.03</v>
      </c>
      <c r="D16" s="218">
        <f>ROUND((IF(MinBase1AMDay&gt;ROUND(((1-(OverNightDiscount_11_to_20+FedExExrpessEarnedDiscount))*'1Day AM Base'!D13),2),ROUND(MinBase1AMDay*(1+ExpressFuelSurcharge),2),ROUND(((1-(OverNightDiscount_11_to_20+FedExExrpessEarnedDiscount))*'1Day AM Base'!D13)*(1+ExpressFuelSurcharge),2)))*(1+FedEx_Markup),2)</f>
        <v>89.13</v>
      </c>
      <c r="E16" s="218">
        <f>ROUND((IF(MinBase1AMDay&gt;ROUND(((1-(OverNightDiscount_11_to_20+FedExExrpessEarnedDiscount))*'1Day AM Base'!E13),2),ROUND(MinBase1AMDay*(1+ExpressFuelSurcharge),2),ROUND(((1-(OverNightDiscount_11_to_20+FedExExrpessEarnedDiscount))*'1Day AM Base'!E13)*(1+ExpressFuelSurcharge),2)))*(1+FedEx_Markup),2)</f>
        <v>102.18</v>
      </c>
      <c r="F16" s="218">
        <f>ROUND((IF(MinBase1AMDay&gt;ROUND(((1-(OverNightDiscount_11_to_20+FedExExrpessEarnedDiscount))*'1Day AM Base'!F13),2),ROUND(MinBase1AMDay*(1+ExpressFuelSurcharge),2),ROUND(((1-(OverNightDiscount_11_to_20+FedExExrpessEarnedDiscount))*'1Day AM Base'!F13)*(1+ExpressFuelSurcharge),2)))*(1+FedEx_Markup),2)</f>
        <v>106.7</v>
      </c>
      <c r="G16" s="218">
        <f>ROUND((IF(MinBase1AMDay&gt;ROUND(((1-(OverNightDiscount_11_to_20+FedExExrpessEarnedDiscount))*'1Day AM Base'!G13),2),ROUND(MinBase1AMDay*(1+ExpressFuelSurcharge),2),ROUND(((1-(OverNightDiscount_11_to_20+FedExExrpessEarnedDiscount))*'1Day AM Base'!G13)*(1+ExpressFuelSurcharge),2)))*(1+FedEx_Markup),2)</f>
        <v>111.47</v>
      </c>
      <c r="H16" s="218">
        <f>ROUND((IF(MinBase1AMDay&gt;ROUND(((1-(OverNightDiscount_11_to_20+FedExExrpessEarnedDiscount))*'1Day AM Base'!H13),2),ROUND(MinBase1AMDay*(1+ExpressFuelSurcharge),2),ROUND(((1-(OverNightDiscount_11_to_20+FedExExrpessEarnedDiscount))*'1Day AM Base'!H13)*(1+ExpressFuelSurcharge),2)))*(1+FedEx_Markup),2)</f>
        <v>113.71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12</v>
      </c>
      <c r="B17" s="218">
        <f>ROUND((IF(MinBase1AMDay&gt;ROUND(((1-(OverNightDiscount_11_to_20+FedExExrpessEarnedDiscount))*'1Day AM Base'!B14),2),ROUND(MinBase1AMDay*(1+ExpressFuelSurcharge),2),ROUND(((1-(OverNightDiscount_11_to_20+FedExExrpessEarnedDiscount))*'1Day AM Base'!B14)*(1+ExpressFuelSurcharge),2)))*(1+FedEx_Markup),2)</f>
        <v>40.15</v>
      </c>
      <c r="C17" s="218">
        <f>ROUND((IF(MinBase1AMDay&gt;ROUND(((1-(OverNightDiscount_11_to_20+FedExExrpessEarnedDiscount))*'1Day AM Base'!C14),2),ROUND(MinBase1AMDay*(1+ExpressFuelSurcharge),2),ROUND(((1-(OverNightDiscount_11_to_20+FedExExrpessEarnedDiscount))*'1Day AM Base'!C14)*(1+ExpressFuelSurcharge),2)))*(1+FedEx_Markup),2)</f>
        <v>54.76</v>
      </c>
      <c r="D17" s="218">
        <f>ROUND((IF(MinBase1AMDay&gt;ROUND(((1-(OverNightDiscount_11_to_20+FedExExrpessEarnedDiscount))*'1Day AM Base'!D14),2),ROUND(MinBase1AMDay*(1+ExpressFuelSurcharge),2),ROUND(((1-(OverNightDiscount_11_to_20+FedExExrpessEarnedDiscount))*'1Day AM Base'!D14)*(1+ExpressFuelSurcharge),2)))*(1+FedEx_Markup),2)</f>
        <v>91.13</v>
      </c>
      <c r="E17" s="218">
        <f>ROUND((IF(MinBase1AMDay&gt;ROUND(((1-(OverNightDiscount_11_to_20+FedExExrpessEarnedDiscount))*'1Day AM Base'!E14),2),ROUND(MinBase1AMDay*(1+ExpressFuelSurcharge),2),ROUND(((1-(OverNightDiscount_11_to_20+FedExExrpessEarnedDiscount))*'1Day AM Base'!E14)*(1+ExpressFuelSurcharge),2)))*(1+FedEx_Markup),2)</f>
        <v>107.02</v>
      </c>
      <c r="F17" s="218">
        <f>ROUND((IF(MinBase1AMDay&gt;ROUND(((1-(OverNightDiscount_11_to_20+FedExExrpessEarnedDiscount))*'1Day AM Base'!F14),2),ROUND(MinBase1AMDay*(1+ExpressFuelSurcharge),2),ROUND(((1-(OverNightDiscount_11_to_20+FedExExrpessEarnedDiscount))*'1Day AM Base'!F14)*(1+ExpressFuelSurcharge),2)))*(1+FedEx_Markup),2)</f>
        <v>111.22</v>
      </c>
      <c r="G17" s="218">
        <f>ROUND((IF(MinBase1AMDay&gt;ROUND(((1-(OverNightDiscount_11_to_20+FedExExrpessEarnedDiscount))*'1Day AM Base'!G14),2),ROUND(MinBase1AMDay*(1+ExpressFuelSurcharge),2),ROUND(((1-(OverNightDiscount_11_to_20+FedExExrpessEarnedDiscount))*'1Day AM Base'!G14)*(1+ExpressFuelSurcharge),2)))*(1+FedEx_Markup),2)</f>
        <v>113.82</v>
      </c>
      <c r="H17" s="218">
        <f>ROUND((IF(MinBase1AMDay&gt;ROUND(((1-(OverNightDiscount_11_to_20+FedExExrpessEarnedDiscount))*'1Day AM Base'!H14),2),ROUND(MinBase1AMDay*(1+ExpressFuelSurcharge),2),ROUND(((1-(OverNightDiscount_11_to_20+FedExExrpessEarnedDiscount))*'1Day AM Base'!H14)*(1+ExpressFuelSurcharge),2)))*(1+FedEx_Markup),2)</f>
        <v>116.1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13</v>
      </c>
      <c r="B18" s="218">
        <f>ROUND((IF(MinBase1AMDay&gt;ROUND(((1-(OverNightDiscount_11_to_20+FedExExrpessEarnedDiscount))*'1Day AM Base'!B15),2),ROUND(MinBase1AMDay*(1+ExpressFuelSurcharge),2),ROUND(((1-(OverNightDiscount_11_to_20+FedExExrpessEarnedDiscount))*'1Day AM Base'!B15)*(1+ExpressFuelSurcharge),2)))*(1+FedEx_Markup),2)</f>
        <v>40.15</v>
      </c>
      <c r="C18" s="218">
        <f>ROUND((IF(MinBase1AMDay&gt;ROUND(((1-(OverNightDiscount_11_to_20+FedExExrpessEarnedDiscount))*'1Day AM Base'!C15),2),ROUND(MinBase1AMDay*(1+ExpressFuelSurcharge),2),ROUND(((1-(OverNightDiscount_11_to_20+FedExExrpessEarnedDiscount))*'1Day AM Base'!C15)*(1+ExpressFuelSurcharge),2)))*(1+FedEx_Markup),2)</f>
        <v>55.3</v>
      </c>
      <c r="D18" s="218">
        <f>ROUND((IF(MinBase1AMDay&gt;ROUND(((1-(OverNightDiscount_11_to_20+FedExExrpessEarnedDiscount))*'1Day AM Base'!D15),2),ROUND(MinBase1AMDay*(1+ExpressFuelSurcharge),2),ROUND(((1-(OverNightDiscount_11_to_20+FedExExrpessEarnedDiscount))*'1Day AM Base'!D15)*(1+ExpressFuelSurcharge),2)))*(1+FedEx_Markup),2)</f>
        <v>93.16</v>
      </c>
      <c r="E18" s="218">
        <f>ROUND((IF(MinBase1AMDay&gt;ROUND(((1-(OverNightDiscount_11_to_20+FedExExrpessEarnedDiscount))*'1Day AM Base'!E15),2),ROUND(MinBase1AMDay*(1+ExpressFuelSurcharge),2),ROUND(((1-(OverNightDiscount_11_to_20+FedExExrpessEarnedDiscount))*'1Day AM Base'!E15)*(1+ExpressFuelSurcharge),2)))*(1+FedEx_Markup),2)</f>
        <v>109.39</v>
      </c>
      <c r="F18" s="218">
        <f>ROUND((IF(MinBase1AMDay&gt;ROUND(((1-(OverNightDiscount_11_to_20+FedExExrpessEarnedDiscount))*'1Day AM Base'!F15),2),ROUND(MinBase1AMDay*(1+ExpressFuelSurcharge),2),ROUND(((1-(OverNightDiscount_11_to_20+FedExExrpessEarnedDiscount))*'1Day AM Base'!F15)*(1+ExpressFuelSurcharge),2)))*(1+FedEx_Markup),2)</f>
        <v>111.68</v>
      </c>
      <c r="G18" s="218">
        <f>ROUND((IF(MinBase1AMDay&gt;ROUND(((1-(OverNightDiscount_11_to_20+FedExExrpessEarnedDiscount))*'1Day AM Base'!G15),2),ROUND(MinBase1AMDay*(1+ExpressFuelSurcharge),2),ROUND(((1-(OverNightDiscount_11_to_20+FedExExrpessEarnedDiscount))*'1Day AM Base'!G15)*(1+ExpressFuelSurcharge),2)))*(1+FedEx_Markup),2)</f>
        <v>123.91</v>
      </c>
      <c r="H18" s="218">
        <f>ROUND((IF(MinBase1AMDay&gt;ROUND(((1-(OverNightDiscount_11_to_20+FedExExrpessEarnedDiscount))*'1Day AM Base'!H15),2),ROUND(MinBase1AMDay*(1+ExpressFuelSurcharge),2),ROUND(((1-(OverNightDiscount_11_to_20+FedExExrpessEarnedDiscount))*'1Day AM Base'!H15)*(1+ExpressFuelSurcharge),2)))*(1+FedEx_Markup),2)</f>
        <v>126.4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14</v>
      </c>
      <c r="B19" s="218">
        <f>ROUND((IF(MinBase1AMDay&gt;ROUND(((1-(OverNightDiscount_11_to_20+FedExExrpessEarnedDiscount))*'1Day AM Base'!B16),2),ROUND(MinBase1AMDay*(1+ExpressFuelSurcharge),2),ROUND(((1-(OverNightDiscount_11_to_20+FedExExrpessEarnedDiscount))*'1Day AM Base'!B16)*(1+ExpressFuelSurcharge),2)))*(1+FedEx_Markup),2)</f>
        <v>40.15</v>
      </c>
      <c r="C19" s="218">
        <f>ROUND((IF(MinBase1AMDay&gt;ROUND(((1-(OverNightDiscount_11_to_20+FedExExrpessEarnedDiscount))*'1Day AM Base'!C16),2),ROUND(MinBase1AMDay*(1+ExpressFuelSurcharge),2),ROUND(((1-(OverNightDiscount_11_to_20+FedExExrpessEarnedDiscount))*'1Day AM Base'!C16)*(1+ExpressFuelSurcharge),2)))*(1+FedEx_Markup),2)</f>
        <v>55.96</v>
      </c>
      <c r="D19" s="218">
        <f>ROUND((IF(MinBase1AMDay&gt;ROUND(((1-(OverNightDiscount_11_to_20+FedExExrpessEarnedDiscount))*'1Day AM Base'!D16),2),ROUND(MinBase1AMDay*(1+ExpressFuelSurcharge),2),ROUND(((1-(OverNightDiscount_11_to_20+FedExExrpessEarnedDiscount))*'1Day AM Base'!D16)*(1+ExpressFuelSurcharge),2)))*(1+FedEx_Markup),2)</f>
        <v>97.26</v>
      </c>
      <c r="E19" s="218">
        <f>ROUND((IF(MinBase1AMDay&gt;ROUND(((1-(OverNightDiscount_11_to_20+FedExExrpessEarnedDiscount))*'1Day AM Base'!E16),2),ROUND(MinBase1AMDay*(1+ExpressFuelSurcharge),2),ROUND(((1-(OverNightDiscount_11_to_20+FedExExrpessEarnedDiscount))*'1Day AM Base'!E16)*(1+ExpressFuelSurcharge),2)))*(1+FedEx_Markup),2)</f>
        <v>109.63</v>
      </c>
      <c r="F19" s="218">
        <f>ROUND((IF(MinBase1AMDay&gt;ROUND(((1-(OverNightDiscount_11_to_20+FedExExrpessEarnedDiscount))*'1Day AM Base'!F16),2),ROUND(MinBase1AMDay*(1+ExpressFuelSurcharge),2),ROUND(((1-(OverNightDiscount_11_to_20+FedExExrpessEarnedDiscount))*'1Day AM Base'!F16)*(1+ExpressFuelSurcharge),2)))*(1+FedEx_Markup),2)</f>
        <v>111.83</v>
      </c>
      <c r="G19" s="218">
        <f>ROUND((IF(MinBase1AMDay&gt;ROUND(((1-(OverNightDiscount_11_to_20+FedExExrpessEarnedDiscount))*'1Day AM Base'!G16),2),ROUND(MinBase1AMDay*(1+ExpressFuelSurcharge),2),ROUND(((1-(OverNightDiscount_11_to_20+FedExExrpessEarnedDiscount))*'1Day AM Base'!G16)*(1+ExpressFuelSurcharge),2)))*(1+FedEx_Markup),2)</f>
        <v>124.92</v>
      </c>
      <c r="H19" s="218">
        <f>ROUND((IF(MinBase1AMDay&gt;ROUND(((1-(OverNightDiscount_11_to_20+FedExExrpessEarnedDiscount))*'1Day AM Base'!H16),2),ROUND(MinBase1AMDay*(1+ExpressFuelSurcharge),2),ROUND(((1-(OverNightDiscount_11_to_20+FedExExrpessEarnedDiscount))*'1Day AM Base'!H16)*(1+ExpressFuelSurcharge),2)))*(1+FedEx_Markup),2)</f>
        <v>127.43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15</v>
      </c>
      <c r="B20" s="218">
        <f>ROUND((IF(MinBase1AMDay&gt;ROUND(((1-(OverNightDiscount_11_to_20+FedExExrpessEarnedDiscount))*'1Day AM Base'!B17),2),ROUND(MinBase1AMDay*(1+ExpressFuelSurcharge),2),ROUND(((1-(OverNightDiscount_11_to_20+FedExExrpessEarnedDiscount))*'1Day AM Base'!B17)*(1+ExpressFuelSurcharge),2)))*(1+FedEx_Markup),2)</f>
        <v>40.15</v>
      </c>
      <c r="C20" s="218">
        <f>ROUND((IF(MinBase1AMDay&gt;ROUND(((1-(OverNightDiscount_11_to_20+FedExExrpessEarnedDiscount))*'1Day AM Base'!C17),2),ROUND(MinBase1AMDay*(1+ExpressFuelSurcharge),2),ROUND(((1-(OverNightDiscount_11_to_20+FedExExrpessEarnedDiscount))*'1Day AM Base'!C17)*(1+ExpressFuelSurcharge),2)))*(1+FedEx_Markup),2)</f>
        <v>56.3</v>
      </c>
      <c r="D20" s="218">
        <f>ROUND((IF(MinBase1AMDay&gt;ROUND(((1-(OverNightDiscount_11_to_20+FedExExrpessEarnedDiscount))*'1Day AM Base'!D17),2),ROUND(MinBase1AMDay*(1+ExpressFuelSurcharge),2),ROUND(((1-(OverNightDiscount_11_to_20+FedExExrpessEarnedDiscount))*'1Day AM Base'!D17)*(1+ExpressFuelSurcharge),2)))*(1+FedEx_Markup),2)</f>
        <v>98.95</v>
      </c>
      <c r="E20" s="218">
        <f>ROUND((IF(MinBase1AMDay&gt;ROUND(((1-(OverNightDiscount_11_to_20+FedExExrpessEarnedDiscount))*'1Day AM Base'!E17),2),ROUND(MinBase1AMDay*(1+ExpressFuelSurcharge),2),ROUND(((1-(OverNightDiscount_11_to_20+FedExExrpessEarnedDiscount))*'1Day AM Base'!E17)*(1+ExpressFuelSurcharge),2)))*(1+FedEx_Markup),2)</f>
        <v>110.32</v>
      </c>
      <c r="F20" s="218">
        <f>ROUND((IF(MinBase1AMDay&gt;ROUND(((1-(OverNightDiscount_11_to_20+FedExExrpessEarnedDiscount))*'1Day AM Base'!F17),2),ROUND(MinBase1AMDay*(1+ExpressFuelSurcharge),2),ROUND(((1-(OverNightDiscount_11_to_20+FedExExrpessEarnedDiscount))*'1Day AM Base'!F17)*(1+ExpressFuelSurcharge),2)))*(1+FedEx_Markup),2)</f>
        <v>112.53</v>
      </c>
      <c r="G20" s="218">
        <f>ROUND((IF(MinBase1AMDay&gt;ROUND(((1-(OverNightDiscount_11_to_20+FedExExrpessEarnedDiscount))*'1Day AM Base'!G17),2),ROUND(MinBase1AMDay*(1+ExpressFuelSurcharge),2),ROUND(((1-(OverNightDiscount_11_to_20+FedExExrpessEarnedDiscount))*'1Day AM Base'!G17)*(1+ExpressFuelSurcharge),2)))*(1+FedEx_Markup),2)</f>
        <v>125.57</v>
      </c>
      <c r="H20" s="218">
        <f>ROUND((IF(MinBase1AMDay&gt;ROUND(((1-(OverNightDiscount_11_to_20+FedExExrpessEarnedDiscount))*'1Day AM Base'!H17),2),ROUND(MinBase1AMDay*(1+ExpressFuelSurcharge),2),ROUND(((1-(OverNightDiscount_11_to_20+FedExExrpessEarnedDiscount))*'1Day AM Base'!H17)*(1+ExpressFuelSurcharge),2)))*(1+FedEx_Markup),2)</f>
        <v>128.09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16</v>
      </c>
      <c r="B21" s="218">
        <f>ROUND((IF(MinBase1AMDay&gt;ROUND(((1-(OverNightDiscount_11_to_20+FedExExrpessEarnedDiscount))*'1Day AM Base'!B18),2),ROUND(MinBase1AMDay*(1+ExpressFuelSurcharge),2),ROUND(((1-(OverNightDiscount_11_to_20+FedExExrpessEarnedDiscount))*'1Day AM Base'!B18)*(1+ExpressFuelSurcharge),2)))*(1+FedEx_Markup),2)</f>
        <v>41.17</v>
      </c>
      <c r="C21" s="218">
        <f>ROUND((IF(MinBase1AMDay&gt;ROUND(((1-(OverNightDiscount_11_to_20+FedExExrpessEarnedDiscount))*'1Day AM Base'!C18),2),ROUND(MinBase1AMDay*(1+ExpressFuelSurcharge),2),ROUND(((1-(OverNightDiscount_11_to_20+FedExExrpessEarnedDiscount))*'1Day AM Base'!C18)*(1+ExpressFuelSurcharge),2)))*(1+FedEx_Markup),2)</f>
        <v>61.88</v>
      </c>
      <c r="D21" s="218">
        <f>ROUND((IF(MinBase1AMDay&gt;ROUND(((1-(OverNightDiscount_11_to_20+FedExExrpessEarnedDiscount))*'1Day AM Base'!D18),2),ROUND(MinBase1AMDay*(1+ExpressFuelSurcharge),2),ROUND(((1-(OverNightDiscount_11_to_20+FedExExrpessEarnedDiscount))*'1Day AM Base'!D18)*(1+ExpressFuelSurcharge),2)))*(1+FedEx_Markup),2)</f>
        <v>105.9</v>
      </c>
      <c r="E21" s="218">
        <f>ROUND((IF(MinBase1AMDay&gt;ROUND(((1-(OverNightDiscount_11_to_20+FedExExrpessEarnedDiscount))*'1Day AM Base'!E18),2),ROUND(MinBase1AMDay*(1+ExpressFuelSurcharge),2),ROUND(((1-(OverNightDiscount_11_to_20+FedExExrpessEarnedDiscount))*'1Day AM Base'!E18)*(1+ExpressFuelSurcharge),2)))*(1+FedEx_Markup),2)</f>
        <v>124.07</v>
      </c>
      <c r="F21" s="218">
        <f>ROUND((IF(MinBase1AMDay&gt;ROUND(((1-(OverNightDiscount_11_to_20+FedExExrpessEarnedDiscount))*'1Day AM Base'!F18),2),ROUND(MinBase1AMDay*(1+ExpressFuelSurcharge),2),ROUND(((1-(OverNightDiscount_11_to_20+FedExExrpessEarnedDiscount))*'1Day AM Base'!F18)*(1+ExpressFuelSurcharge),2)))*(1+FedEx_Markup),2)</f>
        <v>126.57</v>
      </c>
      <c r="G21" s="218">
        <f>ROUND((IF(MinBase1AMDay&gt;ROUND(((1-(OverNightDiscount_11_to_20+FedExExrpessEarnedDiscount))*'1Day AM Base'!G18),2),ROUND(MinBase1AMDay*(1+ExpressFuelSurcharge),2),ROUND(((1-(OverNightDiscount_11_to_20+FedExExrpessEarnedDiscount))*'1Day AM Base'!G18)*(1+ExpressFuelSurcharge),2)))*(1+FedEx_Markup),2)</f>
        <v>138.28</v>
      </c>
      <c r="H21" s="218">
        <f>ROUND((IF(MinBase1AMDay&gt;ROUND(((1-(OverNightDiscount_11_to_20+FedExExrpessEarnedDiscount))*'1Day AM Base'!H18),2),ROUND(MinBase1AMDay*(1+ExpressFuelSurcharge),2),ROUND(((1-(OverNightDiscount_11_to_20+FedExExrpessEarnedDiscount))*'1Day AM Base'!H18)*(1+ExpressFuelSurcharge),2)))*(1+FedEx_Markup),2)</f>
        <v>141.05000000000001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17</v>
      </c>
      <c r="B22" s="218">
        <f>ROUND((IF(MinBase1AMDay&gt;ROUND(((1-(OverNightDiscount_11_to_20+FedExExrpessEarnedDiscount))*'1Day AM Base'!B19),2),ROUND(MinBase1AMDay*(1+ExpressFuelSurcharge),2),ROUND(((1-(OverNightDiscount_11_to_20+FedExExrpessEarnedDiscount))*'1Day AM Base'!B19)*(1+ExpressFuelSurcharge),2)))*(1+FedEx_Markup),2)</f>
        <v>43.54</v>
      </c>
      <c r="C22" s="218">
        <f>ROUND((IF(MinBase1AMDay&gt;ROUND(((1-(OverNightDiscount_11_to_20+FedExExrpessEarnedDiscount))*'1Day AM Base'!C19),2),ROUND(MinBase1AMDay*(1+ExpressFuelSurcharge),2),ROUND(((1-(OverNightDiscount_11_to_20+FedExExrpessEarnedDiscount))*'1Day AM Base'!C19)*(1+ExpressFuelSurcharge),2)))*(1+FedEx_Markup),2)</f>
        <v>62.55</v>
      </c>
      <c r="D22" s="218">
        <f>ROUND((IF(MinBase1AMDay&gt;ROUND(((1-(OverNightDiscount_11_to_20+FedExExrpessEarnedDiscount))*'1Day AM Base'!D19),2),ROUND(MinBase1AMDay*(1+ExpressFuelSurcharge),2),ROUND(((1-(OverNightDiscount_11_to_20+FedExExrpessEarnedDiscount))*'1Day AM Base'!D19)*(1+ExpressFuelSurcharge),2)))*(1+FedEx_Markup),2)</f>
        <v>111.81</v>
      </c>
      <c r="E22" s="218">
        <f>ROUND((IF(MinBase1AMDay&gt;ROUND(((1-(OverNightDiscount_11_to_20+FedExExrpessEarnedDiscount))*'1Day AM Base'!E19),2),ROUND(MinBase1AMDay*(1+ExpressFuelSurcharge),2),ROUND(((1-(OverNightDiscount_11_to_20+FedExExrpessEarnedDiscount))*'1Day AM Base'!E19)*(1+ExpressFuelSurcharge),2)))*(1+FedEx_Markup),2)</f>
        <v>125.45</v>
      </c>
      <c r="F22" s="218">
        <f>ROUND((IF(MinBase1AMDay&gt;ROUND(((1-(OverNightDiscount_11_to_20+FedExExrpessEarnedDiscount))*'1Day AM Base'!F19),2),ROUND(MinBase1AMDay*(1+ExpressFuelSurcharge),2),ROUND(((1-(OverNightDiscount_11_to_20+FedExExrpessEarnedDiscount))*'1Day AM Base'!F19)*(1+ExpressFuelSurcharge),2)))*(1+FedEx_Markup),2)</f>
        <v>127.97</v>
      </c>
      <c r="G22" s="218">
        <f>ROUND((IF(MinBase1AMDay&gt;ROUND(((1-(OverNightDiscount_11_to_20+FedExExrpessEarnedDiscount))*'1Day AM Base'!G19),2),ROUND(MinBase1AMDay*(1+ExpressFuelSurcharge),2),ROUND(((1-(OverNightDiscount_11_to_20+FedExExrpessEarnedDiscount))*'1Day AM Base'!G19)*(1+ExpressFuelSurcharge),2)))*(1+FedEx_Markup),2)</f>
        <v>139.55000000000001</v>
      </c>
      <c r="H22" s="218">
        <f>ROUND((IF(MinBase1AMDay&gt;ROUND(((1-(OverNightDiscount_11_to_20+FedExExrpessEarnedDiscount))*'1Day AM Base'!H19),2),ROUND(MinBase1AMDay*(1+ExpressFuelSurcharge),2),ROUND(((1-(OverNightDiscount_11_to_20+FedExExrpessEarnedDiscount))*'1Day AM Base'!H19)*(1+ExpressFuelSurcharge),2)))*(1+FedEx_Markup),2)</f>
        <v>142.35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18</v>
      </c>
      <c r="B23" s="218">
        <f>ROUND((IF(MinBase1AMDay&gt;ROUND(((1-(OverNightDiscount_11_to_20+FedExExrpessEarnedDiscount))*'1Day AM Base'!B20),2),ROUND(MinBase1AMDay*(1+ExpressFuelSurcharge),2),ROUND(((1-(OverNightDiscount_11_to_20+FedExExrpessEarnedDiscount))*'1Day AM Base'!B20)*(1+ExpressFuelSurcharge),2)))*(1+FedEx_Markup),2)</f>
        <v>43.88</v>
      </c>
      <c r="C23" s="218">
        <f>ROUND((IF(MinBase1AMDay&gt;ROUND(((1-(OverNightDiscount_11_to_20+FedExExrpessEarnedDiscount))*'1Day AM Base'!C20),2),ROUND(MinBase1AMDay*(1+ExpressFuelSurcharge),2),ROUND(((1-(OverNightDiscount_11_to_20+FedExExrpessEarnedDiscount))*'1Day AM Base'!C20)*(1+ExpressFuelSurcharge),2)))*(1+FedEx_Markup),2)</f>
        <v>62.88</v>
      </c>
      <c r="D23" s="218">
        <f>ROUND((IF(MinBase1AMDay&gt;ROUND(((1-(OverNightDiscount_11_to_20+FedExExrpessEarnedDiscount))*'1Day AM Base'!D20),2),ROUND(MinBase1AMDay*(1+ExpressFuelSurcharge),2),ROUND(((1-(OverNightDiscount_11_to_20+FedExExrpessEarnedDiscount))*'1Day AM Base'!D20)*(1+ExpressFuelSurcharge),2)))*(1+FedEx_Markup),2)</f>
        <v>112.49</v>
      </c>
      <c r="E23" s="218">
        <f>ROUND((IF(MinBase1AMDay&gt;ROUND(((1-(OverNightDiscount_11_to_20+FedExExrpessEarnedDiscount))*'1Day AM Base'!E20),2),ROUND(MinBase1AMDay*(1+ExpressFuelSurcharge),2),ROUND(((1-(OverNightDiscount_11_to_20+FedExExrpessEarnedDiscount))*'1Day AM Base'!E20)*(1+ExpressFuelSurcharge),2)))*(1+FedEx_Markup),2)</f>
        <v>125.6</v>
      </c>
      <c r="F23" s="218">
        <f>ROUND((IF(MinBase1AMDay&gt;ROUND(((1-(OverNightDiscount_11_to_20+FedExExrpessEarnedDiscount))*'1Day AM Base'!F20),2),ROUND(MinBase1AMDay*(1+ExpressFuelSurcharge),2),ROUND(((1-(OverNightDiscount_11_to_20+FedExExrpessEarnedDiscount))*'1Day AM Base'!F20)*(1+ExpressFuelSurcharge),2)))*(1+FedEx_Markup),2)</f>
        <v>128.13</v>
      </c>
      <c r="G23" s="218">
        <f>ROUND((IF(MinBase1AMDay&gt;ROUND(((1-(OverNightDiscount_11_to_20+FedExExrpessEarnedDiscount))*'1Day AM Base'!G20),2),ROUND(MinBase1AMDay*(1+ExpressFuelSurcharge),2),ROUND(((1-(OverNightDiscount_11_to_20+FedExExrpessEarnedDiscount))*'1Day AM Base'!G20)*(1+ExpressFuelSurcharge),2)))*(1+FedEx_Markup),2)</f>
        <v>139.68</v>
      </c>
      <c r="H23" s="218">
        <f>ROUND((IF(MinBase1AMDay&gt;ROUND(((1-(OverNightDiscount_11_to_20+FedExExrpessEarnedDiscount))*'1Day AM Base'!H20),2),ROUND(MinBase1AMDay*(1+ExpressFuelSurcharge),2),ROUND(((1-(OverNightDiscount_11_to_20+FedExExrpessEarnedDiscount))*'1Day AM Base'!H20)*(1+ExpressFuelSurcharge),2)))*(1+FedEx_Markup),2)</f>
        <v>142.49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19</v>
      </c>
      <c r="B24" s="218">
        <f>ROUND((IF(MinBase1AMDay&gt;ROUND(((1-(OverNightDiscount_11_to_20+FedExExrpessEarnedDiscount))*'1Day AM Base'!B21),2),ROUND(MinBase1AMDay*(1+ExpressFuelSurcharge),2),ROUND(((1-(OverNightDiscount_11_to_20+FedExExrpessEarnedDiscount))*'1Day AM Base'!B21)*(1+ExpressFuelSurcharge),2)))*(1+FedEx_Markup),2)</f>
        <v>44.16</v>
      </c>
      <c r="C24" s="218">
        <f>ROUND((IF(MinBase1AMDay&gt;ROUND(((1-(OverNightDiscount_11_to_20+FedExExrpessEarnedDiscount))*'1Day AM Base'!C21),2),ROUND(MinBase1AMDay*(1+ExpressFuelSurcharge),2),ROUND(((1-(OverNightDiscount_11_to_20+FedExExrpessEarnedDiscount))*'1Day AM Base'!C21)*(1+ExpressFuelSurcharge),2)))*(1+FedEx_Markup),2)</f>
        <v>63.02</v>
      </c>
      <c r="D24" s="218">
        <f>ROUND((IF(MinBase1AMDay&gt;ROUND(((1-(OverNightDiscount_11_to_20+FedExExrpessEarnedDiscount))*'1Day AM Base'!D21),2),ROUND(MinBase1AMDay*(1+ExpressFuelSurcharge),2),ROUND(((1-(OverNightDiscount_11_to_20+FedExExrpessEarnedDiscount))*'1Day AM Base'!D21)*(1+ExpressFuelSurcharge),2)))*(1+FedEx_Markup),2)</f>
        <v>112.62</v>
      </c>
      <c r="E24" s="218">
        <f>ROUND((IF(MinBase1AMDay&gt;ROUND(((1-(OverNightDiscount_11_to_20+FedExExrpessEarnedDiscount))*'1Day AM Base'!E21),2),ROUND(MinBase1AMDay*(1+ExpressFuelSurcharge),2),ROUND(((1-(OverNightDiscount_11_to_20+FedExExrpessEarnedDiscount))*'1Day AM Base'!E21)*(1+ExpressFuelSurcharge),2)))*(1+FedEx_Markup),2)</f>
        <v>125.73</v>
      </c>
      <c r="F24" s="218">
        <f>ROUND((IF(MinBase1AMDay&gt;ROUND(((1-(OverNightDiscount_11_to_20+FedExExrpessEarnedDiscount))*'1Day AM Base'!F21),2),ROUND(MinBase1AMDay*(1+ExpressFuelSurcharge),2),ROUND(((1-(OverNightDiscount_11_to_20+FedExExrpessEarnedDiscount))*'1Day AM Base'!F21)*(1+ExpressFuelSurcharge),2)))*(1+FedEx_Markup),2)</f>
        <v>128.25</v>
      </c>
      <c r="G24" s="218">
        <f>ROUND((IF(MinBase1AMDay&gt;ROUND(((1-(OverNightDiscount_11_to_20+FedExExrpessEarnedDiscount))*'1Day AM Base'!G21),2),ROUND(MinBase1AMDay*(1+ExpressFuelSurcharge),2),ROUND(((1-(OverNightDiscount_11_to_20+FedExExrpessEarnedDiscount))*'1Day AM Base'!G21)*(1+ExpressFuelSurcharge),2)))*(1+FedEx_Markup),2)</f>
        <v>139.81</v>
      </c>
      <c r="H24" s="218">
        <f>ROUND((IF(MinBase1AMDay&gt;ROUND(((1-(OverNightDiscount_11_to_20+FedExExrpessEarnedDiscount))*'1Day AM Base'!H21),2),ROUND(MinBase1AMDay*(1+ExpressFuelSurcharge),2),ROUND(((1-(OverNightDiscount_11_to_20+FedExExrpessEarnedDiscount))*'1Day AM Base'!H21)*(1+ExpressFuelSurcharge),2)))*(1+FedEx_Markup),2)</f>
        <v>142.61000000000001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20</v>
      </c>
      <c r="B25" s="218">
        <f>ROUND((IF(MinBase1AMDay&gt;ROUND(((1-(OverNightDiscount_11_to_20+FedExExrpessEarnedDiscount))*'1Day AM Base'!B22),2),ROUND(MinBase1AMDay*(1+ExpressFuelSurcharge),2),ROUND(((1-(OverNightDiscount_11_to_20+FedExExrpessEarnedDiscount))*'1Day AM Base'!B22)*(1+ExpressFuelSurcharge),2)))*(1+FedEx_Markup),2)</f>
        <v>44.39</v>
      </c>
      <c r="C25" s="218">
        <f>ROUND((IF(MinBase1AMDay&gt;ROUND(((1-(OverNightDiscount_11_to_20+FedExExrpessEarnedDiscount))*'1Day AM Base'!C22),2),ROUND(MinBase1AMDay*(1+ExpressFuelSurcharge),2),ROUND(((1-(OverNightDiscount_11_to_20+FedExExrpessEarnedDiscount))*'1Day AM Base'!C22)*(1+ExpressFuelSurcharge),2)))*(1+FedEx_Markup),2)</f>
        <v>64.489999999999995</v>
      </c>
      <c r="D25" s="218">
        <f>ROUND((IF(MinBase1AMDay&gt;ROUND(((1-(OverNightDiscount_11_to_20+FedExExrpessEarnedDiscount))*'1Day AM Base'!D22),2),ROUND(MinBase1AMDay*(1+ExpressFuelSurcharge),2),ROUND(((1-(OverNightDiscount_11_to_20+FedExExrpessEarnedDiscount))*'1Day AM Base'!D22)*(1+ExpressFuelSurcharge),2)))*(1+FedEx_Markup),2)</f>
        <v>113.15</v>
      </c>
      <c r="E25" s="218">
        <f>ROUND((IF(MinBase1AMDay&gt;ROUND(((1-(OverNightDiscount_11_to_20+FedExExrpessEarnedDiscount))*'1Day AM Base'!E22),2),ROUND(MinBase1AMDay*(1+ExpressFuelSurcharge),2),ROUND(((1-(OverNightDiscount_11_to_20+FedExExrpessEarnedDiscount))*'1Day AM Base'!E22)*(1+ExpressFuelSurcharge),2)))*(1+FedEx_Markup),2)</f>
        <v>125.98</v>
      </c>
      <c r="F25" s="218">
        <f>ROUND((IF(MinBase1AMDay&gt;ROUND(((1-(OverNightDiscount_11_to_20+FedExExrpessEarnedDiscount))*'1Day AM Base'!F22),2),ROUND(MinBase1AMDay*(1+ExpressFuelSurcharge),2),ROUND(((1-(OverNightDiscount_11_to_20+FedExExrpessEarnedDiscount))*'1Day AM Base'!F22)*(1+ExpressFuelSurcharge),2)))*(1+FedEx_Markup),2)</f>
        <v>128.63999999999999</v>
      </c>
      <c r="G25" s="218">
        <f>ROUND((IF(MinBase1AMDay&gt;ROUND(((1-(OverNightDiscount_11_to_20+FedExExrpessEarnedDiscount))*'1Day AM Base'!G22),2),ROUND(MinBase1AMDay*(1+ExpressFuelSurcharge),2),ROUND(((1-(OverNightDiscount_11_to_20+FedExExrpessEarnedDiscount))*'1Day AM Base'!G22)*(1+ExpressFuelSurcharge),2)))*(1+FedEx_Markup),2)</f>
        <v>140.22</v>
      </c>
      <c r="H25" s="218">
        <f>ROUND((IF(MinBase1AMDay&gt;ROUND(((1-(OverNightDiscount_11_to_20+FedExExrpessEarnedDiscount))*'1Day AM Base'!H22),2),ROUND(MinBase1AMDay*(1+ExpressFuelSurcharge),2),ROUND(((1-(OverNightDiscount_11_to_20+FedExExrpessEarnedDiscount))*'1Day AM Base'!H22)*(1+ExpressFuelSurcharge),2)))*(1+FedEx_Markup),2)</f>
        <v>143.31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21</v>
      </c>
      <c r="B26" s="218">
        <f>ROUND((IF(MinBase1AMDay&gt;ROUND(((1-(OverNightDiscount_21_Up+FedExExrpessEarnedDiscount))*'1Day AM Base'!B23),2),ROUND(MinBase1AMDay*(1+ExpressFuelSurcharge),2),ROUND(((1-(OverNightDiscount_21_Up+FedExExrpessEarnedDiscount))*'1Day AM Base'!B23)*(1+ExpressFuelSurcharge),2)))*(1+FedEx_Markup),2)</f>
        <v>43.44</v>
      </c>
      <c r="C26" s="218">
        <f>ROUND((IF(MinBase1AMDay&gt;ROUND(((1-(OverNightDiscount_21_Up+FedExExrpessEarnedDiscount))*'1Day AM Base'!C23),2),ROUND(MinBase1AMDay*(1+ExpressFuelSurcharge),2),ROUND(((1-(OverNightDiscount_21_Up+FedExExrpessEarnedDiscount))*'1Day AM Base'!C23)*(1+ExpressFuelSurcharge),2)))*(1+FedEx_Markup),2)</f>
        <v>62.05</v>
      </c>
      <c r="D26" s="218">
        <f>ROUND((IF(MinBase1AMDay&gt;ROUND(((1-(OverNightDiscount_21_Up+FedExExrpessEarnedDiscount))*'1Day AM Base'!D23),2),ROUND(MinBase1AMDay*(1+ExpressFuelSurcharge),2),ROUND(((1-(OverNightDiscount_21_Up+FedExExrpessEarnedDiscount))*'1Day AM Base'!D23)*(1+ExpressFuelSurcharge),2)))*(1+FedEx_Markup),2)</f>
        <v>115.72</v>
      </c>
      <c r="E26" s="218">
        <f>ROUND((IF(MinBase1AMDay&gt;ROUND(((1-(OverNightDiscount_21_Up+FedExExrpessEarnedDiscount))*'1Day AM Base'!E23),2),ROUND(MinBase1AMDay*(1+ExpressFuelSurcharge),2),ROUND(((1-(OverNightDiscount_21_Up+FedExExrpessEarnedDiscount))*'1Day AM Base'!E23)*(1+ExpressFuelSurcharge),2)))*(1+FedEx_Markup),2)</f>
        <v>122.66</v>
      </c>
      <c r="F26" s="218">
        <f>ROUND((IF(MinBase1AMDay&gt;ROUND(((1-(OverNightDiscount_21_Up+FedExExrpessEarnedDiscount))*'1Day AM Base'!F23),2),ROUND(MinBase1AMDay*(1+ExpressFuelSurcharge),2),ROUND(((1-(OverNightDiscount_21_Up+FedExExrpessEarnedDiscount))*'1Day AM Base'!F23)*(1+ExpressFuelSurcharge),2)))*(1+FedEx_Markup),2)</f>
        <v>127.97</v>
      </c>
      <c r="G26" s="218">
        <f>ROUND((IF(MinBase1AMDay&gt;ROUND(((1-(OverNightDiscount_21_Up+FedExExrpessEarnedDiscount))*'1Day AM Base'!G23),2),ROUND(MinBase1AMDay*(1+ExpressFuelSurcharge),2),ROUND(((1-(OverNightDiscount_21_Up+FedExExrpessEarnedDiscount))*'1Day AM Base'!G23)*(1+ExpressFuelSurcharge),2)))*(1+FedEx_Markup),2)</f>
        <v>138.97999999999999</v>
      </c>
      <c r="H26" s="218">
        <f>ROUND((IF(MinBase1AMDay&gt;ROUND(((1-(OverNightDiscount_21_Up+FedExExrpessEarnedDiscount))*'1Day AM Base'!H23),2),ROUND(MinBase1AMDay*(1+ExpressFuelSurcharge),2),ROUND(((1-(OverNightDiscount_21_Up+FedExExrpessEarnedDiscount))*'1Day AM Base'!H23)*(1+ExpressFuelSurcharge),2)))*(1+FedEx_Markup),2)</f>
        <v>147.57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22</v>
      </c>
      <c r="B27" s="218">
        <f>ROUND((IF(MinBase1AMDay&gt;ROUND(((1-(OverNightDiscount_21_Up+FedExExrpessEarnedDiscount))*'1Day AM Base'!B24),2),ROUND(MinBase1AMDay*(1+ExpressFuelSurcharge),2),ROUND(((1-(OverNightDiscount_21_Up+FedExExrpessEarnedDiscount))*'1Day AM Base'!B24)*(1+ExpressFuelSurcharge),2)))*(1+FedEx_Markup),2)</f>
        <v>45.44</v>
      </c>
      <c r="C27" s="218">
        <f>ROUND((IF(MinBase1AMDay&gt;ROUND(((1-(OverNightDiscount_21_Up+FedExExrpessEarnedDiscount))*'1Day AM Base'!C24),2),ROUND(MinBase1AMDay*(1+ExpressFuelSurcharge),2),ROUND(((1-(OverNightDiscount_21_Up+FedExExrpessEarnedDiscount))*'1Day AM Base'!C24)*(1+ExpressFuelSurcharge),2)))*(1+FedEx_Markup),2)</f>
        <v>65.489999999999995</v>
      </c>
      <c r="D27" s="218">
        <f>ROUND((IF(MinBase1AMDay&gt;ROUND(((1-(OverNightDiscount_21_Up+FedExExrpessEarnedDiscount))*'1Day AM Base'!D24),2),ROUND(MinBase1AMDay*(1+ExpressFuelSurcharge),2),ROUND(((1-(OverNightDiscount_21_Up+FedExExrpessEarnedDiscount))*'1Day AM Base'!D24)*(1+ExpressFuelSurcharge),2)))*(1+FedEx_Markup),2)</f>
        <v>118.7</v>
      </c>
      <c r="E27" s="218">
        <f>ROUND((IF(MinBase1AMDay&gt;ROUND(((1-(OverNightDiscount_21_Up+FedExExrpessEarnedDiscount))*'1Day AM Base'!E24),2),ROUND(MinBase1AMDay*(1+ExpressFuelSurcharge),2),ROUND(((1-(OverNightDiscount_21_Up+FedExExrpessEarnedDiscount))*'1Day AM Base'!E24)*(1+ExpressFuelSurcharge),2)))*(1+FedEx_Markup),2)</f>
        <v>126.21</v>
      </c>
      <c r="F27" s="218">
        <f>ROUND((IF(MinBase1AMDay&gt;ROUND(((1-(OverNightDiscount_21_Up+FedExExrpessEarnedDiscount))*'1Day AM Base'!F24),2),ROUND(MinBase1AMDay*(1+ExpressFuelSurcharge),2),ROUND(((1-(OverNightDiscount_21_Up+FedExExrpessEarnedDiscount))*'1Day AM Base'!F24)*(1+ExpressFuelSurcharge),2)))*(1+FedEx_Markup),2)</f>
        <v>128.88</v>
      </c>
      <c r="G27" s="218">
        <f>ROUND((IF(MinBase1AMDay&gt;ROUND(((1-(OverNightDiscount_21_Up+FedExExrpessEarnedDiscount))*'1Day AM Base'!G24),2),ROUND(MinBase1AMDay*(1+ExpressFuelSurcharge),2),ROUND(((1-(OverNightDiscount_21_Up+FedExExrpessEarnedDiscount))*'1Day AM Base'!G24)*(1+ExpressFuelSurcharge),2)))*(1+FedEx_Markup),2)</f>
        <v>145.84</v>
      </c>
      <c r="H27" s="218">
        <f>ROUND((IF(MinBase1AMDay&gt;ROUND(((1-(OverNightDiscount_21_Up+FedExExrpessEarnedDiscount))*'1Day AM Base'!H24),2),ROUND(MinBase1AMDay*(1+ExpressFuelSurcharge),2),ROUND(((1-(OverNightDiscount_21_Up+FedExExrpessEarnedDiscount))*'1Day AM Base'!H24)*(1+ExpressFuelSurcharge),2)))*(1+FedEx_Markup),2)</f>
        <v>152.57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23</v>
      </c>
      <c r="B28" s="218">
        <f>ROUND((IF(MinBase1AMDay&gt;ROUND(((1-(OverNightDiscount_21_Up+FedExExrpessEarnedDiscount))*'1Day AM Base'!B25),2),ROUND(MinBase1AMDay*(1+ExpressFuelSurcharge),2),ROUND(((1-(OverNightDiscount_21_Up+FedExExrpessEarnedDiscount))*'1Day AM Base'!B25)*(1+ExpressFuelSurcharge),2)))*(1+FedEx_Markup),2)</f>
        <v>45.68</v>
      </c>
      <c r="C28" s="218">
        <f>ROUND((IF(MinBase1AMDay&gt;ROUND(((1-(OverNightDiscount_21_Up+FedExExrpessEarnedDiscount))*'1Day AM Base'!C25),2),ROUND(MinBase1AMDay*(1+ExpressFuelSurcharge),2),ROUND(((1-(OverNightDiscount_21_Up+FedExExrpessEarnedDiscount))*'1Day AM Base'!C25)*(1+ExpressFuelSurcharge),2)))*(1+FedEx_Markup),2)</f>
        <v>65.849999999999994</v>
      </c>
      <c r="D28" s="218">
        <f>ROUND((IF(MinBase1AMDay&gt;ROUND(((1-(OverNightDiscount_21_Up+FedExExrpessEarnedDiscount))*'1Day AM Base'!D25),2),ROUND(MinBase1AMDay*(1+ExpressFuelSurcharge),2),ROUND(((1-(OverNightDiscount_21_Up+FedExExrpessEarnedDiscount))*'1Day AM Base'!D25)*(1+ExpressFuelSurcharge),2)))*(1+FedEx_Markup),2)</f>
        <v>121.99</v>
      </c>
      <c r="E28" s="218">
        <f>ROUND((IF(MinBase1AMDay&gt;ROUND(((1-(OverNightDiscount_21_Up+FedExExrpessEarnedDiscount))*'1Day AM Base'!E25),2),ROUND(MinBase1AMDay*(1+ExpressFuelSurcharge),2),ROUND(((1-(OverNightDiscount_21_Up+FedExExrpessEarnedDiscount))*'1Day AM Base'!E25)*(1+ExpressFuelSurcharge),2)))*(1+FedEx_Markup),2)</f>
        <v>132.22</v>
      </c>
      <c r="F28" s="218">
        <f>ROUND((IF(MinBase1AMDay&gt;ROUND(((1-(OverNightDiscount_21_Up+FedExExrpessEarnedDiscount))*'1Day AM Base'!F25),2),ROUND(MinBase1AMDay*(1+ExpressFuelSurcharge),2),ROUND(((1-(OverNightDiscount_21_Up+FedExExrpessEarnedDiscount))*'1Day AM Base'!F25)*(1+ExpressFuelSurcharge),2)))*(1+FedEx_Markup),2)</f>
        <v>139.28</v>
      </c>
      <c r="G28" s="218">
        <f>ROUND((IF(MinBase1AMDay&gt;ROUND(((1-(OverNightDiscount_21_Up+FedExExrpessEarnedDiscount))*'1Day AM Base'!G25),2),ROUND(MinBase1AMDay*(1+ExpressFuelSurcharge),2),ROUND(((1-(OverNightDiscount_21_Up+FedExExrpessEarnedDiscount))*'1Day AM Base'!G25)*(1+ExpressFuelSurcharge),2)))*(1+FedEx_Markup),2)</f>
        <v>153.81</v>
      </c>
      <c r="H28" s="218">
        <f>ROUND((IF(MinBase1AMDay&gt;ROUND(((1-(OverNightDiscount_21_Up+FedExExrpessEarnedDiscount))*'1Day AM Base'!H25),2),ROUND(MinBase1AMDay*(1+ExpressFuelSurcharge),2),ROUND(((1-(OverNightDiscount_21_Up+FedExExrpessEarnedDiscount))*'1Day AM Base'!H25)*(1+ExpressFuelSurcharge),2)))*(1+FedEx_Markup),2)</f>
        <v>156.88999999999999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24</v>
      </c>
      <c r="B29" s="218">
        <f>ROUND((IF(MinBase1AMDay&gt;ROUND(((1-(OverNightDiscount_21_Up+FedExExrpessEarnedDiscount))*'1Day AM Base'!B26),2),ROUND(MinBase1AMDay*(1+ExpressFuelSurcharge),2),ROUND(((1-(OverNightDiscount_21_Up+FedExExrpessEarnedDiscount))*'1Day AM Base'!B26)*(1+ExpressFuelSurcharge),2)))*(1+FedEx_Markup),2)</f>
        <v>46.72</v>
      </c>
      <c r="C29" s="218">
        <f>ROUND((IF(MinBase1AMDay&gt;ROUND(((1-(OverNightDiscount_21_Up+FedExExrpessEarnedDiscount))*'1Day AM Base'!C26),2),ROUND(MinBase1AMDay*(1+ExpressFuelSurcharge),2),ROUND(((1-(OverNightDiscount_21_Up+FedExExrpessEarnedDiscount))*'1Day AM Base'!C26)*(1+ExpressFuelSurcharge),2)))*(1+FedEx_Markup),2)</f>
        <v>66.11</v>
      </c>
      <c r="D29" s="218">
        <f>ROUND((IF(MinBase1AMDay&gt;ROUND(((1-(OverNightDiscount_21_Up+FedExExrpessEarnedDiscount))*'1Day AM Base'!D26),2),ROUND(MinBase1AMDay*(1+ExpressFuelSurcharge),2),ROUND(((1-(OverNightDiscount_21_Up+FedExExrpessEarnedDiscount))*'1Day AM Base'!D26)*(1+ExpressFuelSurcharge),2)))*(1+FedEx_Markup),2)</f>
        <v>123.75</v>
      </c>
      <c r="E29" s="218">
        <f>ROUND((IF(MinBase1AMDay&gt;ROUND(((1-(OverNightDiscount_21_Up+FedExExrpessEarnedDiscount))*'1Day AM Base'!E26),2),ROUND(MinBase1AMDay*(1+ExpressFuelSurcharge),2),ROUND(((1-(OverNightDiscount_21_Up+FedExExrpessEarnedDiscount))*'1Day AM Base'!E26)*(1+ExpressFuelSurcharge),2)))*(1+FedEx_Markup),2)</f>
        <v>137.56</v>
      </c>
      <c r="F29" s="218">
        <f>ROUND((IF(MinBase1AMDay&gt;ROUND(((1-(OverNightDiscount_21_Up+FedExExrpessEarnedDiscount))*'1Day AM Base'!F26),2),ROUND(MinBase1AMDay*(1+ExpressFuelSurcharge),2),ROUND(((1-(OverNightDiscount_21_Up+FedExExrpessEarnedDiscount))*'1Day AM Base'!F26)*(1+ExpressFuelSurcharge),2)))*(1+FedEx_Markup),2)</f>
        <v>140.31</v>
      </c>
      <c r="G29" s="218">
        <f>ROUND((IF(MinBase1AMDay&gt;ROUND(((1-(OverNightDiscount_21_Up+FedExExrpessEarnedDiscount))*'1Day AM Base'!G26),2),ROUND(MinBase1AMDay*(1+ExpressFuelSurcharge),2),ROUND(((1-(OverNightDiscount_21_Up+FedExExrpessEarnedDiscount))*'1Day AM Base'!G26)*(1+ExpressFuelSurcharge),2)))*(1+FedEx_Markup),2)</f>
        <v>156.91999999999999</v>
      </c>
      <c r="H29" s="218">
        <f>ROUND((IF(MinBase1AMDay&gt;ROUND(((1-(OverNightDiscount_21_Up+FedExExrpessEarnedDiscount))*'1Day AM Base'!H26),2),ROUND(MinBase1AMDay*(1+ExpressFuelSurcharge),2),ROUND(((1-(OverNightDiscount_21_Up+FedExExrpessEarnedDiscount))*'1Day AM Base'!H26)*(1+ExpressFuelSurcharge),2)))*(1+FedEx_Markup),2)</f>
        <v>160.06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25</v>
      </c>
      <c r="B30" s="218">
        <f>ROUND((IF(MinBase1AMDay&gt;ROUND(((1-(OverNightDiscount_21_Up+FedExExrpessEarnedDiscount))*'1Day AM Base'!B27),2),ROUND(MinBase1AMDay*(1+ExpressFuelSurcharge),2),ROUND(((1-(OverNightDiscount_21_Up+FedExExrpessEarnedDiscount))*'1Day AM Base'!B27)*(1+ExpressFuelSurcharge),2)))*(1+FedEx_Markup),2)</f>
        <v>47.14</v>
      </c>
      <c r="C30" s="218">
        <f>ROUND((IF(MinBase1AMDay&gt;ROUND(((1-(OverNightDiscount_21_Up+FedExExrpessEarnedDiscount))*'1Day AM Base'!C27),2),ROUND(MinBase1AMDay*(1+ExpressFuelSurcharge),2),ROUND(((1-(OverNightDiscount_21_Up+FedExExrpessEarnedDiscount))*'1Day AM Base'!C27)*(1+ExpressFuelSurcharge),2)))*(1+FedEx_Markup),2)</f>
        <v>67.63</v>
      </c>
      <c r="D30" s="218">
        <f>ROUND((IF(MinBase1AMDay&gt;ROUND(((1-(OverNightDiscount_21_Up+FedExExrpessEarnedDiscount))*'1Day AM Base'!D27),2),ROUND(MinBase1AMDay*(1+ExpressFuelSurcharge),2),ROUND(((1-(OverNightDiscount_21_Up+FedExExrpessEarnedDiscount))*'1Day AM Base'!D27)*(1+ExpressFuelSurcharge),2)))*(1+FedEx_Markup),2)</f>
        <v>130.16</v>
      </c>
      <c r="E30" s="218">
        <f>ROUND((IF(MinBase1AMDay&gt;ROUND(((1-(OverNightDiscount_21_Up+FedExExrpessEarnedDiscount))*'1Day AM Base'!E27),2),ROUND(MinBase1AMDay*(1+ExpressFuelSurcharge),2),ROUND(((1-(OverNightDiscount_21_Up+FedExExrpessEarnedDiscount))*'1Day AM Base'!E27)*(1+ExpressFuelSurcharge),2)))*(1+FedEx_Markup),2)</f>
        <v>138.12</v>
      </c>
      <c r="F30" s="218">
        <f>ROUND((IF(MinBase1AMDay&gt;ROUND(((1-(OverNightDiscount_21_Up+FedExExrpessEarnedDiscount))*'1Day AM Base'!F27),2),ROUND(MinBase1AMDay*(1+ExpressFuelSurcharge),2),ROUND(((1-(OverNightDiscount_21_Up+FedExExrpessEarnedDiscount))*'1Day AM Base'!F27)*(1+ExpressFuelSurcharge),2)))*(1+FedEx_Markup),2)</f>
        <v>143.05000000000001</v>
      </c>
      <c r="G30" s="218">
        <f>ROUND((IF(MinBase1AMDay&gt;ROUND(((1-(OverNightDiscount_21_Up+FedExExrpessEarnedDiscount))*'1Day AM Base'!G27),2),ROUND(MinBase1AMDay*(1+ExpressFuelSurcharge),2),ROUND(((1-(OverNightDiscount_21_Up+FedExExrpessEarnedDiscount))*'1Day AM Base'!G27)*(1+ExpressFuelSurcharge),2)))*(1+FedEx_Markup),2)</f>
        <v>157.32</v>
      </c>
      <c r="H30" s="218">
        <f>ROUND((IF(MinBase1AMDay&gt;ROUND(((1-(OverNightDiscount_21_Up+FedExExrpessEarnedDiscount))*'1Day AM Base'!H27),2),ROUND(MinBase1AMDay*(1+ExpressFuelSurcharge),2),ROUND(((1-(OverNightDiscount_21_Up+FedExExrpessEarnedDiscount))*'1Day AM Base'!H27)*(1+ExpressFuelSurcharge),2)))*(1+FedEx_Markup),2)</f>
        <v>160.47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26</v>
      </c>
      <c r="B31" s="218">
        <f>ROUND((IF(MinBase1AMDay&gt;ROUND(((1-(OverNightDiscount_21_Up+FedExExrpessEarnedDiscount))*'1Day AM Base'!B28),2),ROUND(MinBase1AMDay*(1+ExpressFuelSurcharge),2),ROUND(((1-(OverNightDiscount_21_Up+FedExExrpessEarnedDiscount))*'1Day AM Base'!B28)*(1+ExpressFuelSurcharge),2)))*(1+FedEx_Markup),2)</f>
        <v>49.86</v>
      </c>
      <c r="C31" s="218">
        <f>ROUND((IF(MinBase1AMDay&gt;ROUND(((1-(OverNightDiscount_21_Up+FedExExrpessEarnedDiscount))*'1Day AM Base'!C28),2),ROUND(MinBase1AMDay*(1+ExpressFuelSurcharge),2),ROUND(((1-(OverNightDiscount_21_Up+FedExExrpessEarnedDiscount))*'1Day AM Base'!C28)*(1+ExpressFuelSurcharge),2)))*(1+FedEx_Markup),2)</f>
        <v>71.66</v>
      </c>
      <c r="D31" s="218">
        <f>ROUND((IF(MinBase1AMDay&gt;ROUND(((1-(OverNightDiscount_21_Up+FedExExrpessEarnedDiscount))*'1Day AM Base'!D28),2),ROUND(MinBase1AMDay*(1+ExpressFuelSurcharge),2),ROUND(((1-(OverNightDiscount_21_Up+FedExExrpessEarnedDiscount))*'1Day AM Base'!D28)*(1+ExpressFuelSurcharge),2)))*(1+FedEx_Markup),2)</f>
        <v>135.29</v>
      </c>
      <c r="E31" s="218">
        <f>ROUND((IF(MinBase1AMDay&gt;ROUND(((1-(OverNightDiscount_21_Up+FedExExrpessEarnedDiscount))*'1Day AM Base'!E28),2),ROUND(MinBase1AMDay*(1+ExpressFuelSurcharge),2),ROUND(((1-(OverNightDiscount_21_Up+FedExExrpessEarnedDiscount))*'1Day AM Base'!E28)*(1+ExpressFuelSurcharge),2)))*(1+FedEx_Markup),2)</f>
        <v>145.11000000000001</v>
      </c>
      <c r="F31" s="218">
        <f>ROUND((IF(MinBase1AMDay&gt;ROUND(((1-(OverNightDiscount_21_Up+FedExExrpessEarnedDiscount))*'1Day AM Base'!F28),2),ROUND(MinBase1AMDay*(1+ExpressFuelSurcharge),2),ROUND(((1-(OverNightDiscount_21_Up+FedExExrpessEarnedDiscount))*'1Day AM Base'!F28)*(1+ExpressFuelSurcharge),2)))*(1+FedEx_Markup),2)</f>
        <v>153.58000000000001</v>
      </c>
      <c r="G31" s="218">
        <f>ROUND((IF(MinBase1AMDay&gt;ROUND(((1-(OverNightDiscount_21_Up+FedExExrpessEarnedDiscount))*'1Day AM Base'!G28),2),ROUND(MinBase1AMDay*(1+ExpressFuelSurcharge),2),ROUND(((1-(OverNightDiscount_21_Up+FedExExrpessEarnedDiscount))*'1Day AM Base'!G28)*(1+ExpressFuelSurcharge),2)))*(1+FedEx_Markup),2)</f>
        <v>161.25</v>
      </c>
      <c r="H31" s="218">
        <f>ROUND((IF(MinBase1AMDay&gt;ROUND(((1-(OverNightDiscount_21_Up+FedExExrpessEarnedDiscount))*'1Day AM Base'!H28),2),ROUND(MinBase1AMDay*(1+ExpressFuelSurcharge),2),ROUND(((1-(OverNightDiscount_21_Up+FedExExrpessEarnedDiscount))*'1Day AM Base'!H28)*(1+ExpressFuelSurcharge),2)))*(1+FedEx_Markup),2)</f>
        <v>168.46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27</v>
      </c>
      <c r="B32" s="218">
        <f>ROUND((IF(MinBase1AMDay&gt;ROUND(((1-(OverNightDiscount_21_Up+FedExExrpessEarnedDiscount))*'1Day AM Base'!B29),2),ROUND(MinBase1AMDay*(1+ExpressFuelSurcharge),2),ROUND(((1-(OverNightDiscount_21_Up+FedExExrpessEarnedDiscount))*'1Day AM Base'!B29)*(1+ExpressFuelSurcharge),2)))*(1+FedEx_Markup),2)</f>
        <v>50.14</v>
      </c>
      <c r="C32" s="218">
        <f>ROUND((IF(MinBase1AMDay&gt;ROUND(((1-(OverNightDiscount_21_Up+FedExExrpessEarnedDiscount))*'1Day AM Base'!C29),2),ROUND(MinBase1AMDay*(1+ExpressFuelSurcharge),2),ROUND(((1-(OverNightDiscount_21_Up+FedExExrpessEarnedDiscount))*'1Day AM Base'!C29)*(1+ExpressFuelSurcharge),2)))*(1+FedEx_Markup),2)</f>
        <v>72.2</v>
      </c>
      <c r="D32" s="218">
        <f>ROUND((IF(MinBase1AMDay&gt;ROUND(((1-(OverNightDiscount_21_Up+FedExExrpessEarnedDiscount))*'1Day AM Base'!D29),2),ROUND(MinBase1AMDay*(1+ExpressFuelSurcharge),2),ROUND(((1-(OverNightDiscount_21_Up+FedExExrpessEarnedDiscount))*'1Day AM Base'!D29)*(1+ExpressFuelSurcharge),2)))*(1+FedEx_Markup),2)</f>
        <v>136.02000000000001</v>
      </c>
      <c r="E32" s="218">
        <f>ROUND((IF(MinBase1AMDay&gt;ROUND(((1-(OverNightDiscount_21_Up+FedExExrpessEarnedDiscount))*'1Day AM Base'!E29),2),ROUND(MinBase1AMDay*(1+ExpressFuelSurcharge),2),ROUND(((1-(OverNightDiscount_21_Up+FedExExrpessEarnedDiscount))*'1Day AM Base'!E29)*(1+ExpressFuelSurcharge),2)))*(1+FedEx_Markup),2)</f>
        <v>145.81</v>
      </c>
      <c r="F32" s="218">
        <f>ROUND((IF(MinBase1AMDay&gt;ROUND(((1-(OverNightDiscount_21_Up+FedExExrpessEarnedDiscount))*'1Day AM Base'!F29),2),ROUND(MinBase1AMDay*(1+ExpressFuelSurcharge),2),ROUND(((1-(OverNightDiscount_21_Up+FedExExrpessEarnedDiscount))*'1Day AM Base'!F29)*(1+ExpressFuelSurcharge),2)))*(1+FedEx_Markup),2)</f>
        <v>154.63999999999999</v>
      </c>
      <c r="G32" s="218">
        <f>ROUND((IF(MinBase1AMDay&gt;ROUND(((1-(OverNightDiscount_21_Up+FedExExrpessEarnedDiscount))*'1Day AM Base'!G29),2),ROUND(MinBase1AMDay*(1+ExpressFuelSurcharge),2),ROUND(((1-(OverNightDiscount_21_Up+FedExExrpessEarnedDiscount))*'1Day AM Base'!G29)*(1+ExpressFuelSurcharge),2)))*(1+FedEx_Markup),2)</f>
        <v>162.33000000000001</v>
      </c>
      <c r="H32" s="218">
        <f>ROUND((IF(MinBase1AMDay&gt;ROUND(((1-(OverNightDiscount_21_Up+FedExExrpessEarnedDiscount))*'1Day AM Base'!H29),2),ROUND(MinBase1AMDay*(1+ExpressFuelSurcharge),2),ROUND(((1-(OverNightDiscount_21_Up+FedExExrpessEarnedDiscount))*'1Day AM Base'!H29)*(1+ExpressFuelSurcharge),2)))*(1+FedEx_Markup),2)</f>
        <v>173.06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28</v>
      </c>
      <c r="B33" s="218">
        <f>ROUND((IF(MinBase1AMDay&gt;ROUND(((1-(OverNightDiscount_21_Up+FedExExrpessEarnedDiscount))*'1Day AM Base'!B30),2),ROUND(MinBase1AMDay*(1+ExpressFuelSurcharge),2),ROUND(((1-(OverNightDiscount_21_Up+FedExExrpessEarnedDiscount))*'1Day AM Base'!B30)*(1+ExpressFuelSurcharge),2)))*(1+FedEx_Markup),2)</f>
        <v>51.32</v>
      </c>
      <c r="C33" s="218">
        <f>ROUND((IF(MinBase1AMDay&gt;ROUND(((1-(OverNightDiscount_21_Up+FedExExrpessEarnedDiscount))*'1Day AM Base'!C30),2),ROUND(MinBase1AMDay*(1+ExpressFuelSurcharge),2),ROUND(((1-(OverNightDiscount_21_Up+FedExExrpessEarnedDiscount))*'1Day AM Base'!C30)*(1+ExpressFuelSurcharge),2)))*(1+FedEx_Markup),2)</f>
        <v>72.44</v>
      </c>
      <c r="D33" s="218">
        <f>ROUND((IF(MinBase1AMDay&gt;ROUND(((1-(OverNightDiscount_21_Up+FedExExrpessEarnedDiscount))*'1Day AM Base'!D30),2),ROUND(MinBase1AMDay*(1+ExpressFuelSurcharge),2),ROUND(((1-(OverNightDiscount_21_Up+FedExExrpessEarnedDiscount))*'1Day AM Base'!D30)*(1+ExpressFuelSurcharge),2)))*(1+FedEx_Markup),2)</f>
        <v>142.37</v>
      </c>
      <c r="E33" s="218">
        <f>ROUND((IF(MinBase1AMDay&gt;ROUND(((1-(OverNightDiscount_21_Up+FedExExrpessEarnedDiscount))*'1Day AM Base'!E30),2),ROUND(MinBase1AMDay*(1+ExpressFuelSurcharge),2),ROUND(((1-(OverNightDiscount_21_Up+FedExExrpessEarnedDiscount))*'1Day AM Base'!E30)*(1+ExpressFuelSurcharge),2)))*(1+FedEx_Markup),2)</f>
        <v>152.71</v>
      </c>
      <c r="F33" s="218">
        <f>ROUND((IF(MinBase1AMDay&gt;ROUND(((1-(OverNightDiscount_21_Up+FedExExrpessEarnedDiscount))*'1Day AM Base'!F30),2),ROUND(MinBase1AMDay*(1+ExpressFuelSurcharge),2),ROUND(((1-(OverNightDiscount_21_Up+FedExExrpessEarnedDiscount))*'1Day AM Base'!F30)*(1+ExpressFuelSurcharge),2)))*(1+FedEx_Markup),2)</f>
        <v>158.33000000000001</v>
      </c>
      <c r="G33" s="218">
        <f>ROUND((IF(MinBase1AMDay&gt;ROUND(((1-(OverNightDiscount_21_Up+FedExExrpessEarnedDiscount))*'1Day AM Base'!G30),2),ROUND(MinBase1AMDay*(1+ExpressFuelSurcharge),2),ROUND(((1-(OverNightDiscount_21_Up+FedExExrpessEarnedDiscount))*'1Day AM Base'!G30)*(1+ExpressFuelSurcharge),2)))*(1+FedEx_Markup),2)</f>
        <v>168.88</v>
      </c>
      <c r="H33" s="218">
        <f>ROUND((IF(MinBase1AMDay&gt;ROUND(((1-(OverNightDiscount_21_Up+FedExExrpessEarnedDiscount))*'1Day AM Base'!H30),2),ROUND(MinBase1AMDay*(1+ExpressFuelSurcharge),2),ROUND(((1-(OverNightDiscount_21_Up+FedExExrpessEarnedDiscount))*'1Day AM Base'!H30)*(1+ExpressFuelSurcharge),2)))*(1+FedEx_Markup),2)</f>
        <v>180.37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29</v>
      </c>
      <c r="B34" s="218">
        <f>ROUND((IF(MinBase1AMDay&gt;ROUND(((1-(OverNightDiscount_21_Up+FedExExrpessEarnedDiscount))*'1Day AM Base'!B31),2),ROUND(MinBase1AMDay*(1+ExpressFuelSurcharge),2),ROUND(((1-(OverNightDiscount_21_Up+FedExExrpessEarnedDiscount))*'1Day AM Base'!B31)*(1+ExpressFuelSurcharge),2)))*(1+FedEx_Markup),2)</f>
        <v>51.45</v>
      </c>
      <c r="C34" s="218">
        <f>ROUND((IF(MinBase1AMDay&gt;ROUND(((1-(OverNightDiscount_21_Up+FedExExrpessEarnedDiscount))*'1Day AM Base'!C31),2),ROUND(MinBase1AMDay*(1+ExpressFuelSurcharge),2),ROUND(((1-(OverNightDiscount_21_Up+FedExExrpessEarnedDiscount))*'1Day AM Base'!C31)*(1+ExpressFuelSurcharge),2)))*(1+FedEx_Markup),2)</f>
        <v>72.81</v>
      </c>
      <c r="D34" s="218">
        <f>ROUND((IF(MinBase1AMDay&gt;ROUND(((1-(OverNightDiscount_21_Up+FedExExrpessEarnedDiscount))*'1Day AM Base'!D31),2),ROUND(MinBase1AMDay*(1+ExpressFuelSurcharge),2),ROUND(((1-(OverNightDiscount_21_Up+FedExExrpessEarnedDiscount))*'1Day AM Base'!D31)*(1+ExpressFuelSurcharge),2)))*(1+FedEx_Markup),2)</f>
        <v>145.61000000000001</v>
      </c>
      <c r="E34" s="218">
        <f>ROUND((IF(MinBase1AMDay&gt;ROUND(((1-(OverNightDiscount_21_Up+FedExExrpessEarnedDiscount))*'1Day AM Base'!E31),2),ROUND(MinBase1AMDay*(1+ExpressFuelSurcharge),2),ROUND(((1-(OverNightDiscount_21_Up+FedExExrpessEarnedDiscount))*'1Day AM Base'!E31)*(1+ExpressFuelSurcharge),2)))*(1+FedEx_Markup),2)</f>
        <v>153.4</v>
      </c>
      <c r="F34" s="218">
        <f>ROUND((IF(MinBase1AMDay&gt;ROUND(((1-(OverNightDiscount_21_Up+FedExExrpessEarnedDiscount))*'1Day AM Base'!F31),2),ROUND(MinBase1AMDay*(1+ExpressFuelSurcharge),2),ROUND(((1-(OverNightDiscount_21_Up+FedExExrpessEarnedDiscount))*'1Day AM Base'!F31)*(1+ExpressFuelSurcharge),2)))*(1+FedEx_Markup),2)</f>
        <v>158.69999999999999</v>
      </c>
      <c r="G34" s="218">
        <f>ROUND((IF(MinBase1AMDay&gt;ROUND(((1-(OverNightDiscount_21_Up+FedExExrpessEarnedDiscount))*'1Day AM Base'!G31),2),ROUND(MinBase1AMDay*(1+ExpressFuelSurcharge),2),ROUND(((1-(OverNightDiscount_21_Up+FedExExrpessEarnedDiscount))*'1Day AM Base'!G31)*(1+ExpressFuelSurcharge),2)))*(1+FedEx_Markup),2)</f>
        <v>173.74</v>
      </c>
      <c r="H34" s="218">
        <f>ROUND((IF(MinBase1AMDay&gt;ROUND(((1-(OverNightDiscount_21_Up+FedExExrpessEarnedDiscount))*'1Day AM Base'!H31),2),ROUND(MinBase1AMDay*(1+ExpressFuelSurcharge),2),ROUND(((1-(OverNightDiscount_21_Up+FedExExrpessEarnedDiscount))*'1Day AM Base'!H31)*(1+ExpressFuelSurcharge),2)))*(1+FedEx_Markup),2)</f>
        <v>181.31</v>
      </c>
    </row>
    <row r="35" spans="1:26" ht="12.75" customHeight="1">
      <c r="A35" s="217">
        <v>30</v>
      </c>
      <c r="B35" s="218">
        <f>ROUND((IF(MinBase1AMDay&gt;ROUND(((1-(OverNightDiscount_21_Up+FedExExrpessEarnedDiscount))*'1Day AM Base'!B32),2),ROUND(MinBase1AMDay*(1+ExpressFuelSurcharge),2),ROUND(((1-(OverNightDiscount_21_Up+FedExExrpessEarnedDiscount))*'1Day AM Base'!B32)*(1+ExpressFuelSurcharge),2)))*(1+FedEx_Markup),2)</f>
        <v>51.87</v>
      </c>
      <c r="C35" s="218">
        <f>ROUND((IF(MinBase1AMDay&gt;ROUND(((1-(OverNightDiscount_21_Up+FedExExrpessEarnedDiscount))*'1Day AM Base'!C32),2),ROUND(MinBase1AMDay*(1+ExpressFuelSurcharge),2),ROUND(((1-(OverNightDiscount_21_Up+FedExExrpessEarnedDiscount))*'1Day AM Base'!C32)*(1+ExpressFuelSurcharge),2)))*(1+FedEx_Markup),2)</f>
        <v>74.319999999999993</v>
      </c>
      <c r="D35" s="218">
        <f>ROUND((IF(MinBase1AMDay&gt;ROUND(((1-(OverNightDiscount_21_Up+FedExExrpessEarnedDiscount))*'1Day AM Base'!D32),2),ROUND(MinBase1AMDay*(1+ExpressFuelSurcharge),2),ROUND(((1-(OverNightDiscount_21_Up+FedExExrpessEarnedDiscount))*'1Day AM Base'!D32)*(1+ExpressFuelSurcharge),2)))*(1+FedEx_Markup),2)</f>
        <v>148.53</v>
      </c>
      <c r="E35" s="218">
        <f>ROUND((IF(MinBase1AMDay&gt;ROUND(((1-(OverNightDiscount_21_Up+FedExExrpessEarnedDiscount))*'1Day AM Base'!E32),2),ROUND(MinBase1AMDay*(1+ExpressFuelSurcharge),2),ROUND(((1-(OverNightDiscount_21_Up+FedExExrpessEarnedDiscount))*'1Day AM Base'!E32)*(1+ExpressFuelSurcharge),2)))*(1+FedEx_Markup),2)</f>
        <v>154.76</v>
      </c>
      <c r="F35" s="218">
        <f>ROUND((IF(MinBase1AMDay&gt;ROUND(((1-(OverNightDiscount_21_Up+FedExExrpessEarnedDiscount))*'1Day AM Base'!F32),2),ROUND(MinBase1AMDay*(1+ExpressFuelSurcharge),2),ROUND(((1-(OverNightDiscount_21_Up+FedExExrpessEarnedDiscount))*'1Day AM Base'!F32)*(1+ExpressFuelSurcharge),2)))*(1+FedEx_Markup),2)</f>
        <v>159.38</v>
      </c>
      <c r="G35" s="218">
        <f>ROUND((IF(MinBase1AMDay&gt;ROUND(((1-(OverNightDiscount_21_Up+FedExExrpessEarnedDiscount))*'1Day AM Base'!G32),2),ROUND(MinBase1AMDay*(1+ExpressFuelSurcharge),2),ROUND(((1-(OverNightDiscount_21_Up+FedExExrpessEarnedDiscount))*'1Day AM Base'!G32)*(1+ExpressFuelSurcharge),2)))*(1+FedEx_Markup),2)</f>
        <v>174.49</v>
      </c>
      <c r="H35" s="218">
        <f>ROUND((IF(MinBase1AMDay&gt;ROUND(((1-(OverNightDiscount_21_Up+FedExExrpessEarnedDiscount))*'1Day AM Base'!H32),2),ROUND(MinBase1AMDay*(1+ExpressFuelSurcharge),2),ROUND(((1-(OverNightDiscount_21_Up+FedExExrpessEarnedDiscount))*'1Day AM Base'!H32)*(1+ExpressFuelSurcharge),2)))*(1+FedEx_Markup),2)</f>
        <v>181.65</v>
      </c>
    </row>
    <row r="36" spans="1:26" ht="12.75" customHeight="1">
      <c r="A36" s="217">
        <v>31</v>
      </c>
      <c r="B36" s="218">
        <f>ROUND((IF(MinBase1AMDay&gt;ROUND(((1-(OverNightDiscount_21_Up+FedExExrpessEarnedDiscount))*'1Day AM Base'!B33),2),ROUND(MinBase1AMDay*(1+ExpressFuelSurcharge),2),ROUND(((1-(OverNightDiscount_21_Up+FedExExrpessEarnedDiscount))*'1Day AM Base'!B33)*(1+ExpressFuelSurcharge),2)))*(1+FedEx_Markup),2)</f>
        <v>53.65</v>
      </c>
      <c r="C36" s="218">
        <f>ROUND((IF(MinBase1AMDay&gt;ROUND(((1-(OverNightDiscount_21_Up+FedExExrpessEarnedDiscount))*'1Day AM Base'!C33),2),ROUND(MinBase1AMDay*(1+ExpressFuelSurcharge),2),ROUND(((1-(OverNightDiscount_21_Up+FedExExrpessEarnedDiscount))*'1Day AM Base'!C33)*(1+ExpressFuelSurcharge),2)))*(1+FedEx_Markup),2)</f>
        <v>75</v>
      </c>
      <c r="D36" s="218">
        <f>ROUND((IF(MinBase1AMDay&gt;ROUND(((1-(OverNightDiscount_21_Up+FedExExrpessEarnedDiscount))*'1Day AM Base'!D33),2),ROUND(MinBase1AMDay*(1+ExpressFuelSurcharge),2),ROUND(((1-(OverNightDiscount_21_Up+FedExExrpessEarnedDiscount))*'1Day AM Base'!D33)*(1+ExpressFuelSurcharge),2)))*(1+FedEx_Markup),2)</f>
        <v>152.13</v>
      </c>
      <c r="E36" s="218">
        <f>ROUND((IF(MinBase1AMDay&gt;ROUND(((1-(OverNightDiscount_21_Up+FedExExrpessEarnedDiscount))*'1Day AM Base'!E33),2),ROUND(MinBase1AMDay*(1+ExpressFuelSurcharge),2),ROUND(((1-(OverNightDiscount_21_Up+FedExExrpessEarnedDiscount))*'1Day AM Base'!E33)*(1+ExpressFuelSurcharge),2)))*(1+FedEx_Markup),2)</f>
        <v>161.66</v>
      </c>
      <c r="F36" s="218">
        <f>ROUND((IF(MinBase1AMDay&gt;ROUND(((1-(OverNightDiscount_21_Up+FedExExrpessEarnedDiscount))*'1Day AM Base'!F33),2),ROUND(MinBase1AMDay*(1+ExpressFuelSurcharge),2),ROUND(((1-(OverNightDiscount_21_Up+FedExExrpessEarnedDiscount))*'1Day AM Base'!F33)*(1+ExpressFuelSurcharge),2)))*(1+FedEx_Markup),2)</f>
        <v>172.99</v>
      </c>
      <c r="G36" s="218">
        <f>ROUND((IF(MinBase1AMDay&gt;ROUND(((1-(OverNightDiscount_21_Up+FedExExrpessEarnedDiscount))*'1Day AM Base'!G33),2),ROUND(MinBase1AMDay*(1+ExpressFuelSurcharge),2),ROUND(((1-(OverNightDiscount_21_Up+FedExExrpessEarnedDiscount))*'1Day AM Base'!G33)*(1+ExpressFuelSurcharge),2)))*(1+FedEx_Markup),2)</f>
        <v>180.46</v>
      </c>
      <c r="H36" s="218">
        <f>ROUND((IF(MinBase1AMDay&gt;ROUND(((1-(OverNightDiscount_21_Up+FedExExrpessEarnedDiscount))*'1Day AM Base'!H33),2),ROUND(MinBase1AMDay*(1+ExpressFuelSurcharge),2),ROUND(((1-(OverNightDiscount_21_Up+FedExExrpessEarnedDiscount))*'1Day AM Base'!H33)*(1+ExpressFuelSurcharge),2)))*(1+FedEx_Markup),2)</f>
        <v>185.4</v>
      </c>
    </row>
    <row r="37" spans="1:26" ht="12.75" customHeight="1">
      <c r="A37" s="217">
        <v>32</v>
      </c>
      <c r="B37" s="218">
        <f>ROUND((IF(MinBase1AMDay&gt;ROUND(((1-(OverNightDiscount_21_Up+FedExExrpessEarnedDiscount))*'1Day AM Base'!B34),2),ROUND(MinBase1AMDay*(1+ExpressFuelSurcharge),2),ROUND(((1-(OverNightDiscount_21_Up+FedExExrpessEarnedDiscount))*'1Day AM Base'!B34)*(1+ExpressFuelSurcharge),2)))*(1+FedEx_Markup),2)</f>
        <v>55.18</v>
      </c>
      <c r="C37" s="218">
        <f>ROUND((IF(MinBase1AMDay&gt;ROUND(((1-(OverNightDiscount_21_Up+FedExExrpessEarnedDiscount))*'1Day AM Base'!C34),2),ROUND(MinBase1AMDay*(1+ExpressFuelSurcharge),2),ROUND(((1-(OverNightDiscount_21_Up+FedExExrpessEarnedDiscount))*'1Day AM Base'!C34)*(1+ExpressFuelSurcharge),2)))*(1+FedEx_Markup),2)</f>
        <v>76.8</v>
      </c>
      <c r="D37" s="218">
        <f>ROUND((IF(MinBase1AMDay&gt;ROUND(((1-(OverNightDiscount_21_Up+FedExExrpessEarnedDiscount))*'1Day AM Base'!D34),2),ROUND(MinBase1AMDay*(1+ExpressFuelSurcharge),2),ROUND(((1-(OverNightDiscount_21_Up+FedExExrpessEarnedDiscount))*'1Day AM Base'!D34)*(1+ExpressFuelSurcharge),2)))*(1+FedEx_Markup),2)</f>
        <v>155.37</v>
      </c>
      <c r="E37" s="218">
        <f>ROUND((IF(MinBase1AMDay&gt;ROUND(((1-(OverNightDiscount_21_Up+FedExExrpessEarnedDiscount))*'1Day AM Base'!E34),2),ROUND(MinBase1AMDay*(1+ExpressFuelSurcharge),2),ROUND(((1-(OverNightDiscount_21_Up+FedExExrpessEarnedDiscount))*'1Day AM Base'!E34)*(1+ExpressFuelSurcharge),2)))*(1+FedEx_Markup),2)</f>
        <v>162.35</v>
      </c>
      <c r="F37" s="218">
        <f>ROUND((IF(MinBase1AMDay&gt;ROUND(((1-(OverNightDiscount_21_Up+FedExExrpessEarnedDiscount))*'1Day AM Base'!F34),2),ROUND(MinBase1AMDay*(1+ExpressFuelSurcharge),2),ROUND(((1-(OverNightDiscount_21_Up+FedExExrpessEarnedDiscount))*'1Day AM Base'!F34)*(1+ExpressFuelSurcharge),2)))*(1+FedEx_Markup),2)</f>
        <v>174.36</v>
      </c>
      <c r="G37" s="218">
        <f>ROUND((IF(MinBase1AMDay&gt;ROUND(((1-(OverNightDiscount_21_Up+FedExExrpessEarnedDiscount))*'1Day AM Base'!G34),2),ROUND(MinBase1AMDay*(1+ExpressFuelSurcharge),2),ROUND(((1-(OverNightDiscount_21_Up+FedExExrpessEarnedDiscount))*'1Day AM Base'!G34)*(1+ExpressFuelSurcharge),2)))*(1+FedEx_Markup),2)</f>
        <v>181.33</v>
      </c>
      <c r="H37" s="218">
        <f>ROUND((IF(MinBase1AMDay&gt;ROUND(((1-(OverNightDiscount_21_Up+FedExExrpessEarnedDiscount))*'1Day AM Base'!H34),2),ROUND(MinBase1AMDay*(1+ExpressFuelSurcharge),2),ROUND(((1-(OverNightDiscount_21_Up+FedExExrpessEarnedDiscount))*'1Day AM Base'!H34)*(1+ExpressFuelSurcharge),2)))*(1+FedEx_Markup),2)</f>
        <v>191.45</v>
      </c>
    </row>
    <row r="38" spans="1:26" ht="12.75" customHeight="1">
      <c r="A38" s="217">
        <v>33</v>
      </c>
      <c r="B38" s="218">
        <f>ROUND((IF(MinBase1AMDay&gt;ROUND(((1-(OverNightDiscount_21_Up+FedExExrpessEarnedDiscount))*'1Day AM Base'!B35),2),ROUND(MinBase1AMDay*(1+ExpressFuelSurcharge),2),ROUND(((1-(OverNightDiscount_21_Up+FedExExrpessEarnedDiscount))*'1Day AM Base'!B35)*(1+ExpressFuelSurcharge),2)))*(1+FedEx_Markup),2)</f>
        <v>56.71</v>
      </c>
      <c r="C38" s="218">
        <f>ROUND((IF(MinBase1AMDay&gt;ROUND(((1-(OverNightDiscount_21_Up+FedExExrpessEarnedDiscount))*'1Day AM Base'!C35),2),ROUND(MinBase1AMDay*(1+ExpressFuelSurcharge),2),ROUND(((1-(OverNightDiscount_21_Up+FedExExrpessEarnedDiscount))*'1Day AM Base'!C35)*(1+ExpressFuelSurcharge),2)))*(1+FedEx_Markup),2)</f>
        <v>81.12</v>
      </c>
      <c r="D38" s="218">
        <f>ROUND((IF(MinBase1AMDay&gt;ROUND(((1-(OverNightDiscount_21_Up+FedExExrpessEarnedDiscount))*'1Day AM Base'!D35),2),ROUND(MinBase1AMDay*(1+ExpressFuelSurcharge),2),ROUND(((1-(OverNightDiscount_21_Up+FedExExrpessEarnedDiscount))*'1Day AM Base'!D35)*(1+ExpressFuelSurcharge),2)))*(1+FedEx_Markup),2)</f>
        <v>157.91</v>
      </c>
      <c r="E38" s="218">
        <f>ROUND((IF(MinBase1AMDay&gt;ROUND(((1-(OverNightDiscount_21_Up+FedExExrpessEarnedDiscount))*'1Day AM Base'!E35),2),ROUND(MinBase1AMDay*(1+ExpressFuelSurcharge),2),ROUND(((1-(OverNightDiscount_21_Up+FedExExrpessEarnedDiscount))*'1Day AM Base'!E35)*(1+ExpressFuelSurcharge),2)))*(1+FedEx_Markup),2)</f>
        <v>173.2</v>
      </c>
      <c r="F38" s="218">
        <f>ROUND((IF(MinBase1AMDay&gt;ROUND(((1-(OverNightDiscount_21_Up+FedExExrpessEarnedDiscount))*'1Day AM Base'!F35),2),ROUND(MinBase1AMDay*(1+ExpressFuelSurcharge),2),ROUND(((1-(OverNightDiscount_21_Up+FedExExrpessEarnedDiscount))*'1Day AM Base'!F35)*(1+ExpressFuelSurcharge),2)))*(1+FedEx_Markup),2)</f>
        <v>177.47</v>
      </c>
      <c r="G38" s="218">
        <f>ROUND((IF(MinBase1AMDay&gt;ROUND(((1-(OverNightDiscount_21_Up+FedExExrpessEarnedDiscount))*'1Day AM Base'!G35),2),ROUND(MinBase1AMDay*(1+ExpressFuelSurcharge),2),ROUND(((1-(OverNightDiscount_21_Up+FedExExrpessEarnedDiscount))*'1Day AM Base'!G35)*(1+ExpressFuelSurcharge),2)))*(1+FedEx_Markup),2)</f>
        <v>191.99</v>
      </c>
      <c r="H38" s="218">
        <f>ROUND((IF(MinBase1AMDay&gt;ROUND(((1-(OverNightDiscount_21_Up+FedExExrpessEarnedDiscount))*'1Day AM Base'!H35),2),ROUND(MinBase1AMDay*(1+ExpressFuelSurcharge),2),ROUND(((1-(OverNightDiscount_21_Up+FedExExrpessEarnedDiscount))*'1Day AM Base'!H35)*(1+ExpressFuelSurcharge),2)))*(1+FedEx_Markup),2)</f>
        <v>199.08</v>
      </c>
    </row>
    <row r="39" spans="1:26" ht="12.75" customHeight="1">
      <c r="A39" s="217">
        <v>34</v>
      </c>
      <c r="B39" s="218">
        <f>ROUND((IF(MinBase1AMDay&gt;ROUND(((1-(OverNightDiscount_21_Up+FedExExrpessEarnedDiscount))*'1Day AM Base'!B36),2),ROUND(MinBase1AMDay*(1+ExpressFuelSurcharge),2),ROUND(((1-(OverNightDiscount_21_Up+FedExExrpessEarnedDiscount))*'1Day AM Base'!B36)*(1+ExpressFuelSurcharge),2)))*(1+FedEx_Markup),2)</f>
        <v>57.91</v>
      </c>
      <c r="C39" s="218">
        <f>ROUND((IF(MinBase1AMDay&gt;ROUND(((1-(OverNightDiscount_21_Up+FedExExrpessEarnedDiscount))*'1Day AM Base'!C36),2),ROUND(MinBase1AMDay*(1+ExpressFuelSurcharge),2),ROUND(((1-(OverNightDiscount_21_Up+FedExExrpessEarnedDiscount))*'1Day AM Base'!C36)*(1+ExpressFuelSurcharge),2)))*(1+FedEx_Markup),2)</f>
        <v>83</v>
      </c>
      <c r="D39" s="218">
        <f>ROUND((IF(MinBase1AMDay&gt;ROUND(((1-(OverNightDiscount_21_Up+FedExExrpessEarnedDiscount))*'1Day AM Base'!D36),2),ROUND(MinBase1AMDay*(1+ExpressFuelSurcharge),2),ROUND(((1-(OverNightDiscount_21_Up+FedExExrpessEarnedDiscount))*'1Day AM Base'!D36)*(1+ExpressFuelSurcharge),2)))*(1+FedEx_Markup),2)</f>
        <v>161.25</v>
      </c>
      <c r="E39" s="218">
        <f>ROUND((IF(MinBase1AMDay&gt;ROUND(((1-(OverNightDiscount_21_Up+FedExExrpessEarnedDiscount))*'1Day AM Base'!E36),2),ROUND(MinBase1AMDay*(1+ExpressFuelSurcharge),2),ROUND(((1-(OverNightDiscount_21_Up+FedExExrpessEarnedDiscount))*'1Day AM Base'!E36)*(1+ExpressFuelSurcharge),2)))*(1+FedEx_Markup),2)</f>
        <v>174.29</v>
      </c>
      <c r="F39" s="218">
        <f>ROUND((IF(MinBase1AMDay&gt;ROUND(((1-(OverNightDiscount_21_Up+FedExExrpessEarnedDiscount))*'1Day AM Base'!F36),2),ROUND(MinBase1AMDay*(1+ExpressFuelSurcharge),2),ROUND(((1-(OverNightDiscount_21_Up+FedExExrpessEarnedDiscount))*'1Day AM Base'!F36)*(1+ExpressFuelSurcharge),2)))*(1+FedEx_Markup),2)</f>
        <v>177.78</v>
      </c>
      <c r="G39" s="218">
        <f>ROUND((IF(MinBase1AMDay&gt;ROUND(((1-(OverNightDiscount_21_Up+FedExExrpessEarnedDiscount))*'1Day AM Base'!G36),2),ROUND(MinBase1AMDay*(1+ExpressFuelSurcharge),2),ROUND(((1-(OverNightDiscount_21_Up+FedExExrpessEarnedDiscount))*'1Day AM Base'!G36)*(1+ExpressFuelSurcharge),2)))*(1+FedEx_Markup),2)</f>
        <v>196.04</v>
      </c>
      <c r="H39" s="218">
        <f>ROUND((IF(MinBase1AMDay&gt;ROUND(((1-(OverNightDiscount_21_Up+FedExExrpessEarnedDiscount))*'1Day AM Base'!H36),2),ROUND(MinBase1AMDay*(1+ExpressFuelSurcharge),2),ROUND(((1-(OverNightDiscount_21_Up+FedExExrpessEarnedDiscount))*'1Day AM Base'!H36)*(1+ExpressFuelSurcharge),2)))*(1+FedEx_Markup),2)</f>
        <v>199.97</v>
      </c>
    </row>
    <row r="40" spans="1:26" ht="12.75" customHeight="1">
      <c r="A40" s="217">
        <v>35</v>
      </c>
      <c r="B40" s="218">
        <f>ROUND((IF(MinBase1AMDay&gt;ROUND(((1-(OverNightDiscount_21_Up+FedExExrpessEarnedDiscount))*'1Day AM Base'!B37),2),ROUND(MinBase1AMDay*(1+ExpressFuelSurcharge),2),ROUND(((1-(OverNightDiscount_21_Up+FedExExrpessEarnedDiscount))*'1Day AM Base'!B37)*(1+ExpressFuelSurcharge),2)))*(1+FedEx_Markup),2)</f>
        <v>59.16</v>
      </c>
      <c r="C40" s="218">
        <f>ROUND((IF(MinBase1AMDay&gt;ROUND(((1-(OverNightDiscount_21_Up+FedExExrpessEarnedDiscount))*'1Day AM Base'!C37),2),ROUND(MinBase1AMDay*(1+ExpressFuelSurcharge),2),ROUND(((1-(OverNightDiscount_21_Up+FedExExrpessEarnedDiscount))*'1Day AM Base'!C37)*(1+ExpressFuelSurcharge),2)))*(1+FedEx_Markup),2)</f>
        <v>83.18</v>
      </c>
      <c r="D40" s="218">
        <f>ROUND((IF(MinBase1AMDay&gt;ROUND(((1-(OverNightDiscount_21_Up+FedExExrpessEarnedDiscount))*'1Day AM Base'!D37),2),ROUND(MinBase1AMDay*(1+ExpressFuelSurcharge),2),ROUND(((1-(OverNightDiscount_21_Up+FedExExrpessEarnedDiscount))*'1Day AM Base'!D37)*(1+ExpressFuelSurcharge),2)))*(1+FedEx_Markup),2)</f>
        <v>161.6</v>
      </c>
      <c r="E40" s="218">
        <f>ROUND((IF(MinBase1AMDay&gt;ROUND(((1-(OverNightDiscount_21_Up+FedExExrpessEarnedDiscount))*'1Day AM Base'!E37),2),ROUND(MinBase1AMDay*(1+ExpressFuelSurcharge),2),ROUND(((1-(OverNightDiscount_21_Up+FedExExrpessEarnedDiscount))*'1Day AM Base'!E37)*(1+ExpressFuelSurcharge),2)))*(1+FedEx_Markup),2)</f>
        <v>174.49</v>
      </c>
      <c r="F40" s="218">
        <f>ROUND((IF(MinBase1AMDay&gt;ROUND(((1-(OverNightDiscount_21_Up+FedExExrpessEarnedDiscount))*'1Day AM Base'!F37),2),ROUND(MinBase1AMDay*(1+ExpressFuelSurcharge),2),ROUND(((1-(OverNightDiscount_21_Up+FedExExrpessEarnedDiscount))*'1Day AM Base'!F37)*(1+ExpressFuelSurcharge),2)))*(1+FedEx_Markup),2)</f>
        <v>178.1</v>
      </c>
      <c r="G40" s="218">
        <f>ROUND((IF(MinBase1AMDay&gt;ROUND(((1-(OverNightDiscount_21_Up+FedExExrpessEarnedDiscount))*'1Day AM Base'!G37),2),ROUND(MinBase1AMDay*(1+ExpressFuelSurcharge),2),ROUND(((1-(OverNightDiscount_21_Up+FedExExrpessEarnedDiscount))*'1Day AM Base'!G37)*(1+ExpressFuelSurcharge),2)))*(1+FedEx_Markup),2)</f>
        <v>197.87</v>
      </c>
      <c r="H40" s="218">
        <f>ROUND((IF(MinBase1AMDay&gt;ROUND(((1-(OverNightDiscount_21_Up+FedExExrpessEarnedDiscount))*'1Day AM Base'!H37),2),ROUND(MinBase1AMDay*(1+ExpressFuelSurcharge),2),ROUND(((1-(OverNightDiscount_21_Up+FedExExrpessEarnedDiscount))*'1Day AM Base'!H37)*(1+ExpressFuelSurcharge),2)))*(1+FedEx_Markup),2)</f>
        <v>201.84</v>
      </c>
    </row>
    <row r="41" spans="1:26" ht="12.75" customHeight="1">
      <c r="A41" s="217">
        <v>36</v>
      </c>
      <c r="B41" s="218">
        <f>ROUND((IF(MinBase1AMDay&gt;ROUND(((1-(OverNightDiscount_21_Up+FedExExrpessEarnedDiscount))*'1Day AM Base'!B38),2),ROUND(MinBase1AMDay*(1+ExpressFuelSurcharge),2),ROUND(((1-(OverNightDiscount_21_Up+FedExExrpessEarnedDiscount))*'1Day AM Base'!B38)*(1+ExpressFuelSurcharge),2)))*(1+FedEx_Markup),2)</f>
        <v>61.61</v>
      </c>
      <c r="C41" s="218">
        <f>ROUND((IF(MinBase1AMDay&gt;ROUND(((1-(OverNightDiscount_21_Up+FedExExrpessEarnedDiscount))*'1Day AM Base'!C38),2),ROUND(MinBase1AMDay*(1+ExpressFuelSurcharge),2),ROUND(((1-(OverNightDiscount_21_Up+FedExExrpessEarnedDiscount))*'1Day AM Base'!C38)*(1+ExpressFuelSurcharge),2)))*(1+FedEx_Markup),2)</f>
        <v>83.47</v>
      </c>
      <c r="D41" s="218">
        <f>ROUND((IF(MinBase1AMDay&gt;ROUND(((1-(OverNightDiscount_21_Up+FedExExrpessEarnedDiscount))*'1Day AM Base'!D38),2),ROUND(MinBase1AMDay*(1+ExpressFuelSurcharge),2),ROUND(((1-(OverNightDiscount_21_Up+FedExExrpessEarnedDiscount))*'1Day AM Base'!D38)*(1+ExpressFuelSurcharge),2)))*(1+FedEx_Markup),2)</f>
        <v>167.99</v>
      </c>
      <c r="E41" s="218">
        <f>ROUND((IF(MinBase1AMDay&gt;ROUND(((1-(OverNightDiscount_21_Up+FedExExrpessEarnedDiscount))*'1Day AM Base'!E38),2),ROUND(MinBase1AMDay*(1+ExpressFuelSurcharge),2),ROUND(((1-(OverNightDiscount_21_Up+FedExExrpessEarnedDiscount))*'1Day AM Base'!E38)*(1+ExpressFuelSurcharge),2)))*(1+FedEx_Markup),2)</f>
        <v>178.01</v>
      </c>
      <c r="F41" s="218">
        <f>ROUND((IF(MinBase1AMDay&gt;ROUND(((1-(OverNightDiscount_21_Up+FedExExrpessEarnedDiscount))*'1Day AM Base'!F38),2),ROUND(MinBase1AMDay*(1+ExpressFuelSurcharge),2),ROUND(((1-(OverNightDiscount_21_Up+FedExExrpessEarnedDiscount))*'1Day AM Base'!F38)*(1+ExpressFuelSurcharge),2)))*(1+FedEx_Markup),2)</f>
        <v>184.33</v>
      </c>
      <c r="G41" s="218">
        <f>ROUND((IF(MinBase1AMDay&gt;ROUND(((1-(OverNightDiscount_21_Up+FedExExrpessEarnedDiscount))*'1Day AM Base'!G38),2),ROUND(MinBase1AMDay*(1+ExpressFuelSurcharge),2),ROUND(((1-(OverNightDiscount_21_Up+FedExExrpessEarnedDiscount))*'1Day AM Base'!G38)*(1+ExpressFuelSurcharge),2)))*(1+FedEx_Markup),2)</f>
        <v>200.78</v>
      </c>
      <c r="H41" s="218">
        <f>ROUND((IF(MinBase1AMDay&gt;ROUND(((1-(OverNightDiscount_21_Up+FedExExrpessEarnedDiscount))*'1Day AM Base'!H38),2),ROUND(MinBase1AMDay*(1+ExpressFuelSurcharge),2),ROUND(((1-(OverNightDiscount_21_Up+FedExExrpessEarnedDiscount))*'1Day AM Base'!H38)*(1+ExpressFuelSurcharge),2)))*(1+FedEx_Markup),2)</f>
        <v>206.11</v>
      </c>
      <c r="L41" s="4"/>
    </row>
    <row r="42" spans="1:26" ht="12.75" customHeight="1">
      <c r="A42" s="217">
        <v>37</v>
      </c>
      <c r="B42" s="218">
        <f>ROUND((IF(MinBase1AMDay&gt;ROUND(((1-(OverNightDiscount_21_Up+FedExExrpessEarnedDiscount))*'1Day AM Base'!B39),2),ROUND(MinBase1AMDay*(1+ExpressFuelSurcharge),2),ROUND(((1-(OverNightDiscount_21_Up+FedExExrpessEarnedDiscount))*'1Day AM Base'!B39)*(1+ExpressFuelSurcharge),2)))*(1+FedEx_Markup),2)</f>
        <v>61.87</v>
      </c>
      <c r="C42" s="218">
        <f>ROUND((IF(MinBase1AMDay&gt;ROUND(((1-(OverNightDiscount_21_Up+FedExExrpessEarnedDiscount))*'1Day AM Base'!C39),2),ROUND(MinBase1AMDay*(1+ExpressFuelSurcharge),2),ROUND(((1-(OverNightDiscount_21_Up+FedExExrpessEarnedDiscount))*'1Day AM Base'!C39)*(1+ExpressFuelSurcharge),2)))*(1+FedEx_Markup),2)</f>
        <v>89</v>
      </c>
      <c r="D42" s="218">
        <f>ROUND((IF(MinBase1AMDay&gt;ROUND(((1-(OverNightDiscount_21_Up+FedExExrpessEarnedDiscount))*'1Day AM Base'!D39),2),ROUND(MinBase1AMDay*(1+ExpressFuelSurcharge),2),ROUND(((1-(OverNightDiscount_21_Up+FedExExrpessEarnedDiscount))*'1Day AM Base'!D39)*(1+ExpressFuelSurcharge),2)))*(1+FedEx_Markup),2)</f>
        <v>171.91</v>
      </c>
      <c r="E42" s="218">
        <f>ROUND((IF(MinBase1AMDay&gt;ROUND(((1-(OverNightDiscount_21_Up+FedExExrpessEarnedDiscount))*'1Day AM Base'!E39),2),ROUND(MinBase1AMDay*(1+ExpressFuelSurcharge),2),ROUND(((1-(OverNightDiscount_21_Up+FedExExrpessEarnedDiscount))*'1Day AM Base'!E39)*(1+ExpressFuelSurcharge),2)))*(1+FedEx_Markup),2)</f>
        <v>184.03</v>
      </c>
      <c r="F42" s="218">
        <f>ROUND((IF(MinBase1AMDay&gt;ROUND(((1-(OverNightDiscount_21_Up+FedExExrpessEarnedDiscount))*'1Day AM Base'!F39),2),ROUND(MinBase1AMDay*(1+ExpressFuelSurcharge),2),ROUND(((1-(OverNightDiscount_21_Up+FedExExrpessEarnedDiscount))*'1Day AM Base'!F39)*(1+ExpressFuelSurcharge),2)))*(1+FedEx_Markup),2)</f>
        <v>193.32</v>
      </c>
      <c r="G42" s="218">
        <f>ROUND((IF(MinBase1AMDay&gt;ROUND(((1-(OverNightDiscount_21_Up+FedExExrpessEarnedDiscount))*'1Day AM Base'!G39),2),ROUND(MinBase1AMDay*(1+ExpressFuelSurcharge),2),ROUND(((1-(OverNightDiscount_21_Up+FedExExrpessEarnedDiscount))*'1Day AM Base'!G39)*(1+ExpressFuelSurcharge),2)))*(1+FedEx_Markup),2)</f>
        <v>207.39</v>
      </c>
      <c r="H42" s="218">
        <f>ROUND((IF(MinBase1AMDay&gt;ROUND(((1-(OverNightDiscount_21_Up+FedExExrpessEarnedDiscount))*'1Day AM Base'!H39),2),ROUND(MinBase1AMDay*(1+ExpressFuelSurcharge),2),ROUND(((1-(OverNightDiscount_21_Up+FedExExrpessEarnedDiscount))*'1Day AM Base'!H39)*(1+ExpressFuelSurcharge),2)))*(1+FedEx_Markup),2)</f>
        <v>213.11</v>
      </c>
    </row>
    <row r="43" spans="1:26" ht="12.75" customHeight="1">
      <c r="A43" s="217">
        <v>38</v>
      </c>
      <c r="B43" s="218">
        <f>ROUND((IF(MinBase1AMDay&gt;ROUND(((1-(OverNightDiscount_21_Up+FedExExrpessEarnedDiscount))*'1Day AM Base'!B40),2),ROUND(MinBase1AMDay*(1+ExpressFuelSurcharge),2),ROUND(((1-(OverNightDiscount_21_Up+FedExExrpessEarnedDiscount))*'1Day AM Base'!B40)*(1+ExpressFuelSurcharge),2)))*(1+FedEx_Markup),2)</f>
        <v>61.96</v>
      </c>
      <c r="C43" s="218">
        <f>ROUND((IF(MinBase1AMDay&gt;ROUND(((1-(OverNightDiscount_21_Up+FedExExrpessEarnedDiscount))*'1Day AM Base'!C40),2),ROUND(MinBase1AMDay*(1+ExpressFuelSurcharge),2),ROUND(((1-(OverNightDiscount_21_Up+FedExExrpessEarnedDiscount))*'1Day AM Base'!C40)*(1+ExpressFuelSurcharge),2)))*(1+FedEx_Markup),2)</f>
        <v>89.56</v>
      </c>
      <c r="D43" s="218">
        <f>ROUND((IF(MinBase1AMDay&gt;ROUND(((1-(OverNightDiscount_21_Up+FedExExrpessEarnedDiscount))*'1Day AM Base'!D40),2),ROUND(MinBase1AMDay*(1+ExpressFuelSurcharge),2),ROUND(((1-(OverNightDiscount_21_Up+FedExExrpessEarnedDiscount))*'1Day AM Base'!D40)*(1+ExpressFuelSurcharge),2)))*(1+FedEx_Markup),2)</f>
        <v>174.6</v>
      </c>
      <c r="E43" s="218">
        <f>ROUND((IF(MinBase1AMDay&gt;ROUND(((1-(OverNightDiscount_21_Up+FedExExrpessEarnedDiscount))*'1Day AM Base'!E40),2),ROUND(MinBase1AMDay*(1+ExpressFuelSurcharge),2),ROUND(((1-(OverNightDiscount_21_Up+FedExExrpessEarnedDiscount))*'1Day AM Base'!E40)*(1+ExpressFuelSurcharge),2)))*(1+FedEx_Markup),2)</f>
        <v>187.39</v>
      </c>
      <c r="F43" s="218">
        <f>ROUND((IF(MinBase1AMDay&gt;ROUND(((1-(OverNightDiscount_21_Up+FedExExrpessEarnedDiscount))*'1Day AM Base'!F40),2),ROUND(MinBase1AMDay*(1+ExpressFuelSurcharge),2),ROUND(((1-(OverNightDiscount_21_Up+FedExExrpessEarnedDiscount))*'1Day AM Base'!F40)*(1+ExpressFuelSurcharge),2)))*(1+FedEx_Markup),2)</f>
        <v>196.41</v>
      </c>
      <c r="G43" s="218">
        <f>ROUND((IF(MinBase1AMDay&gt;ROUND(((1-(OverNightDiscount_21_Up+FedExExrpessEarnedDiscount))*'1Day AM Base'!G40),2),ROUND(MinBase1AMDay*(1+ExpressFuelSurcharge),2),ROUND(((1-(OverNightDiscount_21_Up+FedExExrpessEarnedDiscount))*'1Day AM Base'!G40)*(1+ExpressFuelSurcharge),2)))*(1+FedEx_Markup),2)</f>
        <v>208.06</v>
      </c>
      <c r="H43" s="218">
        <f>ROUND((IF(MinBase1AMDay&gt;ROUND(((1-(OverNightDiscount_21_Up+FedExExrpessEarnedDiscount))*'1Day AM Base'!H40),2),ROUND(MinBase1AMDay*(1+ExpressFuelSurcharge),2),ROUND(((1-(OverNightDiscount_21_Up+FedExExrpessEarnedDiscount))*'1Day AM Base'!H40)*(1+ExpressFuelSurcharge),2)))*(1+FedEx_Markup),2)</f>
        <v>213.82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17">
        <v>39</v>
      </c>
      <c r="B44" s="218">
        <f>ROUND((IF(MinBase1AMDay&gt;ROUND(((1-(OverNightDiscount_21_Up+FedExExrpessEarnedDiscount))*'1Day AM Base'!B41),2),ROUND(MinBase1AMDay*(1+ExpressFuelSurcharge),2),ROUND(((1-(OverNightDiscount_21_Up+FedExExrpessEarnedDiscount))*'1Day AM Base'!B41)*(1+ExpressFuelSurcharge),2)))*(1+FedEx_Markup),2)</f>
        <v>62.04</v>
      </c>
      <c r="C44" s="218">
        <f>ROUND((IF(MinBase1AMDay&gt;ROUND(((1-(OverNightDiscount_21_Up+FedExExrpessEarnedDiscount))*'1Day AM Base'!C41),2),ROUND(MinBase1AMDay*(1+ExpressFuelSurcharge),2),ROUND(((1-(OverNightDiscount_21_Up+FedExExrpessEarnedDiscount))*'1Day AM Base'!C41)*(1+ExpressFuelSurcharge),2)))*(1+FedEx_Markup),2)</f>
        <v>89.8</v>
      </c>
      <c r="D44" s="218">
        <f>ROUND((IF(MinBase1AMDay&gt;ROUND(((1-(OverNightDiscount_21_Up+FedExExrpessEarnedDiscount))*'1Day AM Base'!D41),2),ROUND(MinBase1AMDay*(1+ExpressFuelSurcharge),2),ROUND(((1-(OverNightDiscount_21_Up+FedExExrpessEarnedDiscount))*'1Day AM Base'!D41)*(1+ExpressFuelSurcharge),2)))*(1+FedEx_Markup),2)</f>
        <v>177.63</v>
      </c>
      <c r="E44" s="218">
        <f>ROUND((IF(MinBase1AMDay&gt;ROUND(((1-(OverNightDiscount_21_Up+FedExExrpessEarnedDiscount))*'1Day AM Base'!E41),2),ROUND(MinBase1AMDay*(1+ExpressFuelSurcharge),2),ROUND(((1-(OverNightDiscount_21_Up+FedExExrpessEarnedDiscount))*'1Day AM Base'!E41)*(1+ExpressFuelSurcharge),2)))*(1+FedEx_Markup),2)</f>
        <v>189.89</v>
      </c>
      <c r="F44" s="218">
        <f>ROUND((IF(MinBase1AMDay&gt;ROUND(((1-(OverNightDiscount_21_Up+FedExExrpessEarnedDiscount))*'1Day AM Base'!F41),2),ROUND(MinBase1AMDay*(1+ExpressFuelSurcharge),2),ROUND(((1-(OverNightDiscount_21_Up+FedExExrpessEarnedDiscount))*'1Day AM Base'!F41)*(1+ExpressFuelSurcharge),2)))*(1+FedEx_Markup),2)</f>
        <v>196.72</v>
      </c>
      <c r="G44" s="218">
        <f>ROUND((IF(MinBase1AMDay&gt;ROUND(((1-(OverNightDiscount_21_Up+FedExExrpessEarnedDiscount))*'1Day AM Base'!G41),2),ROUND(MinBase1AMDay*(1+ExpressFuelSurcharge),2),ROUND(((1-(OverNightDiscount_21_Up+FedExExrpessEarnedDiscount))*'1Day AM Base'!G41)*(1+ExpressFuelSurcharge),2)))*(1+FedEx_Markup),2)</f>
        <v>208.44</v>
      </c>
      <c r="H44" s="218">
        <f>ROUND((IF(MinBase1AMDay&gt;ROUND(((1-(OverNightDiscount_21_Up+FedExExrpessEarnedDiscount))*'1Day AM Base'!H41),2),ROUND(MinBase1AMDay*(1+ExpressFuelSurcharge),2),ROUND(((1-(OverNightDiscount_21_Up+FedExExrpessEarnedDiscount))*'1Day AM Base'!H41)*(1+ExpressFuelSurcharge),2)))*(1+FedEx_Markup),2)</f>
        <v>214.46</v>
      </c>
    </row>
    <row r="45" spans="1:26" ht="12.75" customHeight="1">
      <c r="A45" s="217">
        <v>40</v>
      </c>
      <c r="B45" s="218">
        <f>ROUND((IF(MinBase1AMDay&gt;ROUND(((1-(OverNightDiscount_21_Up+FedExExrpessEarnedDiscount))*'1Day AM Base'!B42),2),ROUND(MinBase1AMDay*(1+ExpressFuelSurcharge),2),ROUND(((1-(OverNightDiscount_21_Up+FedExExrpessEarnedDiscount))*'1Day AM Base'!B42)*(1+ExpressFuelSurcharge),2)))*(1+FedEx_Markup),2)</f>
        <v>62.19</v>
      </c>
      <c r="C45" s="218">
        <f>ROUND((IF(MinBase1AMDay&gt;ROUND(((1-(OverNightDiscount_21_Up+FedExExrpessEarnedDiscount))*'1Day AM Base'!C42),2),ROUND(MinBase1AMDay*(1+ExpressFuelSurcharge),2),ROUND(((1-(OverNightDiscount_21_Up+FedExExrpessEarnedDiscount))*'1Day AM Base'!C42)*(1+ExpressFuelSurcharge),2)))*(1+FedEx_Markup),2)</f>
        <v>90.07</v>
      </c>
      <c r="D45" s="218">
        <f>ROUND((IF(MinBase1AMDay&gt;ROUND(((1-(OverNightDiscount_21_Up+FedExExrpessEarnedDiscount))*'1Day AM Base'!D42),2),ROUND(MinBase1AMDay*(1+ExpressFuelSurcharge),2),ROUND(((1-(OverNightDiscount_21_Up+FedExExrpessEarnedDiscount))*'1Day AM Base'!D42)*(1+ExpressFuelSurcharge),2)))*(1+FedEx_Markup),2)</f>
        <v>177.94</v>
      </c>
      <c r="E45" s="218">
        <f>ROUND((IF(MinBase1AMDay&gt;ROUND(((1-(OverNightDiscount_21_Up+FedExExrpessEarnedDiscount))*'1Day AM Base'!E42),2),ROUND(MinBase1AMDay*(1+ExpressFuelSurcharge),2),ROUND(((1-(OverNightDiscount_21_Up+FedExExrpessEarnedDiscount))*'1Day AM Base'!E42)*(1+ExpressFuelSurcharge),2)))*(1+FedEx_Markup),2)</f>
        <v>190.14</v>
      </c>
      <c r="F45" s="218">
        <f>ROUND((IF(MinBase1AMDay&gt;ROUND(((1-(OverNightDiscount_21_Up+FedExExrpessEarnedDiscount))*'1Day AM Base'!F42),2),ROUND(MinBase1AMDay*(1+ExpressFuelSurcharge),2),ROUND(((1-(OverNightDiscount_21_Up+FedExExrpessEarnedDiscount))*'1Day AM Base'!F42)*(1+ExpressFuelSurcharge),2)))*(1+FedEx_Markup),2)</f>
        <v>197.28</v>
      </c>
      <c r="G45" s="218">
        <f>ROUND((IF(MinBase1AMDay&gt;ROUND(((1-(OverNightDiscount_21_Up+FedExExrpessEarnedDiscount))*'1Day AM Base'!G42),2),ROUND(MinBase1AMDay*(1+ExpressFuelSurcharge),2),ROUND(((1-(OverNightDiscount_21_Up+FedExExrpessEarnedDiscount))*'1Day AM Base'!G42)*(1+ExpressFuelSurcharge),2)))*(1+FedEx_Markup),2)</f>
        <v>213.82</v>
      </c>
      <c r="H45" s="218">
        <f>ROUND((IF(MinBase1AMDay&gt;ROUND(((1-(OverNightDiscount_21_Up+FedExExrpessEarnedDiscount))*'1Day AM Base'!H42),2),ROUND(MinBase1AMDay*(1+ExpressFuelSurcharge),2),ROUND(((1-(OverNightDiscount_21_Up+FedExExrpessEarnedDiscount))*'1Day AM Base'!H42)*(1+ExpressFuelSurcharge),2)))*(1+FedEx_Markup),2)</f>
        <v>218.11</v>
      </c>
    </row>
    <row r="46" spans="1:26" ht="12.75" customHeight="1">
      <c r="A46" s="217">
        <v>41</v>
      </c>
      <c r="B46" s="218">
        <f>ROUND((IF(MinBase1AMDay&gt;ROUND(((1-(OverNightDiscount_21_Up+FedExExrpessEarnedDiscount))*'1Day AM Base'!B43),2),ROUND(MinBase1AMDay*(1+ExpressFuelSurcharge),2),ROUND(((1-(OverNightDiscount_21_Up+FedExExrpessEarnedDiscount))*'1Day AM Base'!B43)*(1+ExpressFuelSurcharge),2)))*(1+FedEx_Markup),2)</f>
        <v>65.16</v>
      </c>
      <c r="C46" s="218">
        <f>ROUND((IF(MinBase1AMDay&gt;ROUND(((1-(OverNightDiscount_21_Up+FedExExrpessEarnedDiscount))*'1Day AM Base'!C43),2),ROUND(MinBase1AMDay*(1+ExpressFuelSurcharge),2),ROUND(((1-(OverNightDiscount_21_Up+FedExExrpessEarnedDiscount))*'1Day AM Base'!C43)*(1+ExpressFuelSurcharge),2)))*(1+FedEx_Markup),2)</f>
        <v>95.47</v>
      </c>
      <c r="D46" s="218">
        <f>ROUND((IF(MinBase1AMDay&gt;ROUND(((1-(OverNightDiscount_21_Up+FedExExrpessEarnedDiscount))*'1Day AM Base'!D43),2),ROUND(MinBase1AMDay*(1+ExpressFuelSurcharge),2),ROUND(((1-(OverNightDiscount_21_Up+FedExExrpessEarnedDiscount))*'1Day AM Base'!D43)*(1+ExpressFuelSurcharge),2)))*(1+FedEx_Markup),2)</f>
        <v>184.13</v>
      </c>
      <c r="E46" s="218">
        <f>ROUND((IF(MinBase1AMDay&gt;ROUND(((1-(OverNightDiscount_21_Up+FedExExrpessEarnedDiscount))*'1Day AM Base'!E43),2),ROUND(MinBase1AMDay*(1+ExpressFuelSurcharge),2),ROUND(((1-(OverNightDiscount_21_Up+FedExExrpessEarnedDiscount))*'1Day AM Base'!E43)*(1+ExpressFuelSurcharge),2)))*(1+FedEx_Markup),2)</f>
        <v>195.01</v>
      </c>
      <c r="F46" s="218">
        <f>ROUND((IF(MinBase1AMDay&gt;ROUND(((1-(OverNightDiscount_21_Up+FedExExrpessEarnedDiscount))*'1Day AM Base'!F43),2),ROUND(MinBase1AMDay*(1+ExpressFuelSurcharge),2),ROUND(((1-(OverNightDiscount_21_Up+FedExExrpessEarnedDiscount))*'1Day AM Base'!F43)*(1+ExpressFuelSurcharge),2)))*(1+FedEx_Markup),2)</f>
        <v>208.2</v>
      </c>
      <c r="G46" s="218">
        <f>ROUND((IF(MinBase1AMDay&gt;ROUND(((1-(OverNightDiscount_21_Up+FedExExrpessEarnedDiscount))*'1Day AM Base'!G43),2),ROUND(MinBase1AMDay*(1+ExpressFuelSurcharge),2),ROUND(((1-(OverNightDiscount_21_Up+FedExExrpessEarnedDiscount))*'1Day AM Base'!G43)*(1+ExpressFuelSurcharge),2)))*(1+FedEx_Markup),2)</f>
        <v>216.86</v>
      </c>
      <c r="H46" s="218">
        <f>ROUND((IF(MinBase1AMDay&gt;ROUND(((1-(OverNightDiscount_21_Up+FedExExrpessEarnedDiscount))*'1Day AM Base'!H43),2),ROUND(MinBase1AMDay*(1+ExpressFuelSurcharge),2),ROUND(((1-(OverNightDiscount_21_Up+FedExExrpessEarnedDiscount))*'1Day AM Base'!H43)*(1+ExpressFuelSurcharge),2)))*(1+FedEx_Markup),2)</f>
        <v>224.34</v>
      </c>
    </row>
    <row r="47" spans="1:26" ht="12.75" customHeight="1">
      <c r="A47" s="217">
        <v>42</v>
      </c>
      <c r="B47" s="218">
        <f>ROUND((IF(MinBase1AMDay&gt;ROUND(((1-(OverNightDiscount_21_Up+FedExExrpessEarnedDiscount))*'1Day AM Base'!B44),2),ROUND(MinBase1AMDay*(1+ExpressFuelSurcharge),2),ROUND(((1-(OverNightDiscount_21_Up+FedExExrpessEarnedDiscount))*'1Day AM Base'!B44)*(1+ExpressFuelSurcharge),2)))*(1+FedEx_Markup),2)</f>
        <v>65.87</v>
      </c>
      <c r="C47" s="218">
        <f>ROUND((IF(MinBase1AMDay&gt;ROUND(((1-(OverNightDiscount_21_Up+FedExExrpessEarnedDiscount))*'1Day AM Base'!C44),2),ROUND(MinBase1AMDay*(1+ExpressFuelSurcharge),2),ROUND(((1-(OverNightDiscount_21_Up+FedExExrpessEarnedDiscount))*'1Day AM Base'!C44)*(1+ExpressFuelSurcharge),2)))*(1+FedEx_Markup),2)</f>
        <v>96.01</v>
      </c>
      <c r="D47" s="218">
        <f>ROUND((IF(MinBase1AMDay&gt;ROUND(((1-(OverNightDiscount_21_Up+FedExExrpessEarnedDiscount))*'1Day AM Base'!D44),2),ROUND(MinBase1AMDay*(1+ExpressFuelSurcharge),2),ROUND(((1-(OverNightDiscount_21_Up+FedExExrpessEarnedDiscount))*'1Day AM Base'!D44)*(1+ExpressFuelSurcharge),2)))*(1+FedEx_Markup),2)</f>
        <v>186.48</v>
      </c>
      <c r="E47" s="218">
        <f>ROUND((IF(MinBase1AMDay&gt;ROUND(((1-(OverNightDiscount_21_Up+FedExExrpessEarnedDiscount))*'1Day AM Base'!E44),2),ROUND(MinBase1AMDay*(1+ExpressFuelSurcharge),2),ROUND(((1-(OverNightDiscount_21_Up+FedExExrpessEarnedDiscount))*'1Day AM Base'!E44)*(1+ExpressFuelSurcharge),2)))*(1+FedEx_Markup),2)</f>
        <v>197.98</v>
      </c>
      <c r="F47" s="218">
        <f>ROUND((IF(MinBase1AMDay&gt;ROUND(((1-(OverNightDiscount_21_Up+FedExExrpessEarnedDiscount))*'1Day AM Base'!F44),2),ROUND(MinBase1AMDay*(1+ExpressFuelSurcharge),2),ROUND(((1-(OverNightDiscount_21_Up+FedExExrpessEarnedDiscount))*'1Day AM Base'!F44)*(1+ExpressFuelSurcharge),2)))*(1+FedEx_Markup),2)</f>
        <v>209.29</v>
      </c>
      <c r="G47" s="218">
        <f>ROUND((IF(MinBase1AMDay&gt;ROUND(((1-(OverNightDiscount_21_Up+FedExExrpessEarnedDiscount))*'1Day AM Base'!G44),2),ROUND(MinBase1AMDay*(1+ExpressFuelSurcharge),2),ROUND(((1-(OverNightDiscount_21_Up+FedExExrpessEarnedDiscount))*'1Day AM Base'!G44)*(1+ExpressFuelSurcharge),2)))*(1+FedEx_Markup),2)</f>
        <v>217.67</v>
      </c>
      <c r="H47" s="218">
        <f>ROUND((IF(MinBase1AMDay&gt;ROUND(((1-(OverNightDiscount_21_Up+FedExExrpessEarnedDiscount))*'1Day AM Base'!H44),2),ROUND(MinBase1AMDay*(1+ExpressFuelSurcharge),2),ROUND(((1-(OverNightDiscount_21_Up+FedExExrpessEarnedDiscount))*'1Day AM Base'!H44)*(1+ExpressFuelSurcharge),2)))*(1+FedEx_Markup),2)</f>
        <v>232.6</v>
      </c>
    </row>
    <row r="48" spans="1:26" ht="12.75" customHeight="1">
      <c r="A48" s="217">
        <v>43</v>
      </c>
      <c r="B48" s="218">
        <f>ROUND((IF(MinBase1AMDay&gt;ROUND(((1-(OverNightDiscount_21_Up+FedExExrpessEarnedDiscount))*'1Day AM Base'!B45),2),ROUND(MinBase1AMDay*(1+ExpressFuelSurcharge),2),ROUND(((1-(OverNightDiscount_21_Up+FedExExrpessEarnedDiscount))*'1Day AM Base'!B45)*(1+ExpressFuelSurcharge),2)))*(1+FedEx_Markup),2)</f>
        <v>67.900000000000006</v>
      </c>
      <c r="C48" s="218">
        <f>ROUND((IF(MinBase1AMDay&gt;ROUND(((1-(OverNightDiscount_21_Up+FedExExrpessEarnedDiscount))*'1Day AM Base'!C45),2),ROUND(MinBase1AMDay*(1+ExpressFuelSurcharge),2),ROUND(((1-(OverNightDiscount_21_Up+FedExExrpessEarnedDiscount))*'1Day AM Base'!C45)*(1+ExpressFuelSurcharge),2)))*(1+FedEx_Markup),2)</f>
        <v>96.27</v>
      </c>
      <c r="D48" s="218">
        <f>ROUND((IF(MinBase1AMDay&gt;ROUND(((1-(OverNightDiscount_21_Up+FedExExrpessEarnedDiscount))*'1Day AM Base'!D45),2),ROUND(MinBase1AMDay*(1+ExpressFuelSurcharge),2),ROUND(((1-(OverNightDiscount_21_Up+FedExExrpessEarnedDiscount))*'1Day AM Base'!D45)*(1+ExpressFuelSurcharge),2)))*(1+FedEx_Markup),2)</f>
        <v>191.26</v>
      </c>
      <c r="E48" s="218">
        <f>ROUND((IF(MinBase1AMDay&gt;ROUND(((1-(OverNightDiscount_21_Up+FedExExrpessEarnedDiscount))*'1Day AM Base'!E45),2),ROUND(MinBase1AMDay*(1+ExpressFuelSurcharge),2),ROUND(((1-(OverNightDiscount_21_Up+FedExExrpessEarnedDiscount))*'1Day AM Base'!E45)*(1+ExpressFuelSurcharge),2)))*(1+FedEx_Markup),2)</f>
        <v>203.3</v>
      </c>
      <c r="F48" s="218">
        <f>ROUND((IF(MinBase1AMDay&gt;ROUND(((1-(OverNightDiscount_21_Up+FedExExrpessEarnedDiscount))*'1Day AM Base'!F45),2),ROUND(MinBase1AMDay*(1+ExpressFuelSurcharge),2),ROUND(((1-(OverNightDiscount_21_Up+FedExExrpessEarnedDiscount))*'1Day AM Base'!F45)*(1+ExpressFuelSurcharge),2)))*(1+FedEx_Markup),2)</f>
        <v>213.1</v>
      </c>
      <c r="G48" s="218">
        <f>ROUND((IF(MinBase1AMDay&gt;ROUND(((1-(OverNightDiscount_21_Up+FedExExrpessEarnedDiscount))*'1Day AM Base'!G45),2),ROUND(MinBase1AMDay*(1+ExpressFuelSurcharge),2),ROUND(((1-(OverNightDiscount_21_Up+FedExExrpessEarnedDiscount))*'1Day AM Base'!G45)*(1+ExpressFuelSurcharge),2)))*(1+FedEx_Markup),2)</f>
        <v>228.28</v>
      </c>
      <c r="H48" s="218">
        <f>ROUND((IF(MinBase1AMDay&gt;ROUND(((1-(OverNightDiscount_21_Up+FedExExrpessEarnedDiscount))*'1Day AM Base'!H45),2),ROUND(MinBase1AMDay*(1+ExpressFuelSurcharge),2),ROUND(((1-(OverNightDiscount_21_Up+FedExExrpessEarnedDiscount))*'1Day AM Base'!H45)*(1+ExpressFuelSurcharge),2)))*(1+FedEx_Markup),2)</f>
        <v>239.35</v>
      </c>
    </row>
    <row r="49" spans="1:8" ht="12.75" customHeight="1">
      <c r="A49" s="217">
        <v>44</v>
      </c>
      <c r="B49" s="218">
        <f>ROUND((IF(MinBase1AMDay&gt;ROUND(((1-(OverNightDiscount_21_Up+FedExExrpessEarnedDiscount))*'1Day AM Base'!B46),2),ROUND(MinBase1AMDay*(1+ExpressFuelSurcharge),2),ROUND(((1-(OverNightDiscount_21_Up+FedExExrpessEarnedDiscount))*'1Day AM Base'!B46)*(1+ExpressFuelSurcharge),2)))*(1+FedEx_Markup),2)</f>
        <v>69.17</v>
      </c>
      <c r="C49" s="218">
        <f>ROUND((IF(MinBase1AMDay&gt;ROUND(((1-(OverNightDiscount_21_Up+FedExExrpessEarnedDiscount))*'1Day AM Base'!C46),2),ROUND(MinBase1AMDay*(1+ExpressFuelSurcharge),2),ROUND(((1-(OverNightDiscount_21_Up+FedExExrpessEarnedDiscount))*'1Day AM Base'!C46)*(1+ExpressFuelSurcharge),2)))*(1+FedEx_Markup),2)</f>
        <v>101.32</v>
      </c>
      <c r="D49" s="218">
        <f>ROUND((IF(MinBase1AMDay&gt;ROUND(((1-(OverNightDiscount_21_Up+FedExExrpessEarnedDiscount))*'1Day AM Base'!D46),2),ROUND(MinBase1AMDay*(1+ExpressFuelSurcharge),2),ROUND(((1-(OverNightDiscount_21_Up+FedExExrpessEarnedDiscount))*'1Day AM Base'!D46)*(1+ExpressFuelSurcharge),2)))*(1+FedEx_Markup),2)</f>
        <v>194.43</v>
      </c>
      <c r="E49" s="218">
        <f>ROUND((IF(MinBase1AMDay&gt;ROUND(((1-(OverNightDiscount_21_Up+FedExExrpessEarnedDiscount))*'1Day AM Base'!E46),2),ROUND(MinBase1AMDay*(1+ExpressFuelSurcharge),2),ROUND(((1-(OverNightDiscount_21_Up+FedExExrpessEarnedDiscount))*'1Day AM Base'!E46)*(1+ExpressFuelSurcharge),2)))*(1+FedEx_Markup),2)</f>
        <v>208.85</v>
      </c>
      <c r="F49" s="218">
        <f>ROUND((IF(MinBase1AMDay&gt;ROUND(((1-(OverNightDiscount_21_Up+FedExExrpessEarnedDiscount))*'1Day AM Base'!F46),2),ROUND(MinBase1AMDay*(1+ExpressFuelSurcharge),2),ROUND(((1-(OverNightDiscount_21_Up+FedExExrpessEarnedDiscount))*'1Day AM Base'!F46)*(1+ExpressFuelSurcharge),2)))*(1+FedEx_Markup),2)</f>
        <v>216.82</v>
      </c>
      <c r="G49" s="218">
        <f>ROUND((IF(MinBase1AMDay&gt;ROUND(((1-(OverNightDiscount_21_Up+FedExExrpessEarnedDiscount))*'1Day AM Base'!G46),2),ROUND(MinBase1AMDay*(1+ExpressFuelSurcharge),2),ROUND(((1-(OverNightDiscount_21_Up+FedExExrpessEarnedDiscount))*'1Day AM Base'!G46)*(1+ExpressFuelSurcharge),2)))*(1+FedEx_Markup),2)</f>
        <v>231.98</v>
      </c>
      <c r="H49" s="218">
        <f>ROUND((IF(MinBase1AMDay&gt;ROUND(((1-(OverNightDiscount_21_Up+FedExExrpessEarnedDiscount))*'1Day AM Base'!H46),2),ROUND(MinBase1AMDay*(1+ExpressFuelSurcharge),2),ROUND(((1-(OverNightDiscount_21_Up+FedExExrpessEarnedDiscount))*'1Day AM Base'!H46)*(1+ExpressFuelSurcharge),2)))*(1+FedEx_Markup),2)</f>
        <v>246.46</v>
      </c>
    </row>
    <row r="50" spans="1:8" ht="12.75" customHeight="1">
      <c r="A50" s="217">
        <v>45</v>
      </c>
      <c r="B50" s="218">
        <f>ROUND((IF(MinBase1AMDay&gt;ROUND(((1-(OverNightDiscount_21_Up+FedExExrpessEarnedDiscount))*'1Day AM Base'!B47),2),ROUND(MinBase1AMDay*(1+ExpressFuelSurcharge),2),ROUND(((1-(OverNightDiscount_21_Up+FedExExrpessEarnedDiscount))*'1Day AM Base'!B47)*(1+ExpressFuelSurcharge),2)))*(1+FedEx_Markup),2)</f>
        <v>72.459999999999994</v>
      </c>
      <c r="C50" s="218">
        <f>ROUND((IF(MinBase1AMDay&gt;ROUND(((1-(OverNightDiscount_21_Up+FedExExrpessEarnedDiscount))*'1Day AM Base'!C47),2),ROUND(MinBase1AMDay*(1+ExpressFuelSurcharge),2),ROUND(((1-(OverNightDiscount_21_Up+FedExExrpessEarnedDiscount))*'1Day AM Base'!C47)*(1+ExpressFuelSurcharge),2)))*(1+FedEx_Markup),2)</f>
        <v>105.25</v>
      </c>
      <c r="D50" s="218">
        <f>ROUND((IF(MinBase1AMDay&gt;ROUND(((1-(OverNightDiscount_21_Up+FedExExrpessEarnedDiscount))*'1Day AM Base'!D47),2),ROUND(MinBase1AMDay*(1+ExpressFuelSurcharge),2),ROUND(((1-(OverNightDiscount_21_Up+FedExExrpessEarnedDiscount))*'1Day AM Base'!D47)*(1+ExpressFuelSurcharge),2)))*(1+FedEx_Markup),2)</f>
        <v>196.56</v>
      </c>
      <c r="E50" s="218">
        <f>ROUND((IF(MinBase1AMDay&gt;ROUND(((1-(OverNightDiscount_21_Up+FedExExrpessEarnedDiscount))*'1Day AM Base'!E47),2),ROUND(MinBase1AMDay*(1+ExpressFuelSurcharge),2),ROUND(((1-(OverNightDiscount_21_Up+FedExExrpessEarnedDiscount))*'1Day AM Base'!E47)*(1+ExpressFuelSurcharge),2)))*(1+FedEx_Markup),2)</f>
        <v>210.91</v>
      </c>
      <c r="F50" s="218">
        <f>ROUND((IF(MinBase1AMDay&gt;ROUND(((1-(OverNightDiscount_21_Up+FedExExrpessEarnedDiscount))*'1Day AM Base'!F47),2),ROUND(MinBase1AMDay*(1+ExpressFuelSurcharge),2),ROUND(((1-(OverNightDiscount_21_Up+FedExExrpessEarnedDiscount))*'1Day AM Base'!F47)*(1+ExpressFuelSurcharge),2)))*(1+FedEx_Markup),2)</f>
        <v>217.2</v>
      </c>
      <c r="G50" s="218">
        <f>ROUND((IF(MinBase1AMDay&gt;ROUND(((1-(OverNightDiscount_21_Up+FedExExrpessEarnedDiscount))*'1Day AM Base'!G47),2),ROUND(MinBase1AMDay*(1+ExpressFuelSurcharge),2),ROUND(((1-(OverNightDiscount_21_Up+FedExExrpessEarnedDiscount))*'1Day AM Base'!G47)*(1+ExpressFuelSurcharge),2)))*(1+FedEx_Markup),2)</f>
        <v>235.74</v>
      </c>
      <c r="H50" s="218">
        <f>ROUND((IF(MinBase1AMDay&gt;ROUND(((1-(OverNightDiscount_21_Up+FedExExrpessEarnedDiscount))*'1Day AM Base'!H47),2),ROUND(MinBase1AMDay*(1+ExpressFuelSurcharge),2),ROUND(((1-(OverNightDiscount_21_Up+FedExExrpessEarnedDiscount))*'1Day AM Base'!H47)*(1+ExpressFuelSurcharge),2)))*(1+FedEx_Markup),2)</f>
        <v>247.18</v>
      </c>
    </row>
    <row r="51" spans="1:8" ht="12.75" customHeight="1">
      <c r="A51" s="217">
        <v>46</v>
      </c>
      <c r="B51" s="218">
        <f>ROUND((IF(MinBase1AMDay&gt;ROUND(((1-(OverNightDiscount_21_Up+FedExExrpessEarnedDiscount))*'1Day AM Base'!B48),2),ROUND(MinBase1AMDay*(1+ExpressFuelSurcharge),2),ROUND(((1-(OverNightDiscount_21_Up+FedExExrpessEarnedDiscount))*'1Day AM Base'!B48)*(1+ExpressFuelSurcharge),2)))*(1+FedEx_Markup),2)</f>
        <v>74.66</v>
      </c>
      <c r="C51" s="218">
        <f>ROUND((IF(MinBase1AMDay&gt;ROUND(((1-(OverNightDiscount_21_Up+FedExExrpessEarnedDiscount))*'1Day AM Base'!C48),2),ROUND(MinBase1AMDay*(1+ExpressFuelSurcharge),2),ROUND(((1-(OverNightDiscount_21_Up+FedExExrpessEarnedDiscount))*'1Day AM Base'!C48)*(1+ExpressFuelSurcharge),2)))*(1+FedEx_Markup),2)</f>
        <v>105.65</v>
      </c>
      <c r="D51" s="218">
        <f>ROUND((IF(MinBase1AMDay&gt;ROUND(((1-(OverNightDiscount_21_Up+FedExExrpessEarnedDiscount))*'1Day AM Base'!D48),2),ROUND(MinBase1AMDay*(1+ExpressFuelSurcharge),2),ROUND(((1-(OverNightDiscount_21_Up+FedExExrpessEarnedDiscount))*'1Day AM Base'!D48)*(1+ExpressFuelSurcharge),2)))*(1+FedEx_Markup),2)</f>
        <v>199.7</v>
      </c>
      <c r="E51" s="218">
        <f>ROUND((IF(MinBase1AMDay&gt;ROUND(((1-(OverNightDiscount_21_Up+FedExExrpessEarnedDiscount))*'1Day AM Base'!E48),2),ROUND(MinBase1AMDay*(1+ExpressFuelSurcharge),2),ROUND(((1-(OverNightDiscount_21_Up+FedExExrpessEarnedDiscount))*'1Day AM Base'!E48)*(1+ExpressFuelSurcharge),2)))*(1+FedEx_Markup),2)</f>
        <v>216.67</v>
      </c>
      <c r="F51" s="218">
        <f>ROUND((IF(MinBase1AMDay&gt;ROUND(((1-(OverNightDiscount_21_Up+FedExExrpessEarnedDiscount))*'1Day AM Base'!F48),2),ROUND(MinBase1AMDay*(1+ExpressFuelSurcharge),2),ROUND(((1-(OverNightDiscount_21_Up+FedExExrpessEarnedDiscount))*'1Day AM Base'!F48)*(1+ExpressFuelSurcharge),2)))*(1+FedEx_Markup),2)</f>
        <v>224.72</v>
      </c>
      <c r="G51" s="218">
        <f>ROUND((IF(MinBase1AMDay&gt;ROUND(((1-(OverNightDiscount_21_Up+FedExExrpessEarnedDiscount))*'1Day AM Base'!G48),2),ROUND(MinBase1AMDay*(1+ExpressFuelSurcharge),2),ROUND(((1-(OverNightDiscount_21_Up+FedExExrpessEarnedDiscount))*'1Day AM Base'!G48)*(1+ExpressFuelSurcharge),2)))*(1+FedEx_Markup),2)</f>
        <v>238.42</v>
      </c>
      <c r="H51" s="218">
        <f>ROUND((IF(MinBase1AMDay&gt;ROUND(((1-(OverNightDiscount_21_Up+FedExExrpessEarnedDiscount))*'1Day AM Base'!H48),2),ROUND(MinBase1AMDay*(1+ExpressFuelSurcharge),2),ROUND(((1-(OverNightDiscount_21_Up+FedExExrpessEarnedDiscount))*'1Day AM Base'!H48)*(1+ExpressFuelSurcharge),2)))*(1+FedEx_Markup),2)</f>
        <v>256.74</v>
      </c>
    </row>
    <row r="52" spans="1:8" ht="12.75" customHeight="1">
      <c r="A52" s="217">
        <v>47</v>
      </c>
      <c r="B52" s="218">
        <f>ROUND((IF(MinBase1AMDay&gt;ROUND(((1-(OverNightDiscount_21_Up+FedExExrpessEarnedDiscount))*'1Day AM Base'!B49),2),ROUND(MinBase1AMDay*(1+ExpressFuelSurcharge),2),ROUND(((1-(OverNightDiscount_21_Up+FedExExrpessEarnedDiscount))*'1Day AM Base'!B49)*(1+ExpressFuelSurcharge),2)))*(1+FedEx_Markup),2)</f>
        <v>75.56</v>
      </c>
      <c r="C52" s="218">
        <f>ROUND((IF(MinBase1AMDay&gt;ROUND(((1-(OverNightDiscount_21_Up+FedExExrpessEarnedDiscount))*'1Day AM Base'!C49),2),ROUND(MinBase1AMDay*(1+ExpressFuelSurcharge),2),ROUND(((1-(OverNightDiscount_21_Up+FedExExrpessEarnedDiscount))*'1Day AM Base'!C49)*(1+ExpressFuelSurcharge),2)))*(1+FedEx_Markup),2)</f>
        <v>107.25</v>
      </c>
      <c r="D52" s="218">
        <f>ROUND((IF(MinBase1AMDay&gt;ROUND(((1-(OverNightDiscount_21_Up+FedExExrpessEarnedDiscount))*'1Day AM Base'!D49),2),ROUND(MinBase1AMDay*(1+ExpressFuelSurcharge),2),ROUND(((1-(OverNightDiscount_21_Up+FedExExrpessEarnedDiscount))*'1Day AM Base'!D49)*(1+ExpressFuelSurcharge),2)))*(1+FedEx_Markup),2)</f>
        <v>200.02</v>
      </c>
      <c r="E52" s="218">
        <f>ROUND((IF(MinBase1AMDay&gt;ROUND(((1-(OverNightDiscount_21_Up+FedExExrpessEarnedDiscount))*'1Day AM Base'!E49),2),ROUND(MinBase1AMDay*(1+ExpressFuelSurcharge),2),ROUND(((1-(OverNightDiscount_21_Up+FedExExrpessEarnedDiscount))*'1Day AM Base'!E49)*(1+ExpressFuelSurcharge),2)))*(1+FedEx_Markup),2)</f>
        <v>217.52</v>
      </c>
      <c r="F52" s="218">
        <f>ROUND((IF(MinBase1AMDay&gt;ROUND(((1-(OverNightDiscount_21_Up+FedExExrpessEarnedDiscount))*'1Day AM Base'!F49),2),ROUND(MinBase1AMDay*(1+ExpressFuelSurcharge),2),ROUND(((1-(OverNightDiscount_21_Up+FedExExrpessEarnedDiscount))*'1Day AM Base'!F49)*(1+ExpressFuelSurcharge),2)))*(1+FedEx_Markup),2)</f>
        <v>225.75</v>
      </c>
      <c r="G52" s="218">
        <f>ROUND((IF(MinBase1AMDay&gt;ROUND(((1-(OverNightDiscount_21_Up+FedExExrpessEarnedDiscount))*'1Day AM Base'!G49),2),ROUND(MinBase1AMDay*(1+ExpressFuelSurcharge),2),ROUND(((1-(OverNightDiscount_21_Up+FedExExrpessEarnedDiscount))*'1Day AM Base'!G49)*(1+ExpressFuelSurcharge),2)))*(1+FedEx_Markup),2)</f>
        <v>239.12</v>
      </c>
      <c r="H52" s="218">
        <f>ROUND((IF(MinBase1AMDay&gt;ROUND(((1-(OverNightDiscount_21_Up+FedExExrpessEarnedDiscount))*'1Day AM Base'!H49),2),ROUND(MinBase1AMDay*(1+ExpressFuelSurcharge),2),ROUND(((1-(OverNightDiscount_21_Up+FedExExrpessEarnedDiscount))*'1Day AM Base'!H49)*(1+ExpressFuelSurcharge),2)))*(1+FedEx_Markup),2)</f>
        <v>257.7</v>
      </c>
    </row>
    <row r="53" spans="1:8" ht="12.75" customHeight="1">
      <c r="A53" s="217">
        <v>48</v>
      </c>
      <c r="B53" s="218">
        <f>ROUND((IF(MinBase1AMDay&gt;ROUND(((1-(OverNightDiscount_21_Up+FedExExrpessEarnedDiscount))*'1Day AM Base'!B50),2),ROUND(MinBase1AMDay*(1+ExpressFuelSurcharge),2),ROUND(((1-(OverNightDiscount_21_Up+FedExExrpessEarnedDiscount))*'1Day AM Base'!B50)*(1+ExpressFuelSurcharge),2)))*(1+FedEx_Markup),2)</f>
        <v>75.650000000000006</v>
      </c>
      <c r="C53" s="218">
        <f>ROUND((IF(MinBase1AMDay&gt;ROUND(((1-(OverNightDiscount_21_Up+FedExExrpessEarnedDiscount))*'1Day AM Base'!C50),2),ROUND(MinBase1AMDay*(1+ExpressFuelSurcharge),2),ROUND(((1-(OverNightDiscount_21_Up+FedExExrpessEarnedDiscount))*'1Day AM Base'!C50)*(1+ExpressFuelSurcharge),2)))*(1+FedEx_Markup),2)</f>
        <v>107.41</v>
      </c>
      <c r="D53" s="218">
        <f>ROUND((IF(MinBase1AMDay&gt;ROUND(((1-(OverNightDiscount_21_Up+FedExExrpessEarnedDiscount))*'1Day AM Base'!D50),2),ROUND(MinBase1AMDay*(1+ExpressFuelSurcharge),2),ROUND(((1-(OverNightDiscount_21_Up+FedExExrpessEarnedDiscount))*'1Day AM Base'!D50)*(1+ExpressFuelSurcharge),2)))*(1+FedEx_Markup),2)</f>
        <v>200.11</v>
      </c>
      <c r="E53" s="218">
        <f>ROUND((IF(MinBase1AMDay&gt;ROUND(((1-(OverNightDiscount_21_Up+FedExExrpessEarnedDiscount))*'1Day AM Base'!E50),2),ROUND(MinBase1AMDay*(1+ExpressFuelSurcharge),2),ROUND(((1-(OverNightDiscount_21_Up+FedExExrpessEarnedDiscount))*'1Day AM Base'!E50)*(1+ExpressFuelSurcharge),2)))*(1+FedEx_Markup),2)</f>
        <v>219.1</v>
      </c>
      <c r="F53" s="218">
        <f>ROUND((IF(MinBase1AMDay&gt;ROUND(((1-(OverNightDiscount_21_Up+FedExExrpessEarnedDiscount))*'1Day AM Base'!F50),2),ROUND(MinBase1AMDay*(1+ExpressFuelSurcharge),2),ROUND(((1-(OverNightDiscount_21_Up+FedExExrpessEarnedDiscount))*'1Day AM Base'!F50)*(1+ExpressFuelSurcharge),2)))*(1+FedEx_Markup),2)</f>
        <v>225.85</v>
      </c>
      <c r="G53" s="218">
        <f>ROUND((IF(MinBase1AMDay&gt;ROUND(((1-(OverNightDiscount_21_Up+FedExExrpessEarnedDiscount))*'1Day AM Base'!G50),2),ROUND(MinBase1AMDay*(1+ExpressFuelSurcharge),2),ROUND(((1-(OverNightDiscount_21_Up+FedExExrpessEarnedDiscount))*'1Day AM Base'!G50)*(1+ExpressFuelSurcharge),2)))*(1+FedEx_Markup),2)</f>
        <v>243.47</v>
      </c>
      <c r="H53" s="218">
        <f>ROUND((IF(MinBase1AMDay&gt;ROUND(((1-(OverNightDiscount_21_Up+FedExExrpessEarnedDiscount))*'1Day AM Base'!H50),2),ROUND(MinBase1AMDay*(1+ExpressFuelSurcharge),2),ROUND(((1-(OverNightDiscount_21_Up+FedExExrpessEarnedDiscount))*'1Day AM Base'!H50)*(1+ExpressFuelSurcharge),2)))*(1+FedEx_Markup),2)</f>
        <v>257.85000000000002</v>
      </c>
    </row>
    <row r="54" spans="1:8" ht="12.75" customHeight="1">
      <c r="A54" s="217">
        <v>49</v>
      </c>
      <c r="B54" s="218">
        <f>ROUND((IF(MinBase1AMDay&gt;ROUND(((1-(OverNightDiscount_21_Up+FedExExrpessEarnedDiscount))*'1Day AM Base'!B51),2),ROUND(MinBase1AMDay*(1+ExpressFuelSurcharge),2),ROUND(((1-(OverNightDiscount_21_Up+FedExExrpessEarnedDiscount))*'1Day AM Base'!B51)*(1+ExpressFuelSurcharge),2)))*(1+FedEx_Markup),2)</f>
        <v>75.77</v>
      </c>
      <c r="C54" s="218">
        <f>ROUND((IF(MinBase1AMDay&gt;ROUND(((1-(OverNightDiscount_21_Up+FedExExrpessEarnedDiscount))*'1Day AM Base'!C51),2),ROUND(MinBase1AMDay*(1+ExpressFuelSurcharge),2),ROUND(((1-(OverNightDiscount_21_Up+FedExExrpessEarnedDiscount))*'1Day AM Base'!C51)*(1+ExpressFuelSurcharge),2)))*(1+FedEx_Markup),2)</f>
        <v>107.55</v>
      </c>
      <c r="D54" s="218">
        <f>ROUND((IF(MinBase1AMDay&gt;ROUND(((1-(OverNightDiscount_21_Up+FedExExrpessEarnedDiscount))*'1Day AM Base'!D51),2),ROUND(MinBase1AMDay*(1+ExpressFuelSurcharge),2),ROUND(((1-(OverNightDiscount_21_Up+FedExExrpessEarnedDiscount))*'1Day AM Base'!D51)*(1+ExpressFuelSurcharge),2)))*(1+FedEx_Markup),2)</f>
        <v>200.22</v>
      </c>
      <c r="E54" s="218">
        <f>ROUND((IF(MinBase1AMDay&gt;ROUND(((1-(OverNightDiscount_21_Up+FedExExrpessEarnedDiscount))*'1Day AM Base'!E51),2),ROUND(MinBase1AMDay*(1+ExpressFuelSurcharge),2),ROUND(((1-(OverNightDiscount_21_Up+FedExExrpessEarnedDiscount))*'1Day AM Base'!E51)*(1+ExpressFuelSurcharge),2)))*(1+FedEx_Markup),2)</f>
        <v>219.26</v>
      </c>
      <c r="F54" s="218">
        <f>ROUND((IF(MinBase1AMDay&gt;ROUND(((1-(OverNightDiscount_21_Up+FedExExrpessEarnedDiscount))*'1Day AM Base'!F51),2),ROUND(MinBase1AMDay*(1+ExpressFuelSurcharge),2),ROUND(((1-(OverNightDiscount_21_Up+FedExExrpessEarnedDiscount))*'1Day AM Base'!F51)*(1+ExpressFuelSurcharge),2)))*(1+FedEx_Markup),2)</f>
        <v>225.94</v>
      </c>
      <c r="G54" s="218">
        <f>ROUND((IF(MinBase1AMDay&gt;ROUND(((1-(OverNightDiscount_21_Up+FedExExrpessEarnedDiscount))*'1Day AM Base'!G51),2),ROUND(MinBase1AMDay*(1+ExpressFuelSurcharge),2),ROUND(((1-(OverNightDiscount_21_Up+FedExExrpessEarnedDiscount))*'1Day AM Base'!G51)*(1+ExpressFuelSurcharge),2)))*(1+FedEx_Markup),2)</f>
        <v>243.9</v>
      </c>
      <c r="H54" s="218">
        <f>ROUND((IF(MinBase1AMDay&gt;ROUND(((1-(OverNightDiscount_21_Up+FedExExrpessEarnedDiscount))*'1Day AM Base'!H51),2),ROUND(MinBase1AMDay*(1+ExpressFuelSurcharge),2),ROUND(((1-(OverNightDiscount_21_Up+FedExExrpessEarnedDiscount))*'1Day AM Base'!H51)*(1+ExpressFuelSurcharge),2)))*(1+FedEx_Markup),2)</f>
        <v>257.98</v>
      </c>
    </row>
    <row r="55" spans="1:8" ht="12.75" customHeight="1">
      <c r="A55" s="217">
        <v>50</v>
      </c>
      <c r="B55" s="218">
        <f>ROUND((IF(MinBase1AMDay&gt;ROUND(((1-(OverNightDiscount_21_Up+FedExExrpessEarnedDiscount))*'1Day AM Base'!B52),2),ROUND(MinBase1AMDay*(1+ExpressFuelSurcharge),2),ROUND(((1-(OverNightDiscount_21_Up+FedExExrpessEarnedDiscount))*'1Day AM Base'!B52)*(1+ExpressFuelSurcharge),2)))*(1+FedEx_Markup),2)</f>
        <v>76.209999999999994</v>
      </c>
      <c r="C55" s="218">
        <f>ROUND((IF(MinBase1AMDay&gt;ROUND(((1-(OverNightDiscount_21_Up+FedExExrpessEarnedDiscount))*'1Day AM Base'!C52),2),ROUND(MinBase1AMDay*(1+ExpressFuelSurcharge),2),ROUND(((1-(OverNightDiscount_21_Up+FedExExrpessEarnedDiscount))*'1Day AM Base'!C52)*(1+ExpressFuelSurcharge),2)))*(1+FedEx_Markup),2)</f>
        <v>110.18</v>
      </c>
      <c r="D55" s="218">
        <f>ROUND((IF(MinBase1AMDay&gt;ROUND(((1-(OverNightDiscount_21_Up+FedExExrpessEarnedDiscount))*'1Day AM Base'!D52),2),ROUND(MinBase1AMDay*(1+ExpressFuelSurcharge),2),ROUND(((1-(OverNightDiscount_21_Up+FedExExrpessEarnedDiscount))*'1Day AM Base'!D52)*(1+ExpressFuelSurcharge),2)))*(1+FedEx_Markup),2)</f>
        <v>201.01</v>
      </c>
      <c r="E55" s="218">
        <f>ROUND((IF(MinBase1AMDay&gt;ROUND(((1-(OverNightDiscount_21_Up+FedExExrpessEarnedDiscount))*'1Day AM Base'!E52),2),ROUND(MinBase1AMDay*(1+ExpressFuelSurcharge),2),ROUND(((1-(OverNightDiscount_21_Up+FedExExrpessEarnedDiscount))*'1Day AM Base'!E52)*(1+ExpressFuelSurcharge),2)))*(1+FedEx_Markup),2)</f>
        <v>220.32</v>
      </c>
      <c r="F55" s="218">
        <f>ROUND((IF(MinBase1AMDay&gt;ROUND(((1-(OverNightDiscount_21_Up+FedExExrpessEarnedDiscount))*'1Day AM Base'!F52),2),ROUND(MinBase1AMDay*(1+ExpressFuelSurcharge),2),ROUND(((1-(OverNightDiscount_21_Up+FedExExrpessEarnedDiscount))*'1Day AM Base'!F52)*(1+ExpressFuelSurcharge),2)))*(1+FedEx_Markup),2)</f>
        <v>226.93</v>
      </c>
      <c r="G55" s="218">
        <f>ROUND((IF(MinBase1AMDay&gt;ROUND(((1-(OverNightDiscount_21_Up+FedExExrpessEarnedDiscount))*'1Day AM Base'!G52),2),ROUND(MinBase1AMDay*(1+ExpressFuelSurcharge),2),ROUND(((1-(OverNightDiscount_21_Up+FedExExrpessEarnedDiscount))*'1Day AM Base'!G52)*(1+ExpressFuelSurcharge),2)))*(1+FedEx_Markup),2)</f>
        <v>244.92</v>
      </c>
      <c r="H55" s="218">
        <f>ROUND((IF(MinBase1AMDay&gt;ROUND(((1-(OverNightDiscount_21_Up+FedExExrpessEarnedDiscount))*'1Day AM Base'!H52),2),ROUND(MinBase1AMDay*(1+ExpressFuelSurcharge),2),ROUND(((1-(OverNightDiscount_21_Up+FedExExrpessEarnedDiscount))*'1Day AM Base'!H52)*(1+ExpressFuelSurcharge),2)))*(1+FedEx_Markup),2)</f>
        <v>258.73</v>
      </c>
    </row>
    <row r="56" spans="1:8" ht="12.75" customHeight="1">
      <c r="A56" s="217">
        <v>51</v>
      </c>
      <c r="B56" s="218">
        <f>ROUND((IF(MinBase1AMDay&gt;ROUND(((1-(OverNightDiscount_21_Up+FedExExrpessEarnedDiscount))*'1Day AM Base'!B53),2),ROUND(MinBase1AMDay*(1+ExpressFuelSurcharge),2),ROUND(((1-(OverNightDiscount_21_Up+FedExExrpessEarnedDiscount))*'1Day AM Base'!B53)*(1+ExpressFuelSurcharge),2)))*(1+FedEx_Markup),2)</f>
        <v>84.8</v>
      </c>
      <c r="C56" s="218">
        <f>ROUND((IF(MinBase1AMDay&gt;ROUND(((1-(OverNightDiscount_21_Up+FedExExrpessEarnedDiscount))*'1Day AM Base'!C53),2),ROUND(MinBase1AMDay*(1+ExpressFuelSurcharge),2),ROUND(((1-(OverNightDiscount_21_Up+FedExExrpessEarnedDiscount))*'1Day AM Base'!C53)*(1+ExpressFuelSurcharge),2)))*(1+FedEx_Markup),2)</f>
        <v>120.19</v>
      </c>
      <c r="D56" s="218">
        <f>ROUND((IF(MinBase1AMDay&gt;ROUND(((1-(OverNightDiscount_21_Up+FedExExrpessEarnedDiscount))*'1Day AM Base'!D53),2),ROUND(MinBase1AMDay*(1+ExpressFuelSurcharge),2),ROUND(((1-(OverNightDiscount_21_Up+FedExExrpessEarnedDiscount))*'1Day AM Base'!D53)*(1+ExpressFuelSurcharge),2)))*(1+FedEx_Markup),2)</f>
        <v>216.96</v>
      </c>
      <c r="E56" s="218">
        <f>ROUND((IF(MinBase1AMDay&gt;ROUND(((1-(OverNightDiscount_21_Up+FedExExrpessEarnedDiscount))*'1Day AM Base'!E53),2),ROUND(MinBase1AMDay*(1+ExpressFuelSurcharge),2),ROUND(((1-(OverNightDiscount_21_Up+FedExExrpessEarnedDiscount))*'1Day AM Base'!E53)*(1+ExpressFuelSurcharge),2)))*(1+FedEx_Markup),2)</f>
        <v>241.53</v>
      </c>
      <c r="F56" s="218">
        <f>ROUND((IF(MinBase1AMDay&gt;ROUND(((1-(OverNightDiscount_21_Up+FedExExrpessEarnedDiscount))*'1Day AM Base'!F53),2),ROUND(MinBase1AMDay*(1+ExpressFuelSurcharge),2),ROUND(((1-(OverNightDiscount_21_Up+FedExExrpessEarnedDiscount))*'1Day AM Base'!F53)*(1+ExpressFuelSurcharge),2)))*(1+FedEx_Markup),2)</f>
        <v>246.42</v>
      </c>
      <c r="G56" s="218">
        <f>ROUND((IF(MinBase1AMDay&gt;ROUND(((1-(OverNightDiscount_21_Up+FedExExrpessEarnedDiscount))*'1Day AM Base'!G53),2),ROUND(MinBase1AMDay*(1+ExpressFuelSurcharge),2),ROUND(((1-(OverNightDiscount_21_Up+FedExExrpessEarnedDiscount))*'1Day AM Base'!G53)*(1+ExpressFuelSurcharge),2)))*(1+FedEx_Markup),2)</f>
        <v>264.98</v>
      </c>
      <c r="H56" s="218">
        <f>ROUND((IF(MinBase1AMDay&gt;ROUND(((1-(OverNightDiscount_21_Up+FedExExrpessEarnedDiscount))*'1Day AM Base'!H53),2),ROUND(MinBase1AMDay*(1+ExpressFuelSurcharge),2),ROUND(((1-(OverNightDiscount_21_Up+FedExExrpessEarnedDiscount))*'1Day AM Base'!H53)*(1+ExpressFuelSurcharge),2)))*(1+FedEx_Markup),2)</f>
        <v>270.3</v>
      </c>
    </row>
    <row r="57" spans="1:8" ht="12.75" customHeight="1">
      <c r="A57" s="217">
        <v>52</v>
      </c>
      <c r="B57" s="218">
        <f>ROUND((IF(MinBase1AMDay&gt;ROUND(((1-(OverNightDiscount_21_Up+FedExExrpessEarnedDiscount))*'1Day AM Base'!B54),2),ROUND(MinBase1AMDay*(1+ExpressFuelSurcharge),2),ROUND(((1-(OverNightDiscount_21_Up+FedExExrpessEarnedDiscount))*'1Day AM Base'!B54)*(1+ExpressFuelSurcharge),2)))*(1+FedEx_Markup),2)</f>
        <v>86.09</v>
      </c>
      <c r="C57" s="218">
        <f>ROUND((IF(MinBase1AMDay&gt;ROUND(((1-(OverNightDiscount_21_Up+FedExExrpessEarnedDiscount))*'1Day AM Base'!C54),2),ROUND(MinBase1AMDay*(1+ExpressFuelSurcharge),2),ROUND(((1-(OverNightDiscount_21_Up+FedExExrpessEarnedDiscount))*'1Day AM Base'!C54)*(1+ExpressFuelSurcharge),2)))*(1+FedEx_Markup),2)</f>
        <v>126.48</v>
      </c>
      <c r="D57" s="218">
        <f>ROUND((IF(MinBase1AMDay&gt;ROUND(((1-(OverNightDiscount_21_Up+FedExExrpessEarnedDiscount))*'1Day AM Base'!D54),2),ROUND(MinBase1AMDay*(1+ExpressFuelSurcharge),2),ROUND(((1-(OverNightDiscount_21_Up+FedExExrpessEarnedDiscount))*'1Day AM Base'!D54)*(1+ExpressFuelSurcharge),2)))*(1+FedEx_Markup),2)</f>
        <v>232.53</v>
      </c>
      <c r="E57" s="218">
        <f>ROUND((IF(MinBase1AMDay&gt;ROUND(((1-(OverNightDiscount_21_Up+FedExExrpessEarnedDiscount))*'1Day AM Base'!E54),2),ROUND(MinBase1AMDay*(1+ExpressFuelSurcharge),2),ROUND(((1-(OverNightDiscount_21_Up+FedExExrpessEarnedDiscount))*'1Day AM Base'!E54)*(1+ExpressFuelSurcharge),2)))*(1+FedEx_Markup),2)</f>
        <v>246.27</v>
      </c>
      <c r="F57" s="218">
        <f>ROUND((IF(MinBase1AMDay&gt;ROUND(((1-(OverNightDiscount_21_Up+FedExExrpessEarnedDiscount))*'1Day AM Base'!F54),2),ROUND(MinBase1AMDay*(1+ExpressFuelSurcharge),2),ROUND(((1-(OverNightDiscount_21_Up+FedExExrpessEarnedDiscount))*'1Day AM Base'!F54)*(1+ExpressFuelSurcharge),2)))*(1+FedEx_Markup),2)</f>
        <v>255.47</v>
      </c>
      <c r="G57" s="218">
        <f>ROUND((IF(MinBase1AMDay&gt;ROUND(((1-(OverNightDiscount_21_Up+FedExExrpessEarnedDiscount))*'1Day AM Base'!G54),2),ROUND(MinBase1AMDay*(1+ExpressFuelSurcharge),2),ROUND(((1-(OverNightDiscount_21_Up+FedExExrpessEarnedDiscount))*'1Day AM Base'!G54)*(1+ExpressFuelSurcharge),2)))*(1+FedEx_Markup),2)</f>
        <v>277.05</v>
      </c>
      <c r="H57" s="218">
        <f>ROUND((IF(MinBase1AMDay&gt;ROUND(((1-(OverNightDiscount_21_Up+FedExExrpessEarnedDiscount))*'1Day AM Base'!H54),2),ROUND(MinBase1AMDay*(1+ExpressFuelSurcharge),2),ROUND(((1-(OverNightDiscount_21_Up+FedExExrpessEarnedDiscount))*'1Day AM Base'!H54)*(1+ExpressFuelSurcharge),2)))*(1+FedEx_Markup),2)</f>
        <v>289.45999999999998</v>
      </c>
    </row>
    <row r="58" spans="1:8" ht="12.75" customHeight="1">
      <c r="A58" s="217">
        <v>53</v>
      </c>
      <c r="B58" s="218">
        <f>ROUND((IF(MinBase1AMDay&gt;ROUND(((1-(OverNightDiscount_21_Up+FedExExrpessEarnedDiscount))*'1Day AM Base'!B55),2),ROUND(MinBase1AMDay*(1+ExpressFuelSurcharge),2),ROUND(((1-(OverNightDiscount_21_Up+FedExExrpessEarnedDiscount))*'1Day AM Base'!B55)*(1+ExpressFuelSurcharge),2)))*(1+FedEx_Markup),2)</f>
        <v>87.03</v>
      </c>
      <c r="C58" s="218">
        <f>ROUND((IF(MinBase1AMDay&gt;ROUND(((1-(OverNightDiscount_21_Up+FedExExrpessEarnedDiscount))*'1Day AM Base'!C55),2),ROUND(MinBase1AMDay*(1+ExpressFuelSurcharge),2),ROUND(((1-(OverNightDiscount_21_Up+FedExExrpessEarnedDiscount))*'1Day AM Base'!C55)*(1+ExpressFuelSurcharge),2)))*(1+FedEx_Markup),2)</f>
        <v>127.11</v>
      </c>
      <c r="D58" s="218">
        <f>ROUND((IF(MinBase1AMDay&gt;ROUND(((1-(OverNightDiscount_21_Up+FedExExrpessEarnedDiscount))*'1Day AM Base'!D55),2),ROUND(MinBase1AMDay*(1+ExpressFuelSurcharge),2),ROUND(((1-(OverNightDiscount_21_Up+FedExExrpessEarnedDiscount))*'1Day AM Base'!D55)*(1+ExpressFuelSurcharge),2)))*(1+FedEx_Markup),2)</f>
        <v>234.08</v>
      </c>
      <c r="E58" s="218">
        <f>ROUND((IF(MinBase1AMDay&gt;ROUND(((1-(OverNightDiscount_21_Up+FedExExrpessEarnedDiscount))*'1Day AM Base'!E55),2),ROUND(MinBase1AMDay*(1+ExpressFuelSurcharge),2),ROUND(((1-(OverNightDiscount_21_Up+FedExExrpessEarnedDiscount))*'1Day AM Base'!E55)*(1+ExpressFuelSurcharge),2)))*(1+FedEx_Markup),2)</f>
        <v>251.11</v>
      </c>
      <c r="F58" s="218">
        <f>ROUND((IF(MinBase1AMDay&gt;ROUND(((1-(OverNightDiscount_21_Up+FedExExrpessEarnedDiscount))*'1Day AM Base'!F55),2),ROUND(MinBase1AMDay*(1+ExpressFuelSurcharge),2),ROUND(((1-(OverNightDiscount_21_Up+FedExExrpessEarnedDiscount))*'1Day AM Base'!F55)*(1+ExpressFuelSurcharge),2)))*(1+FedEx_Markup),2)</f>
        <v>256.38</v>
      </c>
      <c r="G58" s="218">
        <f>ROUND((IF(MinBase1AMDay&gt;ROUND(((1-(OverNightDiscount_21_Up+FedExExrpessEarnedDiscount))*'1Day AM Base'!G55),2),ROUND(MinBase1AMDay*(1+ExpressFuelSurcharge),2),ROUND(((1-(OverNightDiscount_21_Up+FedExExrpessEarnedDiscount))*'1Day AM Base'!G55)*(1+ExpressFuelSurcharge),2)))*(1+FedEx_Markup),2)</f>
        <v>285.12</v>
      </c>
      <c r="H58" s="218">
        <f>ROUND((IF(MinBase1AMDay&gt;ROUND(((1-(OverNightDiscount_21_Up+FedExExrpessEarnedDiscount))*'1Day AM Base'!H55),2),ROUND(MinBase1AMDay*(1+ExpressFuelSurcharge),2),ROUND(((1-(OverNightDiscount_21_Up+FedExExrpessEarnedDiscount))*'1Day AM Base'!H55)*(1+ExpressFuelSurcharge),2)))*(1+FedEx_Markup),2)</f>
        <v>291.38</v>
      </c>
    </row>
    <row r="59" spans="1:8" ht="12.75" customHeight="1">
      <c r="A59" s="217">
        <v>54</v>
      </c>
      <c r="B59" s="218">
        <f>ROUND((IF(MinBase1AMDay&gt;ROUND(((1-(OverNightDiscount_21_Up+FedExExrpessEarnedDiscount))*'1Day AM Base'!B56),2),ROUND(MinBase1AMDay*(1+ExpressFuelSurcharge),2),ROUND(((1-(OverNightDiscount_21_Up+FedExExrpessEarnedDiscount))*'1Day AM Base'!B56)*(1+ExpressFuelSurcharge),2)))*(1+FedEx_Markup),2)</f>
        <v>87.3</v>
      </c>
      <c r="C59" s="218">
        <f>ROUND((IF(MinBase1AMDay&gt;ROUND(((1-(OverNightDiscount_21_Up+FedExExrpessEarnedDiscount))*'1Day AM Base'!C56),2),ROUND(MinBase1AMDay*(1+ExpressFuelSurcharge),2),ROUND(((1-(OverNightDiscount_21_Up+FedExExrpessEarnedDiscount))*'1Day AM Base'!C56)*(1+ExpressFuelSurcharge),2)))*(1+FedEx_Markup),2)</f>
        <v>127.39</v>
      </c>
      <c r="D59" s="218">
        <f>ROUND((IF(MinBase1AMDay&gt;ROUND(((1-(OverNightDiscount_21_Up+FedExExrpessEarnedDiscount))*'1Day AM Base'!D56),2),ROUND(MinBase1AMDay*(1+ExpressFuelSurcharge),2),ROUND(((1-(OverNightDiscount_21_Up+FedExExrpessEarnedDiscount))*'1Day AM Base'!D56)*(1+ExpressFuelSurcharge),2)))*(1+FedEx_Markup),2)</f>
        <v>234.34</v>
      </c>
      <c r="E59" s="218">
        <f>ROUND((IF(MinBase1AMDay&gt;ROUND(((1-(OverNightDiscount_21_Up+FedExExrpessEarnedDiscount))*'1Day AM Base'!E56),2),ROUND(MinBase1AMDay*(1+ExpressFuelSurcharge),2),ROUND(((1-(OverNightDiscount_21_Up+FedExExrpessEarnedDiscount))*'1Day AM Base'!E56)*(1+ExpressFuelSurcharge),2)))*(1+FedEx_Markup),2)</f>
        <v>251.61</v>
      </c>
      <c r="F59" s="218">
        <f>ROUND((IF(MinBase1AMDay&gt;ROUND(((1-(OverNightDiscount_21_Up+FedExExrpessEarnedDiscount))*'1Day AM Base'!F56),2),ROUND(MinBase1AMDay*(1+ExpressFuelSurcharge),2),ROUND(((1-(OverNightDiscount_21_Up+FedExExrpessEarnedDiscount))*'1Day AM Base'!F56)*(1+ExpressFuelSurcharge),2)))*(1+FedEx_Markup),2)</f>
        <v>256.64999999999998</v>
      </c>
      <c r="G59" s="218">
        <f>ROUND((IF(MinBase1AMDay&gt;ROUND(((1-(OverNightDiscount_21_Up+FedExExrpessEarnedDiscount))*'1Day AM Base'!G56),2),ROUND(MinBase1AMDay*(1+ExpressFuelSurcharge),2),ROUND(((1-(OverNightDiscount_21_Up+FedExExrpessEarnedDiscount))*'1Day AM Base'!G56)*(1+ExpressFuelSurcharge),2)))*(1+FedEx_Markup),2)</f>
        <v>285.94</v>
      </c>
      <c r="H59" s="218">
        <f>ROUND((IF(MinBase1AMDay&gt;ROUND(((1-(OverNightDiscount_21_Up+FedExExrpessEarnedDiscount))*'1Day AM Base'!H56),2),ROUND(MinBase1AMDay*(1+ExpressFuelSurcharge),2),ROUND(((1-(OverNightDiscount_21_Up+FedExExrpessEarnedDiscount))*'1Day AM Base'!H56)*(1+ExpressFuelSurcharge),2)))*(1+FedEx_Markup),2)</f>
        <v>291.66000000000003</v>
      </c>
    </row>
    <row r="60" spans="1:8" ht="12.75" customHeight="1">
      <c r="A60" s="217">
        <v>55</v>
      </c>
      <c r="B60" s="218">
        <f>ROUND((IF(MinBase1AMDay&gt;ROUND(((1-(OverNightDiscount_21_Up+FedExExrpessEarnedDiscount))*'1Day AM Base'!B57),2),ROUND(MinBase1AMDay*(1+ExpressFuelSurcharge),2),ROUND(((1-(OverNightDiscount_21_Up+FedExExrpessEarnedDiscount))*'1Day AM Base'!B57)*(1+ExpressFuelSurcharge),2)))*(1+FedEx_Markup),2)</f>
        <v>87.94</v>
      </c>
      <c r="C60" s="218">
        <f>ROUND((IF(MinBase1AMDay&gt;ROUND(((1-(OverNightDiscount_21_Up+FedExExrpessEarnedDiscount))*'1Day AM Base'!C57),2),ROUND(MinBase1AMDay*(1+ExpressFuelSurcharge),2),ROUND(((1-(OverNightDiscount_21_Up+FedExExrpessEarnedDiscount))*'1Day AM Base'!C57)*(1+ExpressFuelSurcharge),2)))*(1+FedEx_Markup),2)</f>
        <v>129.59</v>
      </c>
      <c r="D60" s="218">
        <f>ROUND((IF(MinBase1AMDay&gt;ROUND(((1-(OverNightDiscount_21_Up+FedExExrpessEarnedDiscount))*'1Day AM Base'!D57),2),ROUND(MinBase1AMDay*(1+ExpressFuelSurcharge),2),ROUND(((1-(OverNightDiscount_21_Up+FedExExrpessEarnedDiscount))*'1Day AM Base'!D57)*(1+ExpressFuelSurcharge),2)))*(1+FedEx_Markup),2)</f>
        <v>236.03</v>
      </c>
      <c r="E60" s="218">
        <f>ROUND((IF(MinBase1AMDay&gt;ROUND(((1-(OverNightDiscount_21_Up+FedExExrpessEarnedDiscount))*'1Day AM Base'!E57),2),ROUND(MinBase1AMDay*(1+ExpressFuelSurcharge),2),ROUND(((1-(OverNightDiscount_21_Up+FedExExrpessEarnedDiscount))*'1Day AM Base'!E57)*(1+ExpressFuelSurcharge),2)))*(1+FedEx_Markup),2)</f>
        <v>252.23</v>
      </c>
      <c r="F60" s="218">
        <f>ROUND((IF(MinBase1AMDay&gt;ROUND(((1-(OverNightDiscount_21_Up+FedExExrpessEarnedDiscount))*'1Day AM Base'!F57),2),ROUND(MinBase1AMDay*(1+ExpressFuelSurcharge),2),ROUND(((1-(OverNightDiscount_21_Up+FedExExrpessEarnedDiscount))*'1Day AM Base'!F57)*(1+ExpressFuelSurcharge),2)))*(1+FedEx_Markup),2)</f>
        <v>257.27999999999997</v>
      </c>
      <c r="G60" s="218">
        <f>ROUND((IF(MinBase1AMDay&gt;ROUND(((1-(OverNightDiscount_21_Up+FedExExrpessEarnedDiscount))*'1Day AM Base'!G57),2),ROUND(MinBase1AMDay*(1+ExpressFuelSurcharge),2),ROUND(((1-(OverNightDiscount_21_Up+FedExExrpessEarnedDiscount))*'1Day AM Base'!G57)*(1+ExpressFuelSurcharge),2)))*(1+FedEx_Markup),2)</f>
        <v>291.19</v>
      </c>
      <c r="H60" s="218">
        <f>ROUND((IF(MinBase1AMDay&gt;ROUND(((1-(OverNightDiscount_21_Up+FedExExrpessEarnedDiscount))*'1Day AM Base'!H57),2),ROUND(MinBase1AMDay*(1+ExpressFuelSurcharge),2),ROUND(((1-(OverNightDiscount_21_Up+FedExExrpessEarnedDiscount))*'1Day AM Base'!H57)*(1+ExpressFuelSurcharge),2)))*(1+FedEx_Markup),2)</f>
        <v>297.14999999999998</v>
      </c>
    </row>
    <row r="61" spans="1:8" ht="12.75" customHeight="1">
      <c r="A61" s="217">
        <v>56</v>
      </c>
      <c r="B61" s="218">
        <f>ROUND((IF(MinBase1AMDay&gt;ROUND(((1-(OverNightDiscount_21_Up+FedExExrpessEarnedDiscount))*'1Day AM Base'!B58),2),ROUND(MinBase1AMDay*(1+ExpressFuelSurcharge),2),ROUND(((1-(OverNightDiscount_21_Up+FedExExrpessEarnedDiscount))*'1Day AM Base'!B58)*(1+ExpressFuelSurcharge),2)))*(1+FedEx_Markup),2)</f>
        <v>93.97</v>
      </c>
      <c r="C61" s="218">
        <f>ROUND((IF(MinBase1AMDay&gt;ROUND(((1-(OverNightDiscount_21_Up+FedExExrpessEarnedDiscount))*'1Day AM Base'!C58),2),ROUND(MinBase1AMDay*(1+ExpressFuelSurcharge),2),ROUND(((1-(OverNightDiscount_21_Up+FedExExrpessEarnedDiscount))*'1Day AM Base'!C58)*(1+ExpressFuelSurcharge),2)))*(1+FedEx_Markup),2)</f>
        <v>136.85</v>
      </c>
      <c r="D61" s="218">
        <f>ROUND((IF(MinBase1AMDay&gt;ROUND(((1-(OverNightDiscount_21_Up+FedExExrpessEarnedDiscount))*'1Day AM Base'!D58),2),ROUND(MinBase1AMDay*(1+ExpressFuelSurcharge),2),ROUND(((1-(OverNightDiscount_21_Up+FedExExrpessEarnedDiscount))*'1Day AM Base'!D58)*(1+ExpressFuelSurcharge),2)))*(1+FedEx_Markup),2)</f>
        <v>236.28</v>
      </c>
      <c r="E61" s="218">
        <f>ROUND((IF(MinBase1AMDay&gt;ROUND(((1-(OverNightDiscount_21_Up+FedExExrpessEarnedDiscount))*'1Day AM Base'!E58),2),ROUND(MinBase1AMDay*(1+ExpressFuelSurcharge),2),ROUND(((1-(OverNightDiscount_21_Up+FedExExrpessEarnedDiscount))*'1Day AM Base'!E58)*(1+ExpressFuelSurcharge),2)))*(1+FedEx_Markup),2)</f>
        <v>259.14999999999998</v>
      </c>
      <c r="F61" s="218">
        <f>ROUND((IF(MinBase1AMDay&gt;ROUND(((1-(OverNightDiscount_21_Up+FedExExrpessEarnedDiscount))*'1Day AM Base'!F58),2),ROUND(MinBase1AMDay*(1+ExpressFuelSurcharge),2),ROUND(((1-(OverNightDiscount_21_Up+FedExExrpessEarnedDiscount))*'1Day AM Base'!F58)*(1+ExpressFuelSurcharge),2)))*(1+FedEx_Markup),2)</f>
        <v>264.8</v>
      </c>
      <c r="G61" s="218">
        <f>ROUND((IF(MinBase1AMDay&gt;ROUND(((1-(OverNightDiscount_21_Up+FedExExrpessEarnedDiscount))*'1Day AM Base'!G58),2),ROUND(MinBase1AMDay*(1+ExpressFuelSurcharge),2),ROUND(((1-(OverNightDiscount_21_Up+FedExExrpessEarnedDiscount))*'1Day AM Base'!G58)*(1+ExpressFuelSurcharge),2)))*(1+FedEx_Markup),2)</f>
        <v>291.72000000000003</v>
      </c>
      <c r="H61" s="218">
        <f>ROUND((IF(MinBase1AMDay&gt;ROUND(((1-(OverNightDiscount_21_Up+FedExExrpessEarnedDiscount))*'1Day AM Base'!H58),2),ROUND(MinBase1AMDay*(1+ExpressFuelSurcharge),2),ROUND(((1-(OverNightDiscount_21_Up+FedExExrpessEarnedDiscount))*'1Day AM Base'!H58)*(1+ExpressFuelSurcharge),2)))*(1+FedEx_Markup),2)</f>
        <v>297.7</v>
      </c>
    </row>
    <row r="62" spans="1:8" ht="12.75" customHeight="1">
      <c r="A62" s="217">
        <v>57</v>
      </c>
      <c r="B62" s="218">
        <f>ROUND((IF(MinBase1AMDay&gt;ROUND(((1-(OverNightDiscount_21_Up+FedExExrpessEarnedDiscount))*'1Day AM Base'!B59),2),ROUND(MinBase1AMDay*(1+ExpressFuelSurcharge),2),ROUND(((1-(OverNightDiscount_21_Up+FedExExrpessEarnedDiscount))*'1Day AM Base'!B59)*(1+ExpressFuelSurcharge),2)))*(1+FedEx_Markup),2)</f>
        <v>94.77</v>
      </c>
      <c r="C62" s="218">
        <f>ROUND((IF(MinBase1AMDay&gt;ROUND(((1-(OverNightDiscount_21_Up+FedExExrpessEarnedDiscount))*'1Day AM Base'!C59),2),ROUND(MinBase1AMDay*(1+ExpressFuelSurcharge),2),ROUND(((1-(OverNightDiscount_21_Up+FedExExrpessEarnedDiscount))*'1Day AM Base'!C59)*(1+ExpressFuelSurcharge),2)))*(1+FedEx_Markup),2)</f>
        <v>140.83000000000001</v>
      </c>
      <c r="D62" s="218">
        <f>ROUND((IF(MinBase1AMDay&gt;ROUND(((1-(OverNightDiscount_21_Up+FedExExrpessEarnedDiscount))*'1Day AM Base'!D59),2),ROUND(MinBase1AMDay*(1+ExpressFuelSurcharge),2),ROUND(((1-(OverNightDiscount_21_Up+FedExExrpessEarnedDiscount))*'1Day AM Base'!D59)*(1+ExpressFuelSurcharge),2)))*(1+FedEx_Markup),2)</f>
        <v>236.72</v>
      </c>
      <c r="E62" s="218">
        <f>ROUND((IF(MinBase1AMDay&gt;ROUND(((1-(OverNightDiscount_21_Up+FedExExrpessEarnedDiscount))*'1Day AM Base'!E59),2),ROUND(MinBase1AMDay*(1+ExpressFuelSurcharge),2),ROUND(((1-(OverNightDiscount_21_Up+FedExExrpessEarnedDiscount))*'1Day AM Base'!E59)*(1+ExpressFuelSurcharge),2)))*(1+FedEx_Markup),2)</f>
        <v>259.83999999999997</v>
      </c>
      <c r="F62" s="218">
        <f>ROUND((IF(MinBase1AMDay&gt;ROUND(((1-(OverNightDiscount_21_Up+FedExExrpessEarnedDiscount))*'1Day AM Base'!F59),2),ROUND(MinBase1AMDay*(1+ExpressFuelSurcharge),2),ROUND(((1-(OverNightDiscount_21_Up+FedExExrpessEarnedDiscount))*'1Day AM Base'!F59)*(1+ExpressFuelSurcharge),2)))*(1+FedEx_Markup),2)</f>
        <v>265.55</v>
      </c>
      <c r="G62" s="218">
        <f>ROUND((IF(MinBase1AMDay&gt;ROUND(((1-(OverNightDiscount_21_Up+FedExExrpessEarnedDiscount))*'1Day AM Base'!G59),2),ROUND(MinBase1AMDay*(1+ExpressFuelSurcharge),2),ROUND(((1-(OverNightDiscount_21_Up+FedExExrpessEarnedDiscount))*'1Day AM Base'!G59)*(1+ExpressFuelSurcharge),2)))*(1+FedEx_Markup),2)</f>
        <v>292.10000000000002</v>
      </c>
      <c r="H62" s="218">
        <f>ROUND((IF(MinBase1AMDay&gt;ROUND(((1-(OverNightDiscount_21_Up+FedExExrpessEarnedDiscount))*'1Day AM Base'!H59),2),ROUND(MinBase1AMDay*(1+ExpressFuelSurcharge),2),ROUND(((1-(OverNightDiscount_21_Up+FedExExrpessEarnedDiscount))*'1Day AM Base'!H59)*(1+ExpressFuelSurcharge),2)))*(1+FedEx_Markup),2)</f>
        <v>297.95</v>
      </c>
    </row>
    <row r="63" spans="1:8" ht="12.75" customHeight="1">
      <c r="A63" s="217">
        <v>58</v>
      </c>
      <c r="B63" s="218">
        <f>ROUND((IF(MinBase1AMDay&gt;ROUND(((1-(OverNightDiscount_21_Up+FedExExrpessEarnedDiscount))*'1Day AM Base'!B60),2),ROUND(MinBase1AMDay*(1+ExpressFuelSurcharge),2),ROUND(((1-(OverNightDiscount_21_Up+FedExExrpessEarnedDiscount))*'1Day AM Base'!B60)*(1+ExpressFuelSurcharge),2)))*(1+FedEx_Markup),2)</f>
        <v>95.4</v>
      </c>
      <c r="C63" s="218">
        <f>ROUND((IF(MinBase1AMDay&gt;ROUND(((1-(OverNightDiscount_21_Up+FedExExrpessEarnedDiscount))*'1Day AM Base'!C60),2),ROUND(MinBase1AMDay*(1+ExpressFuelSurcharge),2),ROUND(((1-(OverNightDiscount_21_Up+FedExExrpessEarnedDiscount))*'1Day AM Base'!C60)*(1+ExpressFuelSurcharge),2)))*(1+FedEx_Markup),2)</f>
        <v>141.41999999999999</v>
      </c>
      <c r="D63" s="218">
        <f>ROUND((IF(MinBase1AMDay&gt;ROUND(((1-(OverNightDiscount_21_Up+FedExExrpessEarnedDiscount))*'1Day AM Base'!D60),2),ROUND(MinBase1AMDay*(1+ExpressFuelSurcharge),2),ROUND(((1-(OverNightDiscount_21_Up+FedExExrpessEarnedDiscount))*'1Day AM Base'!D60)*(1+ExpressFuelSurcharge),2)))*(1+FedEx_Markup),2)</f>
        <v>237.25</v>
      </c>
      <c r="E63" s="218">
        <f>ROUND((IF(MinBase1AMDay&gt;ROUND(((1-(OverNightDiscount_21_Up+FedExExrpessEarnedDiscount))*'1Day AM Base'!E60),2),ROUND(MinBase1AMDay*(1+ExpressFuelSurcharge),2),ROUND(((1-(OverNightDiscount_21_Up+FedExExrpessEarnedDiscount))*'1Day AM Base'!E60)*(1+ExpressFuelSurcharge),2)))*(1+FedEx_Markup),2)</f>
        <v>260.10000000000002</v>
      </c>
      <c r="F63" s="218">
        <f>ROUND((IF(MinBase1AMDay&gt;ROUND(((1-(OverNightDiscount_21_Up+FedExExrpessEarnedDiscount))*'1Day AM Base'!F60),2),ROUND(MinBase1AMDay*(1+ExpressFuelSurcharge),2),ROUND(((1-(OverNightDiscount_21_Up+FedExExrpessEarnedDiscount))*'1Day AM Base'!F60)*(1+ExpressFuelSurcharge),2)))*(1+FedEx_Markup),2)</f>
        <v>270.99</v>
      </c>
      <c r="G63" s="218">
        <f>ROUND((IF(MinBase1AMDay&gt;ROUND(((1-(OverNightDiscount_21_Up+FedExExrpessEarnedDiscount))*'1Day AM Base'!G60),2),ROUND(MinBase1AMDay*(1+ExpressFuelSurcharge),2),ROUND(((1-(OverNightDiscount_21_Up+FedExExrpessEarnedDiscount))*'1Day AM Base'!G60)*(1+ExpressFuelSurcharge),2)))*(1+FedEx_Markup),2)</f>
        <v>292.89</v>
      </c>
      <c r="H63" s="218">
        <f>ROUND((IF(MinBase1AMDay&gt;ROUND(((1-(OverNightDiscount_21_Up+FedExExrpessEarnedDiscount))*'1Day AM Base'!H60),2),ROUND(MinBase1AMDay*(1+ExpressFuelSurcharge),2),ROUND(((1-(OverNightDiscount_21_Up+FedExExrpessEarnedDiscount))*'1Day AM Base'!H60)*(1+ExpressFuelSurcharge),2)))*(1+FedEx_Markup),2)</f>
        <v>298.76</v>
      </c>
    </row>
    <row r="64" spans="1:8" ht="12.75" customHeight="1">
      <c r="A64" s="217">
        <v>59</v>
      </c>
      <c r="B64" s="218">
        <f>ROUND((IF(MinBase1AMDay&gt;ROUND(((1-(OverNightDiscount_21_Up+FedExExrpessEarnedDiscount))*'1Day AM Base'!B61),2),ROUND(MinBase1AMDay*(1+ExpressFuelSurcharge),2),ROUND(((1-(OverNightDiscount_21_Up+FedExExrpessEarnedDiscount))*'1Day AM Base'!B61)*(1+ExpressFuelSurcharge),2)))*(1+FedEx_Markup),2)</f>
        <v>95.66</v>
      </c>
      <c r="C64" s="218">
        <f>ROUND((IF(MinBase1AMDay&gt;ROUND(((1-(OverNightDiscount_21_Up+FedExExrpessEarnedDiscount))*'1Day AM Base'!C61),2),ROUND(MinBase1AMDay*(1+ExpressFuelSurcharge),2),ROUND(((1-(OverNightDiscount_21_Up+FedExExrpessEarnedDiscount))*'1Day AM Base'!C61)*(1+ExpressFuelSurcharge),2)))*(1+FedEx_Markup),2)</f>
        <v>141.69</v>
      </c>
      <c r="D64" s="218">
        <f>ROUND((IF(MinBase1AMDay&gt;ROUND(((1-(OverNightDiscount_21_Up+FedExExrpessEarnedDiscount))*'1Day AM Base'!D61),2),ROUND(MinBase1AMDay*(1+ExpressFuelSurcharge),2),ROUND(((1-(OverNightDiscount_21_Up+FedExExrpessEarnedDiscount))*'1Day AM Base'!D61)*(1+ExpressFuelSurcharge),2)))*(1+FedEx_Markup),2)</f>
        <v>247.62</v>
      </c>
      <c r="E64" s="218">
        <f>ROUND((IF(MinBase1AMDay&gt;ROUND(((1-(OverNightDiscount_21_Up+FedExExrpessEarnedDiscount))*'1Day AM Base'!E61),2),ROUND(MinBase1AMDay*(1+ExpressFuelSurcharge),2),ROUND(((1-(OverNightDiscount_21_Up+FedExExrpessEarnedDiscount))*'1Day AM Base'!E61)*(1+ExpressFuelSurcharge),2)))*(1+FedEx_Markup),2)</f>
        <v>264.02</v>
      </c>
      <c r="F64" s="218">
        <f>ROUND((IF(MinBase1AMDay&gt;ROUND(((1-(OverNightDiscount_21_Up+FedExExrpessEarnedDiscount))*'1Day AM Base'!F61),2),ROUND(MinBase1AMDay*(1+ExpressFuelSurcharge),2),ROUND(((1-(OverNightDiscount_21_Up+FedExExrpessEarnedDiscount))*'1Day AM Base'!F61)*(1+ExpressFuelSurcharge),2)))*(1+FedEx_Markup),2)</f>
        <v>271.52999999999997</v>
      </c>
      <c r="G64" s="218">
        <f>ROUND((IF(MinBase1AMDay&gt;ROUND(((1-(OverNightDiscount_21_Up+FedExExrpessEarnedDiscount))*'1Day AM Base'!G61),2),ROUND(MinBase1AMDay*(1+ExpressFuelSurcharge),2),ROUND(((1-(OverNightDiscount_21_Up+FedExExrpessEarnedDiscount))*'1Day AM Base'!G61)*(1+ExpressFuelSurcharge),2)))*(1+FedEx_Markup),2)</f>
        <v>293.70999999999998</v>
      </c>
      <c r="H64" s="218">
        <f>ROUND((IF(MinBase1AMDay&gt;ROUND(((1-(OverNightDiscount_21_Up+FedExExrpessEarnedDiscount))*'1Day AM Base'!H61),2),ROUND(MinBase1AMDay*(1+ExpressFuelSurcharge),2),ROUND(((1-(OverNightDiscount_21_Up+FedExExrpessEarnedDiscount))*'1Day AM Base'!H61)*(1+ExpressFuelSurcharge),2)))*(1+FedEx_Markup),2)</f>
        <v>314.58999999999997</v>
      </c>
    </row>
    <row r="65" spans="1:8" ht="12.75" customHeight="1">
      <c r="A65" s="217">
        <v>60</v>
      </c>
      <c r="B65" s="218">
        <f>ROUND((IF(MinBase1AMDay&gt;ROUND(((1-(OverNightDiscount_21_Up+FedExExrpessEarnedDiscount))*'1Day AM Base'!B62),2),ROUND(MinBase1AMDay*(1+ExpressFuelSurcharge),2),ROUND(((1-(OverNightDiscount_21_Up+FedExExrpessEarnedDiscount))*'1Day AM Base'!B62)*(1+ExpressFuelSurcharge),2)))*(1+FedEx_Markup),2)</f>
        <v>95.93</v>
      </c>
      <c r="C65" s="218">
        <f>ROUND((IF(MinBase1AMDay&gt;ROUND(((1-(OverNightDiscount_21_Up+FedExExrpessEarnedDiscount))*'1Day AM Base'!C62),2),ROUND(MinBase1AMDay*(1+ExpressFuelSurcharge),2),ROUND(((1-(OverNightDiscount_21_Up+FedExExrpessEarnedDiscount))*'1Day AM Base'!C62)*(1+ExpressFuelSurcharge),2)))*(1+FedEx_Markup),2)</f>
        <v>141.97999999999999</v>
      </c>
      <c r="D65" s="218">
        <f>ROUND((IF(MinBase1AMDay&gt;ROUND(((1-(OverNightDiscount_21_Up+FedExExrpessEarnedDiscount))*'1Day AM Base'!D62),2),ROUND(MinBase1AMDay*(1+ExpressFuelSurcharge),2),ROUND(((1-(OverNightDiscount_21_Up+FedExExrpessEarnedDiscount))*'1Day AM Base'!D62)*(1+ExpressFuelSurcharge),2)))*(1+FedEx_Markup),2)</f>
        <v>248.69</v>
      </c>
      <c r="E65" s="218">
        <f>ROUND((IF(MinBase1AMDay&gt;ROUND(((1-(OverNightDiscount_21_Up+FedExExrpessEarnedDiscount))*'1Day AM Base'!E62),2),ROUND(MinBase1AMDay*(1+ExpressFuelSurcharge),2),ROUND(((1-(OverNightDiscount_21_Up+FedExExrpessEarnedDiscount))*'1Day AM Base'!E62)*(1+ExpressFuelSurcharge),2)))*(1+FedEx_Markup),2)</f>
        <v>264.41000000000003</v>
      </c>
      <c r="F65" s="218">
        <f>ROUND((IF(MinBase1AMDay&gt;ROUND(((1-(OverNightDiscount_21_Up+FedExExrpessEarnedDiscount))*'1Day AM Base'!F62),2),ROUND(MinBase1AMDay*(1+ExpressFuelSurcharge),2),ROUND(((1-(OverNightDiscount_21_Up+FedExExrpessEarnedDiscount))*'1Day AM Base'!F62)*(1+ExpressFuelSurcharge),2)))*(1+FedEx_Markup),2)</f>
        <v>272.08999999999997</v>
      </c>
      <c r="G65" s="218">
        <f>ROUND((IF(MinBase1AMDay&gt;ROUND(((1-(OverNightDiscount_21_Up+FedExExrpessEarnedDiscount))*'1Day AM Base'!G62),2),ROUND(MinBase1AMDay*(1+ExpressFuelSurcharge),2),ROUND(((1-(OverNightDiscount_21_Up+FedExExrpessEarnedDiscount))*'1Day AM Base'!G62)*(1+ExpressFuelSurcharge),2)))*(1+FedEx_Markup),2)</f>
        <v>309.97000000000003</v>
      </c>
      <c r="H65" s="218">
        <f>ROUND((IF(MinBase1AMDay&gt;ROUND(((1-(OverNightDiscount_21_Up+FedExExrpessEarnedDiscount))*'1Day AM Base'!H62),2),ROUND(MinBase1AMDay*(1+ExpressFuelSurcharge),2),ROUND(((1-(OverNightDiscount_21_Up+FedExExrpessEarnedDiscount))*'1Day AM Base'!H62)*(1+ExpressFuelSurcharge),2)))*(1+FedEx_Markup),2)</f>
        <v>316.18</v>
      </c>
    </row>
    <row r="66" spans="1:8" ht="12.75" customHeight="1">
      <c r="A66" s="217">
        <v>61</v>
      </c>
      <c r="B66" s="218">
        <f>ROUND((IF(MinBase1AMDay&gt;ROUND(((1-(OverNightDiscount_21_Up+FedExExrpessEarnedDiscount))*'1Day AM Base'!B63),2),ROUND(MinBase1AMDay*(1+ExpressFuelSurcharge),2),ROUND(((1-(OverNightDiscount_21_Up+FedExExrpessEarnedDiscount))*'1Day AM Base'!B63)*(1+ExpressFuelSurcharge),2)))*(1+FedEx_Markup),2)</f>
        <v>100.95</v>
      </c>
      <c r="C66" s="218">
        <f>ROUND((IF(MinBase1AMDay&gt;ROUND(((1-(OverNightDiscount_21_Up+FedExExrpessEarnedDiscount))*'1Day AM Base'!C63),2),ROUND(MinBase1AMDay*(1+ExpressFuelSurcharge),2),ROUND(((1-(OverNightDiscount_21_Up+FedExExrpessEarnedDiscount))*'1Day AM Base'!C63)*(1+ExpressFuelSurcharge),2)))*(1+FedEx_Markup),2)</f>
        <v>146.97999999999999</v>
      </c>
      <c r="D66" s="218">
        <f>ROUND((IF(MinBase1AMDay&gt;ROUND(((1-(OverNightDiscount_21_Up+FedExExrpessEarnedDiscount))*'1Day AM Base'!D63),2),ROUND(MinBase1AMDay*(1+ExpressFuelSurcharge),2),ROUND(((1-(OverNightDiscount_21_Up+FedExExrpessEarnedDiscount))*'1Day AM Base'!D63)*(1+ExpressFuelSurcharge),2)))*(1+FedEx_Markup),2)</f>
        <v>253</v>
      </c>
      <c r="E66" s="218">
        <f>ROUND((IF(MinBase1AMDay&gt;ROUND(((1-(OverNightDiscount_21_Up+FedExExrpessEarnedDiscount))*'1Day AM Base'!E63),2),ROUND(MinBase1AMDay*(1+ExpressFuelSurcharge),2),ROUND(((1-(OverNightDiscount_21_Up+FedExExrpessEarnedDiscount))*'1Day AM Base'!E63)*(1+ExpressFuelSurcharge),2)))*(1+FedEx_Markup),2)</f>
        <v>272.07</v>
      </c>
      <c r="F66" s="218">
        <f>ROUND((IF(MinBase1AMDay&gt;ROUND(((1-(OverNightDiscount_21_Up+FedExExrpessEarnedDiscount))*'1Day AM Base'!F63),2),ROUND(MinBase1AMDay*(1+ExpressFuelSurcharge),2),ROUND(((1-(OverNightDiscount_21_Up+FedExExrpessEarnedDiscount))*'1Day AM Base'!F63)*(1+ExpressFuelSurcharge),2)))*(1+FedEx_Markup),2)</f>
        <v>283.11</v>
      </c>
      <c r="G66" s="218">
        <f>ROUND((IF(MinBase1AMDay&gt;ROUND(((1-(OverNightDiscount_21_Up+FedExExrpessEarnedDiscount))*'1Day AM Base'!G63),2),ROUND(MinBase1AMDay*(1+ExpressFuelSurcharge),2),ROUND(((1-(OverNightDiscount_21_Up+FedExExrpessEarnedDiscount))*'1Day AM Base'!G63)*(1+ExpressFuelSurcharge),2)))*(1+FedEx_Markup),2)</f>
        <v>319.67</v>
      </c>
      <c r="H66" s="218">
        <f>ROUND((IF(MinBase1AMDay&gt;ROUND(((1-(OverNightDiscount_21_Up+FedExExrpessEarnedDiscount))*'1Day AM Base'!H63),2),ROUND(MinBase1AMDay*(1+ExpressFuelSurcharge),2),ROUND(((1-(OverNightDiscount_21_Up+FedExExrpessEarnedDiscount))*'1Day AM Base'!H63)*(1+ExpressFuelSurcharge),2)))*(1+FedEx_Markup),2)</f>
        <v>326.07</v>
      </c>
    </row>
    <row r="67" spans="1:8" ht="12.75" customHeight="1">
      <c r="A67" s="217">
        <v>62</v>
      </c>
      <c r="B67" s="218">
        <f>ROUND((IF(MinBase1AMDay&gt;ROUND(((1-(OverNightDiscount_21_Up+FedExExrpessEarnedDiscount))*'1Day AM Base'!B64),2),ROUND(MinBase1AMDay*(1+ExpressFuelSurcharge),2),ROUND(((1-(OverNightDiscount_21_Up+FedExExrpessEarnedDiscount))*'1Day AM Base'!B64)*(1+ExpressFuelSurcharge),2)))*(1+FedEx_Markup),2)</f>
        <v>101.72</v>
      </c>
      <c r="C67" s="218">
        <f>ROUND((IF(MinBase1AMDay&gt;ROUND(((1-(OverNightDiscount_21_Up+FedExExrpessEarnedDiscount))*'1Day AM Base'!C64),2),ROUND(MinBase1AMDay*(1+ExpressFuelSurcharge),2),ROUND(((1-(OverNightDiscount_21_Up+FedExExrpessEarnedDiscount))*'1Day AM Base'!C64)*(1+ExpressFuelSurcharge),2)))*(1+FedEx_Markup),2)</f>
        <v>148.72</v>
      </c>
      <c r="D67" s="218">
        <f>ROUND((IF(MinBase1AMDay&gt;ROUND(((1-(OverNightDiscount_21_Up+FedExExrpessEarnedDiscount))*'1Day AM Base'!D64),2),ROUND(MinBase1AMDay*(1+ExpressFuelSurcharge),2),ROUND(((1-(OverNightDiscount_21_Up+FedExExrpessEarnedDiscount))*'1Day AM Base'!D64)*(1+ExpressFuelSurcharge),2)))*(1+FedEx_Markup),2)</f>
        <v>256.85000000000002</v>
      </c>
      <c r="E67" s="218">
        <f>ROUND((IF(MinBase1AMDay&gt;ROUND(((1-(OverNightDiscount_21_Up+FedExExrpessEarnedDiscount))*'1Day AM Base'!E64),2),ROUND(MinBase1AMDay*(1+ExpressFuelSurcharge),2),ROUND(((1-(OverNightDiscount_21_Up+FedExExrpessEarnedDiscount))*'1Day AM Base'!E64)*(1+ExpressFuelSurcharge),2)))*(1+FedEx_Markup),2)</f>
        <v>275.45</v>
      </c>
      <c r="F67" s="218">
        <f>ROUND((IF(MinBase1AMDay&gt;ROUND(((1-(OverNightDiscount_21_Up+FedExExrpessEarnedDiscount))*'1Day AM Base'!F64),2),ROUND(MinBase1AMDay*(1+ExpressFuelSurcharge),2),ROUND(((1-(OverNightDiscount_21_Up+FedExExrpessEarnedDiscount))*'1Day AM Base'!F64)*(1+ExpressFuelSurcharge),2)))*(1+FedEx_Markup),2)</f>
        <v>284.27</v>
      </c>
      <c r="G67" s="218">
        <f>ROUND((IF(MinBase1AMDay&gt;ROUND(((1-(OverNightDiscount_21_Up+FedExExrpessEarnedDiscount))*'1Day AM Base'!G64),2),ROUND(MinBase1AMDay*(1+ExpressFuelSurcharge),2),ROUND(((1-(OverNightDiscount_21_Up+FedExExrpessEarnedDiscount))*'1Day AM Base'!G64)*(1+ExpressFuelSurcharge),2)))*(1+FedEx_Markup),2)</f>
        <v>324.24</v>
      </c>
      <c r="H67" s="218">
        <f>ROUND((IF(MinBase1AMDay&gt;ROUND(((1-(OverNightDiscount_21_Up+FedExExrpessEarnedDiscount))*'1Day AM Base'!H64),2),ROUND(MinBase1AMDay*(1+ExpressFuelSurcharge),2),ROUND(((1-(OverNightDiscount_21_Up+FedExExrpessEarnedDiscount))*'1Day AM Base'!H64)*(1+ExpressFuelSurcharge),2)))*(1+FedEx_Markup),2)</f>
        <v>333.91</v>
      </c>
    </row>
    <row r="68" spans="1:8" ht="12.75" customHeight="1">
      <c r="A68" s="217">
        <v>63</v>
      </c>
      <c r="B68" s="218">
        <f>ROUND((IF(MinBase1AMDay&gt;ROUND(((1-(OverNightDiscount_21_Up+FedExExrpessEarnedDiscount))*'1Day AM Base'!B65),2),ROUND(MinBase1AMDay*(1+ExpressFuelSurcharge),2),ROUND(((1-(OverNightDiscount_21_Up+FedExExrpessEarnedDiscount))*'1Day AM Base'!B65)*(1+ExpressFuelSurcharge),2)))*(1+FedEx_Markup),2)</f>
        <v>102.4</v>
      </c>
      <c r="C68" s="218">
        <f>ROUND((IF(MinBase1AMDay&gt;ROUND(((1-(OverNightDiscount_21_Up+FedExExrpessEarnedDiscount))*'1Day AM Base'!C65),2),ROUND(MinBase1AMDay*(1+ExpressFuelSurcharge),2),ROUND(((1-(OverNightDiscount_21_Up+FedExExrpessEarnedDiscount))*'1Day AM Base'!C65)*(1+ExpressFuelSurcharge),2)))*(1+FedEx_Markup),2)</f>
        <v>152.01</v>
      </c>
      <c r="D68" s="218">
        <f>ROUND((IF(MinBase1AMDay&gt;ROUND(((1-(OverNightDiscount_21_Up+FedExExrpessEarnedDiscount))*'1Day AM Base'!D65),2),ROUND(MinBase1AMDay*(1+ExpressFuelSurcharge),2),ROUND(((1-(OverNightDiscount_21_Up+FedExExrpessEarnedDiscount))*'1Day AM Base'!D65)*(1+ExpressFuelSurcharge),2)))*(1+FedEx_Markup),2)</f>
        <v>259.16000000000003</v>
      </c>
      <c r="E68" s="218">
        <f>ROUND((IF(MinBase1AMDay&gt;ROUND(((1-(OverNightDiscount_21_Up+FedExExrpessEarnedDiscount))*'1Day AM Base'!E65),2),ROUND(MinBase1AMDay*(1+ExpressFuelSurcharge),2),ROUND(((1-(OverNightDiscount_21_Up+FedExExrpessEarnedDiscount))*'1Day AM Base'!E65)*(1+ExpressFuelSurcharge),2)))*(1+FedEx_Markup),2)</f>
        <v>282.05</v>
      </c>
      <c r="F68" s="218">
        <f>ROUND((IF(MinBase1AMDay&gt;ROUND(((1-(OverNightDiscount_21_Up+FedExExrpessEarnedDiscount))*'1Day AM Base'!F65),2),ROUND(MinBase1AMDay*(1+ExpressFuelSurcharge),2),ROUND(((1-(OverNightDiscount_21_Up+FedExExrpessEarnedDiscount))*'1Day AM Base'!F65)*(1+ExpressFuelSurcharge),2)))*(1+FedEx_Markup),2)</f>
        <v>292.01</v>
      </c>
      <c r="G68" s="218">
        <f>ROUND((IF(MinBase1AMDay&gt;ROUND(((1-(OverNightDiscount_21_Up+FedExExrpessEarnedDiscount))*'1Day AM Base'!G65),2),ROUND(MinBase1AMDay*(1+ExpressFuelSurcharge),2),ROUND(((1-(OverNightDiscount_21_Up+FedExExrpessEarnedDiscount))*'1Day AM Base'!G65)*(1+ExpressFuelSurcharge),2)))*(1+FedEx_Markup),2)</f>
        <v>328.85</v>
      </c>
      <c r="H68" s="218">
        <f>ROUND((IF(MinBase1AMDay&gt;ROUND(((1-(OverNightDiscount_21_Up+FedExExrpessEarnedDiscount))*'1Day AM Base'!H65),2),ROUND(MinBase1AMDay*(1+ExpressFuelSurcharge),2),ROUND(((1-(OverNightDiscount_21_Up+FedExExrpessEarnedDiscount))*'1Day AM Base'!H65)*(1+ExpressFuelSurcharge),2)))*(1+FedEx_Markup),2)</f>
        <v>335.43</v>
      </c>
    </row>
    <row r="69" spans="1:8" ht="12.75" customHeight="1">
      <c r="A69" s="217">
        <v>64</v>
      </c>
      <c r="B69" s="218">
        <f>ROUND((IF(MinBase1AMDay&gt;ROUND(((1-(OverNightDiscount_21_Up+FedExExrpessEarnedDiscount))*'1Day AM Base'!B66),2),ROUND(MinBase1AMDay*(1+ExpressFuelSurcharge),2),ROUND(((1-(OverNightDiscount_21_Up+FedExExrpessEarnedDiscount))*'1Day AM Base'!B66)*(1+ExpressFuelSurcharge),2)))*(1+FedEx_Markup),2)</f>
        <v>107.12</v>
      </c>
      <c r="C69" s="218">
        <f>ROUND((IF(MinBase1AMDay&gt;ROUND(((1-(OverNightDiscount_21_Up+FedExExrpessEarnedDiscount))*'1Day AM Base'!C66),2),ROUND(MinBase1AMDay*(1+ExpressFuelSurcharge),2),ROUND(((1-(OverNightDiscount_21_Up+FedExExrpessEarnedDiscount))*'1Day AM Base'!C66)*(1+ExpressFuelSurcharge),2)))*(1+FedEx_Markup),2)</f>
        <v>153.91999999999999</v>
      </c>
      <c r="D69" s="218">
        <f>ROUND((IF(MinBase1AMDay&gt;ROUND(((1-(OverNightDiscount_21_Up+FedExExrpessEarnedDiscount))*'1Day AM Base'!D66),2),ROUND(MinBase1AMDay*(1+ExpressFuelSurcharge),2),ROUND(((1-(OverNightDiscount_21_Up+FedExExrpessEarnedDiscount))*'1Day AM Base'!D66)*(1+ExpressFuelSurcharge),2)))*(1+FedEx_Markup),2)</f>
        <v>259.56</v>
      </c>
      <c r="E69" s="218">
        <f>ROUND((IF(MinBase1AMDay&gt;ROUND(((1-(OverNightDiscount_21_Up+FedExExrpessEarnedDiscount))*'1Day AM Base'!E66),2),ROUND(MinBase1AMDay*(1+ExpressFuelSurcharge),2),ROUND(((1-(OverNightDiscount_21_Up+FedExExrpessEarnedDiscount))*'1Day AM Base'!E66)*(1+ExpressFuelSurcharge),2)))*(1+FedEx_Markup),2)</f>
        <v>283.58</v>
      </c>
      <c r="F69" s="218">
        <f>ROUND((IF(MinBase1AMDay&gt;ROUND(((1-(OverNightDiscount_21_Up+FedExExrpessEarnedDiscount))*'1Day AM Base'!F66),2),ROUND(MinBase1AMDay*(1+ExpressFuelSurcharge),2),ROUND(((1-(OverNightDiscount_21_Up+FedExExrpessEarnedDiscount))*'1Day AM Base'!F66)*(1+ExpressFuelSurcharge),2)))*(1+FedEx_Markup),2)</f>
        <v>294.42</v>
      </c>
      <c r="G69" s="218">
        <f>ROUND((IF(MinBase1AMDay&gt;ROUND(((1-(OverNightDiscount_21_Up+FedExExrpessEarnedDiscount))*'1Day AM Base'!G66),2),ROUND(MinBase1AMDay*(1+ExpressFuelSurcharge),2),ROUND(((1-(OverNightDiscount_21_Up+FedExExrpessEarnedDiscount))*'1Day AM Base'!G66)*(1+ExpressFuelSurcharge),2)))*(1+FedEx_Markup),2)</f>
        <v>334.8</v>
      </c>
      <c r="H69" s="218">
        <f>ROUND((IF(MinBase1AMDay&gt;ROUND(((1-(OverNightDiscount_21_Up+FedExExrpessEarnedDiscount))*'1Day AM Base'!H66),2),ROUND(MinBase1AMDay*(1+ExpressFuelSurcharge),2),ROUND(((1-(OverNightDiscount_21_Up+FedExExrpessEarnedDiscount))*'1Day AM Base'!H66)*(1+ExpressFuelSurcharge),2)))*(1+FedEx_Markup),2)</f>
        <v>347.85</v>
      </c>
    </row>
    <row r="70" spans="1:8" ht="12.75" customHeight="1">
      <c r="A70" s="217">
        <v>65</v>
      </c>
      <c r="B70" s="218">
        <f>ROUND((IF(MinBase1AMDay&gt;ROUND(((1-(OverNightDiscount_21_Up+FedExExrpessEarnedDiscount))*'1Day AM Base'!B67),2),ROUND(MinBase1AMDay*(1+ExpressFuelSurcharge),2),ROUND(((1-(OverNightDiscount_21_Up+FedExExrpessEarnedDiscount))*'1Day AM Base'!B67)*(1+ExpressFuelSurcharge),2)))*(1+FedEx_Markup),2)</f>
        <v>108.04</v>
      </c>
      <c r="C70" s="218">
        <f>ROUND((IF(MinBase1AMDay&gt;ROUND(((1-(OverNightDiscount_21_Up+FedExExrpessEarnedDiscount))*'1Day AM Base'!C67),2),ROUND(MinBase1AMDay*(1+ExpressFuelSurcharge),2),ROUND(((1-(OverNightDiscount_21_Up+FedExExrpessEarnedDiscount))*'1Day AM Base'!C67)*(1+ExpressFuelSurcharge),2)))*(1+FedEx_Markup),2)</f>
        <v>154.94999999999999</v>
      </c>
      <c r="D70" s="218">
        <f>ROUND((IF(MinBase1AMDay&gt;ROUND(((1-(OverNightDiscount_21_Up+FedExExrpessEarnedDiscount))*'1Day AM Base'!D67),2),ROUND(MinBase1AMDay*(1+ExpressFuelSurcharge),2),ROUND(((1-(OverNightDiscount_21_Up+FedExExrpessEarnedDiscount))*'1Day AM Base'!D67)*(1+ExpressFuelSurcharge),2)))*(1+FedEx_Markup),2)</f>
        <v>267.54000000000002</v>
      </c>
      <c r="E70" s="218">
        <f>ROUND((IF(MinBase1AMDay&gt;ROUND(((1-(OverNightDiscount_21_Up+FedExExrpessEarnedDiscount))*'1Day AM Base'!E67),2),ROUND(MinBase1AMDay*(1+ExpressFuelSurcharge),2),ROUND(((1-(OverNightDiscount_21_Up+FedExExrpessEarnedDiscount))*'1Day AM Base'!E67)*(1+ExpressFuelSurcharge),2)))*(1+FedEx_Markup),2)</f>
        <v>286.66000000000003</v>
      </c>
      <c r="F70" s="218">
        <f>ROUND((IF(MinBase1AMDay&gt;ROUND(((1-(OverNightDiscount_21_Up+FedExExrpessEarnedDiscount))*'1Day AM Base'!F67),2),ROUND(MinBase1AMDay*(1+ExpressFuelSurcharge),2),ROUND(((1-(OverNightDiscount_21_Up+FedExExrpessEarnedDiscount))*'1Day AM Base'!F67)*(1+ExpressFuelSurcharge),2)))*(1+FedEx_Markup),2)</f>
        <v>302.94</v>
      </c>
      <c r="G70" s="218">
        <f>ROUND((IF(MinBase1AMDay&gt;ROUND(((1-(OverNightDiscount_21_Up+FedExExrpessEarnedDiscount))*'1Day AM Base'!G67),2),ROUND(MinBase1AMDay*(1+ExpressFuelSurcharge),2),ROUND(((1-(OverNightDiscount_21_Up+FedExExrpessEarnedDiscount))*'1Day AM Base'!G67)*(1+ExpressFuelSurcharge),2)))*(1+FedEx_Markup),2)</f>
        <v>339.99</v>
      </c>
      <c r="H70" s="218">
        <f>ROUND((IF(MinBase1AMDay&gt;ROUND(((1-(OverNightDiscount_21_Up+FedExExrpessEarnedDiscount))*'1Day AM Base'!H67),2),ROUND(MinBase1AMDay*(1+ExpressFuelSurcharge),2),ROUND(((1-(OverNightDiscount_21_Up+FedExExrpessEarnedDiscount))*'1Day AM Base'!H67)*(1+ExpressFuelSurcharge),2)))*(1+FedEx_Markup),2)</f>
        <v>351.76</v>
      </c>
    </row>
    <row r="71" spans="1:8" ht="12.75" customHeight="1">
      <c r="A71" s="217">
        <v>66</v>
      </c>
      <c r="B71" s="218">
        <f>ROUND((IF(MinBase1AMDay&gt;ROUND(((1-(OverNightDiscount_21_Up+FedExExrpessEarnedDiscount))*'1Day AM Base'!B68),2),ROUND(MinBase1AMDay*(1+ExpressFuelSurcharge),2),ROUND(((1-(OverNightDiscount_21_Up+FedExExrpessEarnedDiscount))*'1Day AM Base'!B68)*(1+ExpressFuelSurcharge),2)))*(1+FedEx_Markup),2)</f>
        <v>108.32</v>
      </c>
      <c r="C71" s="218">
        <f>ROUND((IF(MinBase1AMDay&gt;ROUND(((1-(OverNightDiscount_21_Up+FedExExrpessEarnedDiscount))*'1Day AM Base'!C68),2),ROUND(MinBase1AMDay*(1+ExpressFuelSurcharge),2),ROUND(((1-(OverNightDiscount_21_Up+FedExExrpessEarnedDiscount))*'1Day AM Base'!C68)*(1+ExpressFuelSurcharge),2)))*(1+FedEx_Markup),2)</f>
        <v>158.31</v>
      </c>
      <c r="D71" s="218">
        <f>ROUND((IF(MinBase1AMDay&gt;ROUND(((1-(OverNightDiscount_21_Up+FedExExrpessEarnedDiscount))*'1Day AM Base'!D68),2),ROUND(MinBase1AMDay*(1+ExpressFuelSurcharge),2),ROUND(((1-(OverNightDiscount_21_Up+FedExExrpessEarnedDiscount))*'1Day AM Base'!D68)*(1+ExpressFuelSurcharge),2)))*(1+FedEx_Markup),2)</f>
        <v>269.41000000000003</v>
      </c>
      <c r="E71" s="218">
        <f>ROUND((IF(MinBase1AMDay&gt;ROUND(((1-(OverNightDiscount_21_Up+FedExExrpessEarnedDiscount))*'1Day AM Base'!E68),2),ROUND(MinBase1AMDay*(1+ExpressFuelSurcharge),2),ROUND(((1-(OverNightDiscount_21_Up+FedExExrpessEarnedDiscount))*'1Day AM Base'!E68)*(1+ExpressFuelSurcharge),2)))*(1+FedEx_Markup),2)</f>
        <v>295.60000000000002</v>
      </c>
      <c r="F71" s="218">
        <f>ROUND((IF(MinBase1AMDay&gt;ROUND(((1-(OverNightDiscount_21_Up+FedExExrpessEarnedDiscount))*'1Day AM Base'!F68),2),ROUND(MinBase1AMDay*(1+ExpressFuelSurcharge),2),ROUND(((1-(OverNightDiscount_21_Up+FedExExrpessEarnedDiscount))*'1Day AM Base'!F68)*(1+ExpressFuelSurcharge),2)))*(1+FedEx_Markup),2)</f>
        <v>305.35000000000002</v>
      </c>
      <c r="G71" s="218">
        <f>ROUND((IF(MinBase1AMDay&gt;ROUND(((1-(OverNightDiscount_21_Up+FedExExrpessEarnedDiscount))*'1Day AM Base'!G68),2),ROUND(MinBase1AMDay*(1+ExpressFuelSurcharge),2),ROUND(((1-(OverNightDiscount_21_Up+FedExExrpessEarnedDiscount))*'1Day AM Base'!G68)*(1+ExpressFuelSurcharge),2)))*(1+FedEx_Markup),2)</f>
        <v>340.52</v>
      </c>
      <c r="H71" s="218">
        <f>ROUND((IF(MinBase1AMDay&gt;ROUND(((1-(OverNightDiscount_21_Up+FedExExrpessEarnedDiscount))*'1Day AM Base'!H68),2),ROUND(MinBase1AMDay*(1+ExpressFuelSurcharge),2),ROUND(((1-(OverNightDiscount_21_Up+FedExExrpessEarnedDiscount))*'1Day AM Base'!H68)*(1+ExpressFuelSurcharge),2)))*(1+FedEx_Markup),2)</f>
        <v>352.5</v>
      </c>
    </row>
    <row r="72" spans="1:8" ht="12.75" customHeight="1">
      <c r="A72" s="217">
        <v>67</v>
      </c>
      <c r="B72" s="218">
        <f>ROUND((IF(MinBase1AMDay&gt;ROUND(((1-(OverNightDiscount_21_Up+FedExExrpessEarnedDiscount))*'1Day AM Base'!B69),2),ROUND(MinBase1AMDay*(1+ExpressFuelSurcharge),2),ROUND(((1-(OverNightDiscount_21_Up+FedExExrpessEarnedDiscount))*'1Day AM Base'!B69)*(1+ExpressFuelSurcharge),2)))*(1+FedEx_Markup),2)</f>
        <v>109.35</v>
      </c>
      <c r="C72" s="218">
        <f>ROUND((IF(MinBase1AMDay&gt;ROUND(((1-(OverNightDiscount_21_Up+FedExExrpessEarnedDiscount))*'1Day AM Base'!C69),2),ROUND(MinBase1AMDay*(1+ExpressFuelSurcharge),2),ROUND(((1-(OverNightDiscount_21_Up+FedExExrpessEarnedDiscount))*'1Day AM Base'!C69)*(1+ExpressFuelSurcharge),2)))*(1+FedEx_Markup),2)</f>
        <v>166.93</v>
      </c>
      <c r="D72" s="218">
        <f>ROUND((IF(MinBase1AMDay&gt;ROUND(((1-(OverNightDiscount_21_Up+FedExExrpessEarnedDiscount))*'1Day AM Base'!D69),2),ROUND(MinBase1AMDay*(1+ExpressFuelSurcharge),2),ROUND(((1-(OverNightDiscount_21_Up+FedExExrpessEarnedDiscount))*'1Day AM Base'!D69)*(1+ExpressFuelSurcharge),2)))*(1+FedEx_Markup),2)</f>
        <v>273.47000000000003</v>
      </c>
      <c r="E72" s="218">
        <f>ROUND((IF(MinBase1AMDay&gt;ROUND(((1-(OverNightDiscount_21_Up+FedExExrpessEarnedDiscount))*'1Day AM Base'!E69),2),ROUND(MinBase1AMDay*(1+ExpressFuelSurcharge),2),ROUND(((1-(OverNightDiscount_21_Up+FedExExrpessEarnedDiscount))*'1Day AM Base'!E69)*(1+ExpressFuelSurcharge),2)))*(1+FedEx_Markup),2)</f>
        <v>296.49</v>
      </c>
      <c r="F72" s="218">
        <f>ROUND((IF(MinBase1AMDay&gt;ROUND(((1-(OverNightDiscount_21_Up+FedExExrpessEarnedDiscount))*'1Day AM Base'!F69),2),ROUND(MinBase1AMDay*(1+ExpressFuelSurcharge),2),ROUND(((1-(OverNightDiscount_21_Up+FedExExrpessEarnedDiscount))*'1Day AM Base'!F69)*(1+ExpressFuelSurcharge),2)))*(1+FedEx_Markup),2)</f>
        <v>306.26</v>
      </c>
      <c r="G72" s="218">
        <f>ROUND((IF(MinBase1AMDay&gt;ROUND(((1-(OverNightDiscount_21_Up+FedExExrpessEarnedDiscount))*'1Day AM Base'!G69),2),ROUND(MinBase1AMDay*(1+ExpressFuelSurcharge),2),ROUND(((1-(OverNightDiscount_21_Up+FedExExrpessEarnedDiscount))*'1Day AM Base'!G69)*(1+ExpressFuelSurcharge),2)))*(1+FedEx_Markup),2)</f>
        <v>340.77</v>
      </c>
      <c r="H72" s="218">
        <f>ROUND((IF(MinBase1AMDay&gt;ROUND(((1-(OverNightDiscount_21_Up+FedExExrpessEarnedDiscount))*'1Day AM Base'!H69),2),ROUND(MinBase1AMDay*(1+ExpressFuelSurcharge),2),ROUND(((1-(OverNightDiscount_21_Up+FedExExrpessEarnedDiscount))*'1Day AM Base'!H69)*(1+ExpressFuelSurcharge),2)))*(1+FedEx_Markup),2)</f>
        <v>352.89</v>
      </c>
    </row>
    <row r="73" spans="1:8" ht="12.75" customHeight="1">
      <c r="A73" s="217">
        <v>68</v>
      </c>
      <c r="B73" s="218">
        <f>ROUND((IF(MinBase1AMDay&gt;ROUND(((1-(OverNightDiscount_21_Up+FedExExrpessEarnedDiscount))*'1Day AM Base'!B70),2),ROUND(MinBase1AMDay*(1+ExpressFuelSurcharge),2),ROUND(((1-(OverNightDiscount_21_Up+FedExExrpessEarnedDiscount))*'1Day AM Base'!B70)*(1+ExpressFuelSurcharge),2)))*(1+FedEx_Markup),2)</f>
        <v>111.83</v>
      </c>
      <c r="C73" s="218">
        <f>ROUND((IF(MinBase1AMDay&gt;ROUND(((1-(OverNightDiscount_21_Up+FedExExrpessEarnedDiscount))*'1Day AM Base'!C70),2),ROUND(MinBase1AMDay*(1+ExpressFuelSurcharge),2),ROUND(((1-(OverNightDiscount_21_Up+FedExExrpessEarnedDiscount))*'1Day AM Base'!C70)*(1+ExpressFuelSurcharge),2)))*(1+FedEx_Markup),2)</f>
        <v>167.8</v>
      </c>
      <c r="D73" s="218">
        <f>ROUND((IF(MinBase1AMDay&gt;ROUND(((1-(OverNightDiscount_21_Up+FedExExrpessEarnedDiscount))*'1Day AM Base'!D70),2),ROUND(MinBase1AMDay*(1+ExpressFuelSurcharge),2),ROUND(((1-(OverNightDiscount_21_Up+FedExExrpessEarnedDiscount))*'1Day AM Base'!D70)*(1+ExpressFuelSurcharge),2)))*(1+FedEx_Markup),2)</f>
        <v>273.87</v>
      </c>
      <c r="E73" s="218">
        <f>ROUND((IF(MinBase1AMDay&gt;ROUND(((1-(OverNightDiscount_21_Up+FedExExrpessEarnedDiscount))*'1Day AM Base'!E70),2),ROUND(MinBase1AMDay*(1+ExpressFuelSurcharge),2),ROUND(((1-(OverNightDiscount_21_Up+FedExExrpessEarnedDiscount))*'1Day AM Base'!E70)*(1+ExpressFuelSurcharge),2)))*(1+FedEx_Markup),2)</f>
        <v>300.16000000000003</v>
      </c>
      <c r="F73" s="218">
        <f>ROUND((IF(MinBase1AMDay&gt;ROUND(((1-(OverNightDiscount_21_Up+FedExExrpessEarnedDiscount))*'1Day AM Base'!F70),2),ROUND(MinBase1AMDay*(1+ExpressFuelSurcharge),2),ROUND(((1-(OverNightDiscount_21_Up+FedExExrpessEarnedDiscount))*'1Day AM Base'!F70)*(1+ExpressFuelSurcharge),2)))*(1+FedEx_Markup),2)</f>
        <v>306.52999999999997</v>
      </c>
      <c r="G73" s="218">
        <f>ROUND((IF(MinBase1AMDay&gt;ROUND(((1-(OverNightDiscount_21_Up+FedExExrpessEarnedDiscount))*'1Day AM Base'!G70),2),ROUND(MinBase1AMDay*(1+ExpressFuelSurcharge),2),ROUND(((1-(OverNightDiscount_21_Up+FedExExrpessEarnedDiscount))*'1Day AM Base'!G70)*(1+ExpressFuelSurcharge),2)))*(1+FedEx_Markup),2)</f>
        <v>341.01</v>
      </c>
      <c r="H73" s="218">
        <f>ROUND((IF(MinBase1AMDay&gt;ROUND(((1-(OverNightDiscount_21_Up+FedExExrpessEarnedDiscount))*'1Day AM Base'!H70),2),ROUND(MinBase1AMDay*(1+ExpressFuelSurcharge),2),ROUND(((1-(OverNightDiscount_21_Up+FedExExrpessEarnedDiscount))*'1Day AM Base'!H70)*(1+ExpressFuelSurcharge),2)))*(1+FedEx_Markup),2)</f>
        <v>360.73</v>
      </c>
    </row>
    <row r="74" spans="1:8" ht="12.75" customHeight="1">
      <c r="A74" s="217">
        <v>69</v>
      </c>
      <c r="B74" s="218">
        <f>ROUND((IF(MinBase1AMDay&gt;ROUND(((1-(OverNightDiscount_21_Up+FedExExrpessEarnedDiscount))*'1Day AM Base'!B71),2),ROUND(MinBase1AMDay*(1+ExpressFuelSurcharge),2),ROUND(((1-(OverNightDiscount_21_Up+FedExExrpessEarnedDiscount))*'1Day AM Base'!B71)*(1+ExpressFuelSurcharge),2)))*(1+FedEx_Markup),2)</f>
        <v>112.08</v>
      </c>
      <c r="C74" s="218">
        <f>ROUND((IF(MinBase1AMDay&gt;ROUND(((1-(OverNightDiscount_21_Up+FedExExrpessEarnedDiscount))*'1Day AM Base'!C71),2),ROUND(MinBase1AMDay*(1+ExpressFuelSurcharge),2),ROUND(((1-(OverNightDiscount_21_Up+FedExExrpessEarnedDiscount))*'1Day AM Base'!C71)*(1+ExpressFuelSurcharge),2)))*(1+FedEx_Markup),2)</f>
        <v>168.16</v>
      </c>
      <c r="D74" s="218">
        <f>ROUND((IF(MinBase1AMDay&gt;ROUND(((1-(OverNightDiscount_21_Up+FedExExrpessEarnedDiscount))*'1Day AM Base'!D71),2),ROUND(MinBase1AMDay*(1+ExpressFuelSurcharge),2),ROUND(((1-(OverNightDiscount_21_Up+FedExExrpessEarnedDiscount))*'1Day AM Base'!D71)*(1+ExpressFuelSurcharge),2)))*(1+FedEx_Markup),2)</f>
        <v>274.19</v>
      </c>
      <c r="E74" s="218">
        <f>ROUND((IF(MinBase1AMDay&gt;ROUND(((1-(OverNightDiscount_21_Up+FedExExrpessEarnedDiscount))*'1Day AM Base'!E71),2),ROUND(MinBase1AMDay*(1+ExpressFuelSurcharge),2),ROUND(((1-(OverNightDiscount_21_Up+FedExExrpessEarnedDiscount))*'1Day AM Base'!E71)*(1+ExpressFuelSurcharge),2)))*(1+FedEx_Markup),2)</f>
        <v>301</v>
      </c>
      <c r="F74" s="218">
        <f>ROUND((IF(MinBase1AMDay&gt;ROUND(((1-(OverNightDiscount_21_Up+FedExExrpessEarnedDiscount))*'1Day AM Base'!F71),2),ROUND(MinBase1AMDay*(1+ExpressFuelSurcharge),2),ROUND(((1-(OverNightDiscount_21_Up+FedExExrpessEarnedDiscount))*'1Day AM Base'!F71)*(1+ExpressFuelSurcharge),2)))*(1+FedEx_Markup),2)</f>
        <v>307.02999999999997</v>
      </c>
      <c r="G74" s="218">
        <f>ROUND((IF(MinBase1AMDay&gt;ROUND(((1-(OverNightDiscount_21_Up+FedExExrpessEarnedDiscount))*'1Day AM Base'!G71),2),ROUND(MinBase1AMDay*(1+ExpressFuelSurcharge),2),ROUND(((1-(OverNightDiscount_21_Up+FedExExrpessEarnedDiscount))*'1Day AM Base'!G71)*(1+ExpressFuelSurcharge),2)))*(1+FedEx_Markup),2)</f>
        <v>341.25</v>
      </c>
      <c r="H74" s="218">
        <f>ROUND((IF(MinBase1AMDay&gt;ROUND(((1-(OverNightDiscount_21_Up+FedExExrpessEarnedDiscount))*'1Day AM Base'!H71),2),ROUND(MinBase1AMDay*(1+ExpressFuelSurcharge),2),ROUND(((1-(OverNightDiscount_21_Up+FedExExrpessEarnedDiscount))*'1Day AM Base'!H71)*(1+ExpressFuelSurcharge),2)))*(1+FedEx_Markup),2)</f>
        <v>361.56</v>
      </c>
    </row>
    <row r="75" spans="1:8" ht="12.75" customHeight="1">
      <c r="A75" s="217">
        <v>70</v>
      </c>
      <c r="B75" s="218">
        <f>ROUND((IF(MinBase1AMDay&gt;ROUND(((1-(OverNightDiscount_21_Up+FedExExrpessEarnedDiscount))*'1Day AM Base'!B72),2),ROUND(MinBase1AMDay*(1+ExpressFuelSurcharge),2),ROUND(((1-(OverNightDiscount_21_Up+FedExExrpessEarnedDiscount))*'1Day AM Base'!B72)*(1+ExpressFuelSurcharge),2)))*(1+FedEx_Markup),2)</f>
        <v>112.26</v>
      </c>
      <c r="C75" s="218">
        <f>ROUND((IF(MinBase1AMDay&gt;ROUND(((1-(OverNightDiscount_21_Up+FedExExrpessEarnedDiscount))*'1Day AM Base'!C72),2),ROUND(MinBase1AMDay*(1+ExpressFuelSurcharge),2),ROUND(((1-(OverNightDiscount_21_Up+FedExExrpessEarnedDiscount))*'1Day AM Base'!C72)*(1+ExpressFuelSurcharge),2)))*(1+FedEx_Markup),2)</f>
        <v>168.46</v>
      </c>
      <c r="D75" s="218">
        <f>ROUND((IF(MinBase1AMDay&gt;ROUND(((1-(OverNightDiscount_21_Up+FedExExrpessEarnedDiscount))*'1Day AM Base'!D72),2),ROUND(MinBase1AMDay*(1+ExpressFuelSurcharge),2),ROUND(((1-(OverNightDiscount_21_Up+FedExExrpessEarnedDiscount))*'1Day AM Base'!D72)*(1+ExpressFuelSurcharge),2)))*(1+FedEx_Markup),2)</f>
        <v>280.58999999999997</v>
      </c>
      <c r="E75" s="218">
        <f>ROUND((IF(MinBase1AMDay&gt;ROUND(((1-(OverNightDiscount_21_Up+FedExExrpessEarnedDiscount))*'1Day AM Base'!E72),2),ROUND(MinBase1AMDay*(1+ExpressFuelSurcharge),2),ROUND(((1-(OverNightDiscount_21_Up+FedExExrpessEarnedDiscount))*'1Day AM Base'!E72)*(1+ExpressFuelSurcharge),2)))*(1+FedEx_Markup),2)</f>
        <v>301.25</v>
      </c>
      <c r="F75" s="218">
        <f>ROUND((IF(MinBase1AMDay&gt;ROUND(((1-(OverNightDiscount_21_Up+FedExExrpessEarnedDiscount))*'1Day AM Base'!F72),2),ROUND(MinBase1AMDay*(1+ExpressFuelSurcharge),2),ROUND(((1-(OverNightDiscount_21_Up+FedExExrpessEarnedDiscount))*'1Day AM Base'!F72)*(1+ExpressFuelSurcharge),2)))*(1+FedEx_Markup),2)</f>
        <v>307.27999999999997</v>
      </c>
      <c r="G75" s="218">
        <f>ROUND((IF(MinBase1AMDay&gt;ROUND(((1-(OverNightDiscount_21_Up+FedExExrpessEarnedDiscount))*'1Day AM Base'!G72),2),ROUND(MinBase1AMDay*(1+ExpressFuelSurcharge),2),ROUND(((1-(OverNightDiscount_21_Up+FedExExrpessEarnedDiscount))*'1Day AM Base'!G72)*(1+ExpressFuelSurcharge),2)))*(1+FedEx_Markup),2)</f>
        <v>341.99</v>
      </c>
      <c r="H75" s="218">
        <f>ROUND((IF(MinBase1AMDay&gt;ROUND(((1-(OverNightDiscount_21_Up+FedExExrpessEarnedDiscount))*'1Day AM Base'!H72),2),ROUND(MinBase1AMDay*(1+ExpressFuelSurcharge),2),ROUND(((1-(OverNightDiscount_21_Up+FedExExrpessEarnedDiscount))*'1Day AM Base'!H72)*(1+ExpressFuelSurcharge),2)))*(1+FedEx_Markup),2)</f>
        <v>362.25</v>
      </c>
    </row>
    <row r="76" spans="1:8" ht="12.75" customHeight="1">
      <c r="A76" s="217">
        <v>71</v>
      </c>
      <c r="B76" s="218">
        <f>ROUND((IF(MinBase1AMDay&gt;ROUND(((1-(OverNightDiscount_21_Up+FedExExrpessEarnedDiscount))*'1Day AM Base'!B73),2),ROUND(MinBase1AMDay*(1+ExpressFuelSurcharge),2),ROUND(((1-(OverNightDiscount_21_Up+FedExExrpessEarnedDiscount))*'1Day AM Base'!B73)*(1+ExpressFuelSurcharge),2)))*(1+FedEx_Markup),2)</f>
        <v>115.14</v>
      </c>
      <c r="C76" s="218">
        <f>ROUND((IF(MinBase1AMDay&gt;ROUND(((1-(OverNightDiscount_21_Up+FedExExrpessEarnedDiscount))*'1Day AM Base'!C73),2),ROUND(MinBase1AMDay*(1+ExpressFuelSurcharge),2),ROUND(((1-(OverNightDiscount_21_Up+FedExExrpessEarnedDiscount))*'1Day AM Base'!C73)*(1+ExpressFuelSurcharge),2)))*(1+FedEx_Markup),2)</f>
        <v>168.73</v>
      </c>
      <c r="D76" s="218">
        <f>ROUND((IF(MinBase1AMDay&gt;ROUND(((1-(OverNightDiscount_21_Up+FedExExrpessEarnedDiscount))*'1Day AM Base'!D73),2),ROUND(MinBase1AMDay*(1+ExpressFuelSurcharge),2),ROUND(((1-(OverNightDiscount_21_Up+FedExExrpessEarnedDiscount))*'1Day AM Base'!D73)*(1+ExpressFuelSurcharge),2)))*(1+FedEx_Markup),2)</f>
        <v>281.5</v>
      </c>
      <c r="E76" s="218">
        <f>ROUND((IF(MinBase1AMDay&gt;ROUND(((1-(OverNightDiscount_21_Up+FedExExrpessEarnedDiscount))*'1Day AM Base'!E73),2),ROUND(MinBase1AMDay*(1+ExpressFuelSurcharge),2),ROUND(((1-(OverNightDiscount_21_Up+FedExExrpessEarnedDiscount))*'1Day AM Base'!E73)*(1+ExpressFuelSurcharge),2)))*(1+FedEx_Markup),2)</f>
        <v>301.82</v>
      </c>
      <c r="F76" s="218">
        <f>ROUND((IF(MinBase1AMDay&gt;ROUND(((1-(OverNightDiscount_21_Up+FedExExrpessEarnedDiscount))*'1Day AM Base'!F73),2),ROUND(MinBase1AMDay*(1+ExpressFuelSurcharge),2),ROUND(((1-(OverNightDiscount_21_Up+FedExExrpessEarnedDiscount))*'1Day AM Base'!F73)*(1+ExpressFuelSurcharge),2)))*(1+FedEx_Markup),2)</f>
        <v>307.86</v>
      </c>
      <c r="G76" s="218">
        <f>ROUND((IF(MinBase1AMDay&gt;ROUND(((1-(OverNightDiscount_21_Up+FedExExrpessEarnedDiscount))*'1Day AM Base'!G73),2),ROUND(MinBase1AMDay*(1+ExpressFuelSurcharge),2),ROUND(((1-(OverNightDiscount_21_Up+FedExExrpessEarnedDiscount))*'1Day AM Base'!G73)*(1+ExpressFuelSurcharge),2)))*(1+FedEx_Markup),2)</f>
        <v>356.42</v>
      </c>
      <c r="H76" s="218">
        <f>ROUND((IF(MinBase1AMDay&gt;ROUND(((1-(OverNightDiscount_21_Up+FedExExrpessEarnedDiscount))*'1Day AM Base'!H73),2),ROUND(MinBase1AMDay*(1+ExpressFuelSurcharge),2),ROUND(((1-(OverNightDiscount_21_Up+FedExExrpessEarnedDiscount))*'1Day AM Base'!H73)*(1+ExpressFuelSurcharge),2)))*(1+FedEx_Markup),2)</f>
        <v>363.56</v>
      </c>
    </row>
    <row r="77" spans="1:8" ht="12.75" customHeight="1">
      <c r="A77" s="217">
        <v>72</v>
      </c>
      <c r="B77" s="218">
        <f>ROUND((IF(MinBase1AMDay&gt;ROUND(((1-(OverNightDiscount_21_Up+FedExExrpessEarnedDiscount))*'1Day AM Base'!B74),2),ROUND(MinBase1AMDay*(1+ExpressFuelSurcharge),2),ROUND(((1-(OverNightDiscount_21_Up+FedExExrpessEarnedDiscount))*'1Day AM Base'!B74)*(1+ExpressFuelSurcharge),2)))*(1+FedEx_Markup),2)</f>
        <v>116.31</v>
      </c>
      <c r="C77" s="218">
        <f>ROUND((IF(MinBase1AMDay&gt;ROUND(((1-(OverNightDiscount_21_Up+FedExExrpessEarnedDiscount))*'1Day AM Base'!C74),2),ROUND(MinBase1AMDay*(1+ExpressFuelSurcharge),2),ROUND(((1-(OverNightDiscount_21_Up+FedExExrpessEarnedDiscount))*'1Day AM Base'!C74)*(1+ExpressFuelSurcharge),2)))*(1+FedEx_Markup),2)</f>
        <v>170.48</v>
      </c>
      <c r="D77" s="218">
        <f>ROUND((IF(MinBase1AMDay&gt;ROUND(((1-(OverNightDiscount_21_Up+FedExExrpessEarnedDiscount))*'1Day AM Base'!D74),2),ROUND(MinBase1AMDay*(1+ExpressFuelSurcharge),2),ROUND(((1-(OverNightDiscount_21_Up+FedExExrpessEarnedDiscount))*'1Day AM Base'!D74)*(1+ExpressFuelSurcharge),2)))*(1+FedEx_Markup),2)</f>
        <v>293.02999999999997</v>
      </c>
      <c r="E77" s="218">
        <f>ROUND((IF(MinBase1AMDay&gt;ROUND(((1-(OverNightDiscount_21_Up+FedExExrpessEarnedDiscount))*'1Day AM Base'!E74),2),ROUND(MinBase1AMDay*(1+ExpressFuelSurcharge),2),ROUND(((1-(OverNightDiscount_21_Up+FedExExrpessEarnedDiscount))*'1Day AM Base'!E74)*(1+ExpressFuelSurcharge),2)))*(1+FedEx_Markup),2)</f>
        <v>311.93</v>
      </c>
      <c r="F77" s="218">
        <f>ROUND((IF(MinBase1AMDay&gt;ROUND(((1-(OverNightDiscount_21_Up+FedExExrpessEarnedDiscount))*'1Day AM Base'!F74),2),ROUND(MinBase1AMDay*(1+ExpressFuelSurcharge),2),ROUND(((1-(OverNightDiscount_21_Up+FedExExrpessEarnedDiscount))*'1Day AM Base'!F74)*(1+ExpressFuelSurcharge),2)))*(1+FedEx_Markup),2)</f>
        <v>318.18</v>
      </c>
      <c r="G77" s="218">
        <f>ROUND((IF(MinBase1AMDay&gt;ROUND(((1-(OverNightDiscount_21_Up+FedExExrpessEarnedDiscount))*'1Day AM Base'!G74),2),ROUND(MinBase1AMDay*(1+ExpressFuelSurcharge),2),ROUND(((1-(OverNightDiscount_21_Up+FedExExrpessEarnedDiscount))*'1Day AM Base'!G74)*(1+ExpressFuelSurcharge),2)))*(1+FedEx_Markup),2)</f>
        <v>371.93</v>
      </c>
      <c r="H77" s="218">
        <f>ROUND((IF(MinBase1AMDay&gt;ROUND(((1-(OverNightDiscount_21_Up+FedExExrpessEarnedDiscount))*'1Day AM Base'!H74),2),ROUND(MinBase1AMDay*(1+ExpressFuelSurcharge),2),ROUND(((1-(OverNightDiscount_21_Up+FedExExrpessEarnedDiscount))*'1Day AM Base'!H74)*(1+ExpressFuelSurcharge),2)))*(1+FedEx_Markup),2)</f>
        <v>389.77</v>
      </c>
    </row>
    <row r="78" spans="1:8" ht="12.75" customHeight="1">
      <c r="A78" s="217">
        <v>73</v>
      </c>
      <c r="B78" s="218">
        <f>ROUND((IF(MinBase1AMDay&gt;ROUND(((1-(OverNightDiscount_21_Up+FedExExrpessEarnedDiscount))*'1Day AM Base'!B75),2),ROUND(MinBase1AMDay*(1+ExpressFuelSurcharge),2),ROUND(((1-(OverNightDiscount_21_Up+FedExExrpessEarnedDiscount))*'1Day AM Base'!B75)*(1+ExpressFuelSurcharge),2)))*(1+FedEx_Markup),2)</f>
        <v>116.58</v>
      </c>
      <c r="C78" s="218">
        <f>ROUND((IF(MinBase1AMDay&gt;ROUND(((1-(OverNightDiscount_21_Up+FedExExrpessEarnedDiscount))*'1Day AM Base'!C75),2),ROUND(MinBase1AMDay*(1+ExpressFuelSurcharge),2),ROUND(((1-(OverNightDiscount_21_Up+FedExExrpessEarnedDiscount))*'1Day AM Base'!C75)*(1+ExpressFuelSurcharge),2)))*(1+FedEx_Markup),2)</f>
        <v>177.02</v>
      </c>
      <c r="D78" s="218">
        <f>ROUND((IF(MinBase1AMDay&gt;ROUND(((1-(OverNightDiscount_21_Up+FedExExrpessEarnedDiscount))*'1Day AM Base'!D75),2),ROUND(MinBase1AMDay*(1+ExpressFuelSurcharge),2),ROUND(((1-(OverNightDiscount_21_Up+FedExExrpessEarnedDiscount))*'1Day AM Base'!D75)*(1+ExpressFuelSurcharge),2)))*(1+FedEx_Markup),2)</f>
        <v>300.94</v>
      </c>
      <c r="E78" s="218">
        <f>ROUND((IF(MinBase1AMDay&gt;ROUND(((1-(OverNightDiscount_21_Up+FedExExrpessEarnedDiscount))*'1Day AM Base'!E75),2),ROUND(MinBase1AMDay*(1+ExpressFuelSurcharge),2),ROUND(((1-(OverNightDiscount_21_Up+FedExExrpessEarnedDiscount))*'1Day AM Base'!E75)*(1+ExpressFuelSurcharge),2)))*(1+FedEx_Markup),2)</f>
        <v>313.17</v>
      </c>
      <c r="F78" s="218">
        <f>ROUND((IF(MinBase1AMDay&gt;ROUND(((1-(OverNightDiscount_21_Up+FedExExrpessEarnedDiscount))*'1Day AM Base'!F75),2),ROUND(MinBase1AMDay*(1+ExpressFuelSurcharge),2),ROUND(((1-(OverNightDiscount_21_Up+FedExExrpessEarnedDiscount))*'1Day AM Base'!F75)*(1+ExpressFuelSurcharge),2)))*(1+FedEx_Markup),2)</f>
        <v>325.89999999999998</v>
      </c>
      <c r="G78" s="218">
        <f>ROUND((IF(MinBase1AMDay&gt;ROUND(((1-(OverNightDiscount_21_Up+FedExExrpessEarnedDiscount))*'1Day AM Base'!G75),2),ROUND(MinBase1AMDay*(1+ExpressFuelSurcharge),2),ROUND(((1-(OverNightDiscount_21_Up+FedExExrpessEarnedDiscount))*'1Day AM Base'!G75)*(1+ExpressFuelSurcharge),2)))*(1+FedEx_Markup),2)</f>
        <v>373.5</v>
      </c>
      <c r="H78" s="218">
        <f>ROUND((IF(MinBase1AMDay&gt;ROUND(((1-(OverNightDiscount_21_Up+FedExExrpessEarnedDiscount))*'1Day AM Base'!H75),2),ROUND(MinBase1AMDay*(1+ExpressFuelSurcharge),2),ROUND(((1-(OverNightDiscount_21_Up+FedExExrpessEarnedDiscount))*'1Day AM Base'!H75)*(1+ExpressFuelSurcharge),2)))*(1+FedEx_Markup),2)</f>
        <v>392.41</v>
      </c>
    </row>
    <row r="79" spans="1:8" ht="12.75" customHeight="1">
      <c r="A79" s="217">
        <v>74</v>
      </c>
      <c r="B79" s="218">
        <f>ROUND((IF(MinBase1AMDay&gt;ROUND(((1-(OverNightDiscount_21_Up+FedExExrpessEarnedDiscount))*'1Day AM Base'!B76),2),ROUND(MinBase1AMDay*(1+ExpressFuelSurcharge),2),ROUND(((1-(OverNightDiscount_21_Up+FedExExrpessEarnedDiscount))*'1Day AM Base'!B76)*(1+ExpressFuelSurcharge),2)))*(1+FedEx_Markup),2)</f>
        <v>116.86</v>
      </c>
      <c r="C79" s="218">
        <f>ROUND((IF(MinBase1AMDay&gt;ROUND(((1-(OverNightDiscount_21_Up+FedExExrpessEarnedDiscount))*'1Day AM Base'!C76),2),ROUND(MinBase1AMDay*(1+ExpressFuelSurcharge),2),ROUND(((1-(OverNightDiscount_21_Up+FedExExrpessEarnedDiscount))*'1Day AM Base'!C76)*(1+ExpressFuelSurcharge),2)))*(1+FedEx_Markup),2)</f>
        <v>177.68</v>
      </c>
      <c r="D79" s="218">
        <f>ROUND((IF(MinBase1AMDay&gt;ROUND(((1-(OverNightDiscount_21_Up+FedExExrpessEarnedDiscount))*'1Day AM Base'!D76),2),ROUND(MinBase1AMDay*(1+ExpressFuelSurcharge),2),ROUND(((1-(OverNightDiscount_21_Up+FedExExrpessEarnedDiscount))*'1Day AM Base'!D76)*(1+ExpressFuelSurcharge),2)))*(1+FedEx_Markup),2)</f>
        <v>301.74</v>
      </c>
      <c r="E79" s="218">
        <f>ROUND((IF(MinBase1AMDay&gt;ROUND(((1-(OverNightDiscount_21_Up+FedExExrpessEarnedDiscount))*'1Day AM Base'!E76),2),ROUND(MinBase1AMDay*(1+ExpressFuelSurcharge),2),ROUND(((1-(OverNightDiscount_21_Up+FedExExrpessEarnedDiscount))*'1Day AM Base'!E76)*(1+ExpressFuelSurcharge),2)))*(1+FedEx_Markup),2)</f>
        <v>313.35000000000002</v>
      </c>
      <c r="F79" s="218">
        <f>ROUND((IF(MinBase1AMDay&gt;ROUND(((1-(OverNightDiscount_21_Up+FedExExrpessEarnedDiscount))*'1Day AM Base'!F76),2),ROUND(MinBase1AMDay*(1+ExpressFuelSurcharge),2),ROUND(((1-(OverNightDiscount_21_Up+FedExExrpessEarnedDiscount))*'1Day AM Base'!F76)*(1+ExpressFuelSurcharge),2)))*(1+FedEx_Markup),2)</f>
        <v>326.67</v>
      </c>
      <c r="G79" s="218">
        <f>ROUND((IF(MinBase1AMDay&gt;ROUND(((1-(OverNightDiscount_21_Up+FedExExrpessEarnedDiscount))*'1Day AM Base'!G76),2),ROUND(MinBase1AMDay*(1+ExpressFuelSurcharge),2),ROUND(((1-(OverNightDiscount_21_Up+FedExExrpessEarnedDiscount))*'1Day AM Base'!G76)*(1+ExpressFuelSurcharge),2)))*(1+FedEx_Markup),2)</f>
        <v>373.74</v>
      </c>
      <c r="H79" s="218">
        <f>ROUND((IF(MinBase1AMDay&gt;ROUND(((1-(OverNightDiscount_21_Up+FedExExrpessEarnedDiscount))*'1Day AM Base'!H76),2),ROUND(MinBase1AMDay*(1+ExpressFuelSurcharge),2),ROUND(((1-(OverNightDiscount_21_Up+FedExExrpessEarnedDiscount))*'1Day AM Base'!H76)*(1+ExpressFuelSurcharge),2)))*(1+FedEx_Markup),2)</f>
        <v>392.68</v>
      </c>
    </row>
    <row r="80" spans="1:8" ht="12.75" customHeight="1">
      <c r="A80" s="217">
        <v>75</v>
      </c>
      <c r="B80" s="218">
        <f>ROUND((IF(MinBase1AMDay&gt;ROUND(((1-(OverNightDiscount_21_Up+FedExExrpessEarnedDiscount))*'1Day AM Base'!B77),2),ROUND(MinBase1AMDay*(1+ExpressFuelSurcharge),2),ROUND(((1-(OverNightDiscount_21_Up+FedExExrpessEarnedDiscount))*'1Day AM Base'!B77)*(1+ExpressFuelSurcharge),2)))*(1+FedEx_Markup),2)</f>
        <v>117.4</v>
      </c>
      <c r="C80" s="218">
        <f>ROUND((IF(MinBase1AMDay&gt;ROUND(((1-(OverNightDiscount_21_Up+FedExExrpessEarnedDiscount))*'1Day AM Base'!C77),2),ROUND(MinBase1AMDay*(1+ExpressFuelSurcharge),2),ROUND(((1-(OverNightDiscount_21_Up+FedExExrpessEarnedDiscount))*'1Day AM Base'!C77)*(1+ExpressFuelSurcharge),2)))*(1+FedEx_Markup),2)</f>
        <v>178.25</v>
      </c>
      <c r="D80" s="218">
        <f>ROUND((IF(MinBase1AMDay&gt;ROUND(((1-(OverNightDiscount_21_Up+FedExExrpessEarnedDiscount))*'1Day AM Base'!D77),2),ROUND(MinBase1AMDay*(1+ExpressFuelSurcharge),2),ROUND(((1-(OverNightDiscount_21_Up+FedExExrpessEarnedDiscount))*'1Day AM Base'!D77)*(1+ExpressFuelSurcharge),2)))*(1+FedEx_Markup),2)</f>
        <v>302.25</v>
      </c>
      <c r="E80" s="218">
        <f>ROUND((IF(MinBase1AMDay&gt;ROUND(((1-(OverNightDiscount_21_Up+FedExExrpessEarnedDiscount))*'1Day AM Base'!E77),2),ROUND(MinBase1AMDay*(1+ExpressFuelSurcharge),2),ROUND(((1-(OverNightDiscount_21_Up+FedExExrpessEarnedDiscount))*'1Day AM Base'!E77)*(1+ExpressFuelSurcharge),2)))*(1+FedEx_Markup),2)</f>
        <v>313.70999999999998</v>
      </c>
      <c r="F80" s="218">
        <f>ROUND((IF(MinBase1AMDay&gt;ROUND(((1-(OverNightDiscount_21_Up+FedExExrpessEarnedDiscount))*'1Day AM Base'!F77),2),ROUND(MinBase1AMDay*(1+ExpressFuelSurcharge),2),ROUND(((1-(OverNightDiscount_21_Up+FedExExrpessEarnedDiscount))*'1Day AM Base'!F77)*(1+ExpressFuelSurcharge),2)))*(1+FedEx_Markup),2)</f>
        <v>327.02999999999997</v>
      </c>
      <c r="G80" s="218">
        <f>ROUND((IF(MinBase1AMDay&gt;ROUND(((1-(OverNightDiscount_21_Up+FedExExrpessEarnedDiscount))*'1Day AM Base'!G77),2),ROUND(MinBase1AMDay*(1+ExpressFuelSurcharge),2),ROUND(((1-(OverNightDiscount_21_Up+FedExExrpessEarnedDiscount))*'1Day AM Base'!G77)*(1+ExpressFuelSurcharge),2)))*(1+FedEx_Markup),2)</f>
        <v>374.24</v>
      </c>
      <c r="H80" s="218">
        <f>ROUND((IF(MinBase1AMDay&gt;ROUND(((1-(OverNightDiscount_21_Up+FedExExrpessEarnedDiscount))*'1Day AM Base'!H77),2),ROUND(MinBase1AMDay*(1+ExpressFuelSurcharge),2),ROUND(((1-(OverNightDiscount_21_Up+FedExExrpessEarnedDiscount))*'1Day AM Base'!H77)*(1+ExpressFuelSurcharge),2)))*(1+FedEx_Markup),2)</f>
        <v>393.2</v>
      </c>
    </row>
    <row r="81" spans="1:26" ht="12.75" customHeight="1">
      <c r="A81" s="217">
        <v>76</v>
      </c>
      <c r="B81" s="218">
        <f>ROUND((IF(MinBase1AMDay&gt;ROUND(((1-(OverNightDiscount_21_Up+FedExExrpessEarnedDiscount))*'1Day AM Base'!B78),2),ROUND(MinBase1AMDay*(1+ExpressFuelSurcharge),2),ROUND(((1-(OverNightDiscount_21_Up+FedExExrpessEarnedDiscount))*'1Day AM Base'!B78)*(1+ExpressFuelSurcharge),2)))*(1+FedEx_Markup),2)</f>
        <v>117.89</v>
      </c>
      <c r="C81" s="218">
        <f>ROUND((IF(MinBase1AMDay&gt;ROUND(((1-(OverNightDiscount_21_Up+FedExExrpessEarnedDiscount))*'1Day AM Base'!C78),2),ROUND(MinBase1AMDay*(1+ExpressFuelSurcharge),2),ROUND(((1-(OverNightDiscount_21_Up+FedExExrpessEarnedDiscount))*'1Day AM Base'!C78)*(1+ExpressFuelSurcharge),2)))*(1+FedEx_Markup),2)</f>
        <v>179.99</v>
      </c>
      <c r="D81" s="218">
        <f>ROUND((IF(MinBase1AMDay&gt;ROUND(((1-(OverNightDiscount_21_Up+FedExExrpessEarnedDiscount))*'1Day AM Base'!D78),2),ROUND(MinBase1AMDay*(1+ExpressFuelSurcharge),2),ROUND(((1-(OverNightDiscount_21_Up+FedExExrpessEarnedDiscount))*'1Day AM Base'!D78)*(1+ExpressFuelSurcharge),2)))*(1+FedEx_Markup),2)</f>
        <v>302.61</v>
      </c>
      <c r="E81" s="218">
        <f>ROUND((IF(MinBase1AMDay&gt;ROUND(((1-(OverNightDiscount_21_Up+FedExExrpessEarnedDiscount))*'1Day AM Base'!E78),2),ROUND(MinBase1AMDay*(1+ExpressFuelSurcharge),2),ROUND(((1-(OverNightDiscount_21_Up+FedExExrpessEarnedDiscount))*'1Day AM Base'!E78)*(1+ExpressFuelSurcharge),2)))*(1+FedEx_Markup),2)</f>
        <v>316.39</v>
      </c>
      <c r="F81" s="218">
        <f>ROUND((IF(MinBase1AMDay&gt;ROUND(((1-(OverNightDiscount_21_Up+FedExExrpessEarnedDiscount))*'1Day AM Base'!F78),2),ROUND(MinBase1AMDay*(1+ExpressFuelSurcharge),2),ROUND(((1-(OverNightDiscount_21_Up+FedExExrpessEarnedDiscount))*'1Day AM Base'!F78)*(1+ExpressFuelSurcharge),2)))*(1+FedEx_Markup),2)</f>
        <v>327.75</v>
      </c>
      <c r="G81" s="218">
        <f>ROUND((IF(MinBase1AMDay&gt;ROUND(((1-(OverNightDiscount_21_Up+FedExExrpessEarnedDiscount))*'1Day AM Base'!G78),2),ROUND(MinBase1AMDay*(1+ExpressFuelSurcharge),2),ROUND(((1-(OverNightDiscount_21_Up+FedExExrpessEarnedDiscount))*'1Day AM Base'!G78)*(1+ExpressFuelSurcharge),2)))*(1+FedEx_Markup),2)</f>
        <v>384.12</v>
      </c>
      <c r="H81" s="218">
        <f>ROUND((IF(MinBase1AMDay&gt;ROUND(((1-(OverNightDiscount_21_Up+FedExExrpessEarnedDiscount))*'1Day AM Base'!H78),2),ROUND(MinBase1AMDay*(1+ExpressFuelSurcharge),2),ROUND(((1-(OverNightDiscount_21_Up+FedExExrpessEarnedDiscount))*'1Day AM Base'!H78)*(1+ExpressFuelSurcharge),2)))*(1+FedEx_Markup),2)</f>
        <v>393.55</v>
      </c>
      <c r="L81" s="4"/>
    </row>
    <row r="82" spans="1:26" ht="12.75" customHeight="1">
      <c r="A82" s="217">
        <v>77</v>
      </c>
      <c r="B82" s="218">
        <f>ROUND((IF(MinBase1AMDay&gt;ROUND(((1-(OverNightDiscount_21_Up+FedExExrpessEarnedDiscount))*'1Day AM Base'!B79),2),ROUND(MinBase1AMDay*(1+ExpressFuelSurcharge),2),ROUND(((1-(OverNightDiscount_21_Up+FedExExrpessEarnedDiscount))*'1Day AM Base'!B79)*(1+ExpressFuelSurcharge),2)))*(1+FedEx_Markup),2)</f>
        <v>118.24</v>
      </c>
      <c r="C82" s="218">
        <f>ROUND((IF(MinBase1AMDay&gt;ROUND(((1-(OverNightDiscount_21_Up+FedExExrpessEarnedDiscount))*'1Day AM Base'!C79),2),ROUND(MinBase1AMDay*(1+ExpressFuelSurcharge),2),ROUND(((1-(OverNightDiscount_21_Up+FedExExrpessEarnedDiscount))*'1Day AM Base'!C79)*(1+ExpressFuelSurcharge),2)))*(1+FedEx_Markup),2)</f>
        <v>180.35</v>
      </c>
      <c r="D82" s="218">
        <f>ROUND((IF(MinBase1AMDay&gt;ROUND(((1-(OverNightDiscount_21_Up+FedExExrpessEarnedDiscount))*'1Day AM Base'!D79),2),ROUND(MinBase1AMDay*(1+ExpressFuelSurcharge),2),ROUND(((1-(OverNightDiscount_21_Up+FedExExrpessEarnedDiscount))*'1Day AM Base'!D79)*(1+ExpressFuelSurcharge),2)))*(1+FedEx_Markup),2)</f>
        <v>303.88</v>
      </c>
      <c r="E82" s="218">
        <f>ROUND((IF(MinBase1AMDay&gt;ROUND(((1-(OverNightDiscount_21_Up+FedExExrpessEarnedDiscount))*'1Day AM Base'!E79),2),ROUND(MinBase1AMDay*(1+ExpressFuelSurcharge),2),ROUND(((1-(OverNightDiscount_21_Up+FedExExrpessEarnedDiscount))*'1Day AM Base'!E79)*(1+ExpressFuelSurcharge),2)))*(1+FedEx_Markup),2)</f>
        <v>331.23</v>
      </c>
      <c r="F82" s="218">
        <f>ROUND((IF(MinBase1AMDay&gt;ROUND(((1-(OverNightDiscount_21_Up+FedExExrpessEarnedDiscount))*'1Day AM Base'!F79),2),ROUND(MinBase1AMDay*(1+ExpressFuelSurcharge),2),ROUND(((1-(OverNightDiscount_21_Up+FedExExrpessEarnedDiscount))*'1Day AM Base'!F79)*(1+ExpressFuelSurcharge),2)))*(1+FedEx_Markup),2)</f>
        <v>342.22</v>
      </c>
      <c r="G82" s="218">
        <f>ROUND((IF(MinBase1AMDay&gt;ROUND(((1-(OverNightDiscount_21_Up+FedExExrpessEarnedDiscount))*'1Day AM Base'!G79),2),ROUND(MinBase1AMDay*(1+ExpressFuelSurcharge),2),ROUND(((1-(OverNightDiscount_21_Up+FedExExrpessEarnedDiscount))*'1Day AM Base'!G79)*(1+ExpressFuelSurcharge),2)))*(1+FedEx_Markup),2)</f>
        <v>386.02</v>
      </c>
      <c r="H82" s="218">
        <f>ROUND((IF(MinBase1AMDay&gt;ROUND(((1-(OverNightDiscount_21_Up+FedExExrpessEarnedDiscount))*'1Day AM Base'!H79),2),ROUND(MinBase1AMDay*(1+ExpressFuelSurcharge),2),ROUND(((1-(OverNightDiscount_21_Up+FedExExrpessEarnedDiscount))*'1Day AM Base'!H79)*(1+ExpressFuelSurcharge),2)))*(1+FedEx_Markup),2)</f>
        <v>393.99</v>
      </c>
    </row>
    <row r="83" spans="1:26" ht="12.75" customHeight="1">
      <c r="A83" s="217">
        <v>78</v>
      </c>
      <c r="B83" s="218">
        <f>ROUND((IF(MinBase1AMDay&gt;ROUND(((1-(OverNightDiscount_21_Up+FedExExrpessEarnedDiscount))*'1Day AM Base'!B80),2),ROUND(MinBase1AMDay*(1+ExpressFuelSurcharge),2),ROUND(((1-(OverNightDiscount_21_Up+FedExExrpessEarnedDiscount))*'1Day AM Base'!B80)*(1+ExpressFuelSurcharge),2)))*(1+FedEx_Markup),2)</f>
        <v>118.6</v>
      </c>
      <c r="C83" s="218">
        <f>ROUND((IF(MinBase1AMDay&gt;ROUND(((1-(OverNightDiscount_21_Up+FedExExrpessEarnedDiscount))*'1Day AM Base'!C80),2),ROUND(MinBase1AMDay*(1+ExpressFuelSurcharge),2),ROUND(((1-(OverNightDiscount_21_Up+FedExExrpessEarnedDiscount))*'1Day AM Base'!C80)*(1+ExpressFuelSurcharge),2)))*(1+FedEx_Markup),2)</f>
        <v>180.71</v>
      </c>
      <c r="D83" s="218">
        <f>ROUND((IF(MinBase1AMDay&gt;ROUND(((1-(OverNightDiscount_21_Up+FedExExrpessEarnedDiscount))*'1Day AM Base'!D80),2),ROUND(MinBase1AMDay*(1+ExpressFuelSurcharge),2),ROUND(((1-(OverNightDiscount_21_Up+FedExExrpessEarnedDiscount))*'1Day AM Base'!D80)*(1+ExpressFuelSurcharge),2)))*(1+FedEx_Markup),2)</f>
        <v>304.23</v>
      </c>
      <c r="E83" s="218">
        <f>ROUND((IF(MinBase1AMDay&gt;ROUND(((1-(OverNightDiscount_21_Up+FedExExrpessEarnedDiscount))*'1Day AM Base'!E80),2),ROUND(MinBase1AMDay*(1+ExpressFuelSurcharge),2),ROUND(((1-(OverNightDiscount_21_Up+FedExExrpessEarnedDiscount))*'1Day AM Base'!E80)*(1+ExpressFuelSurcharge),2)))*(1+FedEx_Markup),2)</f>
        <v>332.72</v>
      </c>
      <c r="F83" s="218">
        <f>ROUND((IF(MinBase1AMDay&gt;ROUND(((1-(OverNightDiscount_21_Up+FedExExrpessEarnedDiscount))*'1Day AM Base'!F80),2),ROUND(MinBase1AMDay*(1+ExpressFuelSurcharge),2),ROUND(((1-(OverNightDiscount_21_Up+FedExExrpessEarnedDiscount))*'1Day AM Base'!F80)*(1+ExpressFuelSurcharge),2)))*(1+FedEx_Markup),2)</f>
        <v>343.67</v>
      </c>
      <c r="G83" s="218">
        <f>ROUND((IF(MinBase1AMDay&gt;ROUND(((1-(OverNightDiscount_21_Up+FedExExrpessEarnedDiscount))*'1Day AM Base'!G80),2),ROUND(MinBase1AMDay*(1+ExpressFuelSurcharge),2),ROUND(((1-(OverNightDiscount_21_Up+FedExExrpessEarnedDiscount))*'1Day AM Base'!G80)*(1+ExpressFuelSurcharge),2)))*(1+FedEx_Markup),2)</f>
        <v>386.38</v>
      </c>
      <c r="H83" s="218">
        <f>ROUND((IF(MinBase1AMDay&gt;ROUND(((1-(OverNightDiscount_21_Up+FedExExrpessEarnedDiscount))*'1Day AM Base'!H80),2),ROUND(MinBase1AMDay*(1+ExpressFuelSurcharge),2),ROUND(((1-(OverNightDiscount_21_Up+FedExExrpessEarnedDiscount))*'1Day AM Base'!H80)*(1+ExpressFuelSurcharge),2)))*(1+FedEx_Markup),2)</f>
        <v>394.36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>
      <c r="A84" s="217">
        <v>79</v>
      </c>
      <c r="B84" s="218">
        <f>ROUND((IF(MinBase1AMDay&gt;ROUND(((1-(OverNightDiscount_21_Up+FedExExrpessEarnedDiscount))*'1Day AM Base'!B81),2),ROUND(MinBase1AMDay*(1+ExpressFuelSurcharge),2),ROUND(((1-(OverNightDiscount_21_Up+FedExExrpessEarnedDiscount))*'1Day AM Base'!B81)*(1+ExpressFuelSurcharge),2)))*(1+FedEx_Markup),2)</f>
        <v>118.97</v>
      </c>
      <c r="C84" s="218">
        <f>ROUND((IF(MinBase1AMDay&gt;ROUND(((1-(OverNightDiscount_21_Up+FedExExrpessEarnedDiscount))*'1Day AM Base'!C81),2),ROUND(MinBase1AMDay*(1+ExpressFuelSurcharge),2),ROUND(((1-(OverNightDiscount_21_Up+FedExExrpessEarnedDiscount))*'1Day AM Base'!C81)*(1+ExpressFuelSurcharge),2)))*(1+FedEx_Markup),2)</f>
        <v>181.07</v>
      </c>
      <c r="D84" s="218">
        <f>ROUND((IF(MinBase1AMDay&gt;ROUND(((1-(OverNightDiscount_21_Up+FedExExrpessEarnedDiscount))*'1Day AM Base'!D81),2),ROUND(MinBase1AMDay*(1+ExpressFuelSurcharge),2),ROUND(((1-(OverNightDiscount_21_Up+FedExExrpessEarnedDiscount))*'1Day AM Base'!D81)*(1+ExpressFuelSurcharge),2)))*(1+FedEx_Markup),2)</f>
        <v>304.58999999999997</v>
      </c>
      <c r="E84" s="218">
        <f>ROUND((IF(MinBase1AMDay&gt;ROUND(((1-(OverNightDiscount_21_Up+FedExExrpessEarnedDiscount))*'1Day AM Base'!E81),2),ROUND(MinBase1AMDay*(1+ExpressFuelSurcharge),2),ROUND(((1-(OverNightDiscount_21_Up+FedExExrpessEarnedDiscount))*'1Day AM Base'!E81)*(1+ExpressFuelSurcharge),2)))*(1+FedEx_Markup),2)</f>
        <v>333.07</v>
      </c>
      <c r="F84" s="218">
        <f>ROUND((IF(MinBase1AMDay&gt;ROUND(((1-(OverNightDiscount_21_Up+FedExExrpessEarnedDiscount))*'1Day AM Base'!F81),2),ROUND(MinBase1AMDay*(1+ExpressFuelSurcharge),2),ROUND(((1-(OverNightDiscount_21_Up+FedExExrpessEarnedDiscount))*'1Day AM Base'!F81)*(1+ExpressFuelSurcharge),2)))*(1+FedEx_Markup),2)</f>
        <v>344.02</v>
      </c>
      <c r="G84" s="218">
        <f>ROUND((IF(MinBase1AMDay&gt;ROUND(((1-(OverNightDiscount_21_Up+FedExExrpessEarnedDiscount))*'1Day AM Base'!G81),2),ROUND(MinBase1AMDay*(1+ExpressFuelSurcharge),2),ROUND(((1-(OverNightDiscount_21_Up+FedExExrpessEarnedDiscount))*'1Day AM Base'!G81)*(1+ExpressFuelSurcharge),2)))*(1+FedEx_Markup),2)</f>
        <v>386.75</v>
      </c>
      <c r="H84" s="218">
        <f>ROUND((IF(MinBase1AMDay&gt;ROUND(((1-(OverNightDiscount_21_Up+FedExExrpessEarnedDiscount))*'1Day AM Base'!H81),2),ROUND(MinBase1AMDay*(1+ExpressFuelSurcharge),2),ROUND(((1-(OverNightDiscount_21_Up+FedExExrpessEarnedDiscount))*'1Day AM Base'!H81)*(1+ExpressFuelSurcharge),2)))*(1+FedEx_Markup),2)</f>
        <v>394.71</v>
      </c>
    </row>
    <row r="85" spans="1:26" ht="12.75" customHeight="1">
      <c r="A85" s="217">
        <v>80</v>
      </c>
      <c r="B85" s="218">
        <f>ROUND((IF(MinBase1AMDay&gt;ROUND(((1-(OverNightDiscount_21_Up+FedExExrpessEarnedDiscount))*'1Day AM Base'!B82),2),ROUND(MinBase1AMDay*(1+ExpressFuelSurcharge),2),ROUND(((1-(OverNightDiscount_21_Up+FedExExrpessEarnedDiscount))*'1Day AM Base'!B82)*(1+ExpressFuelSurcharge),2)))*(1+FedEx_Markup),2)</f>
        <v>119.45</v>
      </c>
      <c r="C85" s="218">
        <f>ROUND((IF(MinBase1AMDay&gt;ROUND(((1-(OverNightDiscount_21_Up+FedExExrpessEarnedDiscount))*'1Day AM Base'!C82),2),ROUND(MinBase1AMDay*(1+ExpressFuelSurcharge),2),ROUND(((1-(OverNightDiscount_21_Up+FedExExrpessEarnedDiscount))*'1Day AM Base'!C82)*(1+ExpressFuelSurcharge),2)))*(1+FedEx_Markup),2)</f>
        <v>181.44</v>
      </c>
      <c r="D85" s="218">
        <f>ROUND((IF(MinBase1AMDay&gt;ROUND(((1-(OverNightDiscount_21_Up+FedExExrpessEarnedDiscount))*'1Day AM Base'!D82),2),ROUND(MinBase1AMDay*(1+ExpressFuelSurcharge),2),ROUND(((1-(OverNightDiscount_21_Up+FedExExrpessEarnedDiscount))*'1Day AM Base'!D82)*(1+ExpressFuelSurcharge),2)))*(1+FedEx_Markup),2)</f>
        <v>305.66000000000003</v>
      </c>
      <c r="E85" s="218">
        <f>ROUND((IF(MinBase1AMDay&gt;ROUND(((1-(OverNightDiscount_21_Up+FedExExrpessEarnedDiscount))*'1Day AM Base'!E82),2),ROUND(MinBase1AMDay*(1+ExpressFuelSurcharge),2),ROUND(((1-(OverNightDiscount_21_Up+FedExExrpessEarnedDiscount))*'1Day AM Base'!E82)*(1+ExpressFuelSurcharge),2)))*(1+FedEx_Markup),2)</f>
        <v>334.39</v>
      </c>
      <c r="F85" s="218">
        <f>ROUND((IF(MinBase1AMDay&gt;ROUND(((1-(OverNightDiscount_21_Up+FedExExrpessEarnedDiscount))*'1Day AM Base'!F82),2),ROUND(MinBase1AMDay*(1+ExpressFuelSurcharge),2),ROUND(((1-(OverNightDiscount_21_Up+FedExExrpessEarnedDiscount))*'1Day AM Base'!F82)*(1+ExpressFuelSurcharge),2)))*(1+FedEx_Markup),2)</f>
        <v>345.21</v>
      </c>
      <c r="G85" s="218">
        <f>ROUND((IF(MinBase1AMDay&gt;ROUND(((1-(OverNightDiscount_21_Up+FedExExrpessEarnedDiscount))*'1Day AM Base'!G82),2),ROUND(MinBase1AMDay*(1+ExpressFuelSurcharge),2),ROUND(((1-(OverNightDiscount_21_Up+FedExExrpessEarnedDiscount))*'1Day AM Base'!G82)*(1+ExpressFuelSurcharge),2)))*(1+FedEx_Markup),2)</f>
        <v>387.53</v>
      </c>
      <c r="H85" s="218">
        <f>ROUND((IF(MinBase1AMDay&gt;ROUND(((1-(OverNightDiscount_21_Up+FedExExrpessEarnedDiscount))*'1Day AM Base'!H82),2),ROUND(MinBase1AMDay*(1+ExpressFuelSurcharge),2),ROUND(((1-(OverNightDiscount_21_Up+FedExExrpessEarnedDiscount))*'1Day AM Base'!H82)*(1+ExpressFuelSurcharge),2)))*(1+FedEx_Markup),2)</f>
        <v>395.51</v>
      </c>
    </row>
    <row r="86" spans="1:26" ht="12.75" customHeight="1">
      <c r="A86" s="217">
        <v>81</v>
      </c>
      <c r="B86" s="218">
        <f>ROUND((IF(MinBase1AMDay&gt;ROUND(((1-(OverNightDiscount_21_Up+FedExExrpessEarnedDiscount))*'1Day AM Base'!B83),2),ROUND(MinBase1AMDay*(1+ExpressFuelSurcharge),2),ROUND(((1-(OverNightDiscount_21_Up+FedExExrpessEarnedDiscount))*'1Day AM Base'!B83)*(1+ExpressFuelSurcharge),2)))*(1+FedEx_Markup),2)</f>
        <v>129.19</v>
      </c>
      <c r="C86" s="218">
        <f>ROUND((IF(MinBase1AMDay&gt;ROUND(((1-(OverNightDiscount_21_Up+FedExExrpessEarnedDiscount))*'1Day AM Base'!C83),2),ROUND(MinBase1AMDay*(1+ExpressFuelSurcharge),2),ROUND(((1-(OverNightDiscount_21_Up+FedExExrpessEarnedDiscount))*'1Day AM Base'!C83)*(1+ExpressFuelSurcharge),2)))*(1+FedEx_Markup),2)</f>
        <v>186.92</v>
      </c>
      <c r="D86" s="218">
        <f>ROUND((IF(MinBase1AMDay&gt;ROUND(((1-(OverNightDiscount_21_Up+FedExExrpessEarnedDiscount))*'1Day AM Base'!D83),2),ROUND(MinBase1AMDay*(1+ExpressFuelSurcharge),2),ROUND(((1-(OverNightDiscount_21_Up+FedExExrpessEarnedDiscount))*'1Day AM Base'!D83)*(1+ExpressFuelSurcharge),2)))*(1+FedEx_Markup),2)</f>
        <v>326.95</v>
      </c>
      <c r="E86" s="218">
        <f>ROUND((IF(MinBase1AMDay&gt;ROUND(((1-(OverNightDiscount_21_Up+FedExExrpessEarnedDiscount))*'1Day AM Base'!E83),2),ROUND(MinBase1AMDay*(1+ExpressFuelSurcharge),2),ROUND(((1-(OverNightDiscount_21_Up+FedExExrpessEarnedDiscount))*'1Day AM Base'!E83)*(1+ExpressFuelSurcharge),2)))*(1+FedEx_Markup),2)</f>
        <v>360.64</v>
      </c>
      <c r="F86" s="218">
        <f>ROUND((IF(MinBase1AMDay&gt;ROUND(((1-(OverNightDiscount_21_Up+FedExExrpessEarnedDiscount))*'1Day AM Base'!F83),2),ROUND(MinBase1AMDay*(1+ExpressFuelSurcharge),2),ROUND(((1-(OverNightDiscount_21_Up+FedExExrpessEarnedDiscount))*'1Day AM Base'!F83)*(1+ExpressFuelSurcharge),2)))*(1+FedEx_Markup),2)</f>
        <v>368.75</v>
      </c>
      <c r="G86" s="218">
        <f>ROUND((IF(MinBase1AMDay&gt;ROUND(((1-(OverNightDiscount_21_Up+FedExExrpessEarnedDiscount))*'1Day AM Base'!G83),2),ROUND(MinBase1AMDay*(1+ExpressFuelSurcharge),2),ROUND(((1-(OverNightDiscount_21_Up+FedExExrpessEarnedDiscount))*'1Day AM Base'!G83)*(1+ExpressFuelSurcharge),2)))*(1+FedEx_Markup),2)</f>
        <v>403.19</v>
      </c>
      <c r="H86" s="218">
        <f>ROUND((IF(MinBase1AMDay&gt;ROUND(((1-(OverNightDiscount_21_Up+FedExExrpessEarnedDiscount))*'1Day AM Base'!H83),2),ROUND(MinBase1AMDay*(1+ExpressFuelSurcharge),2),ROUND(((1-(OverNightDiscount_21_Up+FedExExrpessEarnedDiscount))*'1Day AM Base'!H83)*(1+ExpressFuelSurcharge),2)))*(1+FedEx_Markup),2)</f>
        <v>411.29</v>
      </c>
    </row>
    <row r="87" spans="1:26" ht="12.75" customHeight="1">
      <c r="A87" s="217">
        <v>82</v>
      </c>
      <c r="B87" s="218">
        <f>ROUND((IF(MinBase1AMDay&gt;ROUND(((1-(OverNightDiscount_21_Up+FedExExrpessEarnedDiscount))*'1Day AM Base'!B84),2),ROUND(MinBase1AMDay*(1+ExpressFuelSurcharge),2),ROUND(((1-(OverNightDiscount_21_Up+FedExExrpessEarnedDiscount))*'1Day AM Base'!B84)*(1+ExpressFuelSurcharge),2)))*(1+FedEx_Markup),2)</f>
        <v>130.57</v>
      </c>
      <c r="C87" s="218">
        <f>ROUND((IF(MinBase1AMDay&gt;ROUND(((1-(OverNightDiscount_21_Up+FedExExrpessEarnedDiscount))*'1Day AM Base'!C84),2),ROUND(MinBase1AMDay*(1+ExpressFuelSurcharge),2),ROUND(((1-(OverNightDiscount_21_Up+FedExExrpessEarnedDiscount))*'1Day AM Base'!C84)*(1+ExpressFuelSurcharge),2)))*(1+FedEx_Markup),2)</f>
        <v>187.47</v>
      </c>
      <c r="D87" s="218">
        <f>ROUND((IF(MinBase1AMDay&gt;ROUND(((1-(OverNightDiscount_21_Up+FedExExrpessEarnedDiscount))*'1Day AM Base'!D84),2),ROUND(MinBase1AMDay*(1+ExpressFuelSurcharge),2),ROUND(((1-(OverNightDiscount_21_Up+FedExExrpessEarnedDiscount))*'1Day AM Base'!D84)*(1+ExpressFuelSurcharge),2)))*(1+FedEx_Markup),2)</f>
        <v>329.08</v>
      </c>
      <c r="E87" s="218">
        <f>ROUND((IF(MinBase1AMDay&gt;ROUND(((1-(OverNightDiscount_21_Up+FedExExrpessEarnedDiscount))*'1Day AM Base'!E84),2),ROUND(MinBase1AMDay*(1+ExpressFuelSurcharge),2),ROUND(((1-(OverNightDiscount_21_Up+FedExExrpessEarnedDiscount))*'1Day AM Base'!E84)*(1+ExpressFuelSurcharge),2)))*(1+FedEx_Markup),2)</f>
        <v>363.46</v>
      </c>
      <c r="F87" s="218">
        <f>ROUND((IF(MinBase1AMDay&gt;ROUND(((1-(OverNightDiscount_21_Up+FedExExrpessEarnedDiscount))*'1Day AM Base'!F84),2),ROUND(MinBase1AMDay*(1+ExpressFuelSurcharge),2),ROUND(((1-(OverNightDiscount_21_Up+FedExExrpessEarnedDiscount))*'1Day AM Base'!F84)*(1+ExpressFuelSurcharge),2)))*(1+FedEx_Markup),2)</f>
        <v>371.11</v>
      </c>
      <c r="G87" s="218">
        <f>ROUND((IF(MinBase1AMDay&gt;ROUND(((1-(OverNightDiscount_21_Up+FedExExrpessEarnedDiscount))*'1Day AM Base'!G84),2),ROUND(MinBase1AMDay*(1+ExpressFuelSurcharge),2),ROUND(((1-(OverNightDiscount_21_Up+FedExExrpessEarnedDiscount))*'1Day AM Base'!G84)*(1+ExpressFuelSurcharge),2)))*(1+FedEx_Markup),2)</f>
        <v>404.77</v>
      </c>
      <c r="H87" s="218">
        <f>ROUND((IF(MinBase1AMDay&gt;ROUND(((1-(OverNightDiscount_21_Up+FedExExrpessEarnedDiscount))*'1Day AM Base'!H84),2),ROUND(MinBase1AMDay*(1+ExpressFuelSurcharge),2),ROUND(((1-(OverNightDiscount_21_Up+FedExExrpessEarnedDiscount))*'1Day AM Base'!H84)*(1+ExpressFuelSurcharge),2)))*(1+FedEx_Markup),2)</f>
        <v>412.86</v>
      </c>
    </row>
    <row r="88" spans="1:26" ht="12.75" customHeight="1">
      <c r="A88" s="217">
        <v>83</v>
      </c>
      <c r="B88" s="218">
        <f>ROUND((IF(MinBase1AMDay&gt;ROUND(((1-(OverNightDiscount_21_Up+FedExExrpessEarnedDiscount))*'1Day AM Base'!B85),2),ROUND(MinBase1AMDay*(1+ExpressFuelSurcharge),2),ROUND(((1-(OverNightDiscount_21_Up+FedExExrpessEarnedDiscount))*'1Day AM Base'!B85)*(1+ExpressFuelSurcharge),2)))*(1+FedEx_Markup),2)</f>
        <v>131.12</v>
      </c>
      <c r="C88" s="218">
        <f>ROUND((IF(MinBase1AMDay&gt;ROUND(((1-(OverNightDiscount_21_Up+FedExExrpessEarnedDiscount))*'1Day AM Base'!C85),2),ROUND(MinBase1AMDay*(1+ExpressFuelSurcharge),2),ROUND(((1-(OverNightDiscount_21_Up+FedExExrpessEarnedDiscount))*'1Day AM Base'!C85)*(1+ExpressFuelSurcharge),2)))*(1+FedEx_Markup),2)</f>
        <v>187.83</v>
      </c>
      <c r="D88" s="218">
        <f>ROUND((IF(MinBase1AMDay&gt;ROUND(((1-(OverNightDiscount_21_Up+FedExExrpessEarnedDiscount))*'1Day AM Base'!D85),2),ROUND(MinBase1AMDay*(1+ExpressFuelSurcharge),2),ROUND(((1-(OverNightDiscount_21_Up+FedExExrpessEarnedDiscount))*'1Day AM Base'!D85)*(1+ExpressFuelSurcharge),2)))*(1+FedEx_Markup),2)</f>
        <v>329.6</v>
      </c>
      <c r="E88" s="218">
        <f>ROUND((IF(MinBase1AMDay&gt;ROUND(((1-(OverNightDiscount_21_Up+FedExExrpessEarnedDiscount))*'1Day AM Base'!E85),2),ROUND(MinBase1AMDay*(1+ExpressFuelSurcharge),2),ROUND(((1-(OverNightDiscount_21_Up+FedExExrpessEarnedDiscount))*'1Day AM Base'!E85)*(1+ExpressFuelSurcharge),2)))*(1+FedEx_Markup),2)</f>
        <v>363.83</v>
      </c>
      <c r="F88" s="218">
        <f>ROUND((IF(MinBase1AMDay&gt;ROUND(((1-(OverNightDiscount_21_Up+FedExExrpessEarnedDiscount))*'1Day AM Base'!F85),2),ROUND(MinBase1AMDay*(1+ExpressFuelSurcharge),2),ROUND(((1-(OverNightDiscount_21_Up+FedExExrpessEarnedDiscount))*'1Day AM Base'!F85)*(1+ExpressFuelSurcharge),2)))*(1+FedEx_Markup),2)</f>
        <v>371.91</v>
      </c>
      <c r="G88" s="218">
        <f>ROUND((IF(MinBase1AMDay&gt;ROUND(((1-(OverNightDiscount_21_Up+FedExExrpessEarnedDiscount))*'1Day AM Base'!G85),2),ROUND(MinBase1AMDay*(1+ExpressFuelSurcharge),2),ROUND(((1-(OverNightDiscount_21_Up+FedExExrpessEarnedDiscount))*'1Day AM Base'!G85)*(1+ExpressFuelSurcharge),2)))*(1+FedEx_Markup),2)</f>
        <v>414.41</v>
      </c>
      <c r="H88" s="218">
        <f>ROUND((IF(MinBase1AMDay&gt;ROUND(((1-(OverNightDiscount_21_Up+FedExExrpessEarnedDiscount))*'1Day AM Base'!H85),2),ROUND(MinBase1AMDay*(1+ExpressFuelSurcharge),2),ROUND(((1-(OverNightDiscount_21_Up+FedExExrpessEarnedDiscount))*'1Day AM Base'!H85)*(1+ExpressFuelSurcharge),2)))*(1+FedEx_Markup),2)</f>
        <v>422.71</v>
      </c>
    </row>
    <row r="89" spans="1:26" ht="13.5" customHeight="1">
      <c r="A89" s="217">
        <v>84</v>
      </c>
      <c r="B89" s="218">
        <f>ROUND((IF(MinBase1AMDay&gt;ROUND(((1-(OverNightDiscount_21_Up+FedExExrpessEarnedDiscount))*'1Day AM Base'!B86),2),ROUND(MinBase1AMDay*(1+ExpressFuelSurcharge),2),ROUND(((1-(OverNightDiscount_21_Up+FedExExrpessEarnedDiscount))*'1Day AM Base'!B86)*(1+ExpressFuelSurcharge),2)))*(1+FedEx_Markup),2)</f>
        <v>131.66</v>
      </c>
      <c r="C89" s="218">
        <f>ROUND((IF(MinBase1AMDay&gt;ROUND(((1-(OverNightDiscount_21_Up+FedExExrpessEarnedDiscount))*'1Day AM Base'!C86),2),ROUND(MinBase1AMDay*(1+ExpressFuelSurcharge),2),ROUND(((1-(OverNightDiscount_21_Up+FedExExrpessEarnedDiscount))*'1Day AM Base'!C86)*(1+ExpressFuelSurcharge),2)))*(1+FedEx_Markup),2)</f>
        <v>188.2</v>
      </c>
      <c r="D89" s="218">
        <f>ROUND((IF(MinBase1AMDay&gt;ROUND(((1-(OverNightDiscount_21_Up+FedExExrpessEarnedDiscount))*'1Day AM Base'!D86),2),ROUND(MinBase1AMDay*(1+ExpressFuelSurcharge),2),ROUND(((1-(OverNightDiscount_21_Up+FedExExrpessEarnedDiscount))*'1Day AM Base'!D86)*(1+ExpressFuelSurcharge),2)))*(1+FedEx_Markup),2)</f>
        <v>330.14</v>
      </c>
      <c r="E89" s="218">
        <f>ROUND((IF(MinBase1AMDay&gt;ROUND(((1-(OverNightDiscount_21_Up+FedExExrpessEarnedDiscount))*'1Day AM Base'!E86),2),ROUND(MinBase1AMDay*(1+ExpressFuelSurcharge),2),ROUND(((1-(OverNightDiscount_21_Up+FedExExrpessEarnedDiscount))*'1Day AM Base'!E86)*(1+ExpressFuelSurcharge),2)))*(1+FedEx_Markup),2)</f>
        <v>364.18</v>
      </c>
      <c r="F89" s="218">
        <f>ROUND((IF(MinBase1AMDay&gt;ROUND(((1-(OverNightDiscount_21_Up+FedExExrpessEarnedDiscount))*'1Day AM Base'!F86),2),ROUND(MinBase1AMDay*(1+ExpressFuelSurcharge),2),ROUND(((1-(OverNightDiscount_21_Up+FedExExrpessEarnedDiscount))*'1Day AM Base'!F86)*(1+ExpressFuelSurcharge),2)))*(1+FedEx_Markup),2)</f>
        <v>372.28</v>
      </c>
      <c r="G89" s="218">
        <f>ROUND((IF(MinBase1AMDay&gt;ROUND(((1-(OverNightDiscount_21_Up+FedExExrpessEarnedDiscount))*'1Day AM Base'!G86),2),ROUND(MinBase1AMDay*(1+ExpressFuelSurcharge),2),ROUND(((1-(OverNightDiscount_21_Up+FedExExrpessEarnedDiscount))*'1Day AM Base'!G86)*(1+ExpressFuelSurcharge),2)))*(1+FedEx_Markup),2)</f>
        <v>415.38</v>
      </c>
      <c r="H89" s="218">
        <f>ROUND((IF(MinBase1AMDay&gt;ROUND(((1-(OverNightDiscount_21_Up+FedExExrpessEarnedDiscount))*'1Day AM Base'!H86),2),ROUND(MinBase1AMDay*(1+ExpressFuelSurcharge),2),ROUND(((1-(OverNightDiscount_21_Up+FedExExrpessEarnedDiscount))*'1Day AM Base'!H86)*(1+ExpressFuelSurcharge),2)))*(1+FedEx_Markup),2)</f>
        <v>423.69</v>
      </c>
    </row>
    <row r="90" spans="1:26" ht="13.5" customHeight="1">
      <c r="A90" s="217">
        <v>85</v>
      </c>
      <c r="B90" s="218">
        <f>ROUND((IF(MinBase1AMDay&gt;ROUND(((1-(OverNightDiscount_21_Up+FedExExrpessEarnedDiscount))*'1Day AM Base'!B87),2),ROUND(MinBase1AMDay*(1+ExpressFuelSurcharge),2),ROUND(((1-(OverNightDiscount_21_Up+FedExExrpessEarnedDiscount))*'1Day AM Base'!B87)*(1+ExpressFuelSurcharge),2)))*(1+FedEx_Markup),2)</f>
        <v>132.19999999999999</v>
      </c>
      <c r="C90" s="218">
        <f>ROUND((IF(MinBase1AMDay&gt;ROUND(((1-(OverNightDiscount_21_Up+FedExExrpessEarnedDiscount))*'1Day AM Base'!C87),2),ROUND(MinBase1AMDay*(1+ExpressFuelSurcharge),2),ROUND(((1-(OverNightDiscount_21_Up+FedExExrpessEarnedDiscount))*'1Day AM Base'!C87)*(1+ExpressFuelSurcharge),2)))*(1+FedEx_Markup),2)</f>
        <v>188.55</v>
      </c>
      <c r="D90" s="218">
        <f>ROUND((IF(MinBase1AMDay&gt;ROUND(((1-(OverNightDiscount_21_Up+FedExExrpessEarnedDiscount))*'1Day AM Base'!D87),2),ROUND(MinBase1AMDay*(1+ExpressFuelSurcharge),2),ROUND(((1-(OverNightDiscount_21_Up+FedExExrpessEarnedDiscount))*'1Day AM Base'!D87)*(1+ExpressFuelSurcharge),2)))*(1+FedEx_Markup),2)</f>
        <v>330.5</v>
      </c>
      <c r="E90" s="218">
        <f>ROUND((IF(MinBase1AMDay&gt;ROUND(((1-(OverNightDiscount_21_Up+FedExExrpessEarnedDiscount))*'1Day AM Base'!E87),2),ROUND(MinBase1AMDay*(1+ExpressFuelSurcharge),2),ROUND(((1-(OverNightDiscount_21_Up+FedExExrpessEarnedDiscount))*'1Day AM Base'!E87)*(1+ExpressFuelSurcharge),2)))*(1+FedEx_Markup),2)</f>
        <v>364.7</v>
      </c>
      <c r="F90" s="218">
        <f>ROUND((IF(MinBase1AMDay&gt;ROUND(((1-(OverNightDiscount_21_Up+FedExExrpessEarnedDiscount))*'1Day AM Base'!F87),2),ROUND(MinBase1AMDay*(1+ExpressFuelSurcharge),2),ROUND(((1-(OverNightDiscount_21_Up+FedExExrpessEarnedDiscount))*'1Day AM Base'!F87)*(1+ExpressFuelSurcharge),2)))*(1+FedEx_Markup),2)</f>
        <v>372.63</v>
      </c>
      <c r="G90" s="218">
        <f>ROUND((IF(MinBase1AMDay&gt;ROUND(((1-(OverNightDiscount_21_Up+FedExExrpessEarnedDiscount))*'1Day AM Base'!G87),2),ROUND(MinBase1AMDay*(1+ExpressFuelSurcharge),2),ROUND(((1-(OverNightDiscount_21_Up+FedExExrpessEarnedDiscount))*'1Day AM Base'!G87)*(1+ExpressFuelSurcharge),2)))*(1+FedEx_Markup),2)</f>
        <v>415.81</v>
      </c>
      <c r="H90" s="218">
        <f>ROUND((IF(MinBase1AMDay&gt;ROUND(((1-(OverNightDiscount_21_Up+FedExExrpessEarnedDiscount))*'1Day AM Base'!H87),2),ROUND(MinBase1AMDay*(1+ExpressFuelSurcharge),2),ROUND(((1-(OverNightDiscount_21_Up+FedExExrpessEarnedDiscount))*'1Day AM Base'!H87)*(1+ExpressFuelSurcharge),2)))*(1+FedEx_Markup),2)</f>
        <v>424.13</v>
      </c>
    </row>
    <row r="91" spans="1:26" ht="13.5" customHeight="1">
      <c r="A91" s="217">
        <v>86</v>
      </c>
      <c r="B91" s="218">
        <f>ROUND((IF(MinBase1AMDay&gt;ROUND(((1-(OverNightDiscount_21_Up+FedExExrpessEarnedDiscount))*'1Day AM Base'!B88),2),ROUND(MinBase1AMDay*(1+ExpressFuelSurcharge),2),ROUND(((1-(OverNightDiscount_21_Up+FedExExrpessEarnedDiscount))*'1Day AM Base'!B88)*(1+ExpressFuelSurcharge),2)))*(1+FedEx_Markup),2)</f>
        <v>133.88</v>
      </c>
      <c r="C91" s="218">
        <f>ROUND((IF(MinBase1AMDay&gt;ROUND(((1-(OverNightDiscount_21_Up+FedExExrpessEarnedDiscount))*'1Day AM Base'!C88),2),ROUND(MinBase1AMDay*(1+ExpressFuelSurcharge),2),ROUND(((1-(OverNightDiscount_21_Up+FedExExrpessEarnedDiscount))*'1Day AM Base'!C88)*(1+ExpressFuelSurcharge),2)))*(1+FedEx_Markup),2)</f>
        <v>188.91</v>
      </c>
      <c r="D91" s="218">
        <f>ROUND((IF(MinBase1AMDay&gt;ROUND(((1-(OverNightDiscount_21_Up+FedExExrpessEarnedDiscount))*'1Day AM Base'!D88),2),ROUND(MinBase1AMDay*(1+ExpressFuelSurcharge),2),ROUND(((1-(OverNightDiscount_21_Up+FedExExrpessEarnedDiscount))*'1Day AM Base'!D88)*(1+ExpressFuelSurcharge),2)))*(1+FedEx_Markup),2)</f>
        <v>331.63</v>
      </c>
      <c r="E91" s="218">
        <f>ROUND((IF(MinBase1AMDay&gt;ROUND(((1-(OverNightDiscount_21_Up+FedExExrpessEarnedDiscount))*'1Day AM Base'!E88),2),ROUND(MinBase1AMDay*(1+ExpressFuelSurcharge),2),ROUND(((1-(OverNightDiscount_21_Up+FedExExrpessEarnedDiscount))*'1Day AM Base'!E88)*(1+ExpressFuelSurcharge),2)))*(1+FedEx_Markup),2)</f>
        <v>366.01</v>
      </c>
      <c r="F91" s="218">
        <f>ROUND((IF(MinBase1AMDay&gt;ROUND(((1-(OverNightDiscount_21_Up+FedExExrpessEarnedDiscount))*'1Day AM Base'!F88),2),ROUND(MinBase1AMDay*(1+ExpressFuelSurcharge),2),ROUND(((1-(OverNightDiscount_21_Up+FedExExrpessEarnedDiscount))*'1Day AM Base'!F88)*(1+ExpressFuelSurcharge),2)))*(1+FedEx_Markup),2)</f>
        <v>373.34</v>
      </c>
      <c r="G91" s="218">
        <f>ROUND((IF(MinBase1AMDay&gt;ROUND(((1-(OverNightDiscount_21_Up+FedExExrpessEarnedDiscount))*'1Day AM Base'!G88),2),ROUND(MinBase1AMDay*(1+ExpressFuelSurcharge),2),ROUND(((1-(OverNightDiscount_21_Up+FedExExrpessEarnedDiscount))*'1Day AM Base'!G88)*(1+ExpressFuelSurcharge),2)))*(1+FedEx_Markup),2)</f>
        <v>416.24</v>
      </c>
      <c r="H91" s="218">
        <f>ROUND((IF(MinBase1AMDay&gt;ROUND(((1-(OverNightDiscount_21_Up+FedExExrpessEarnedDiscount))*'1Day AM Base'!H88),2),ROUND(MinBase1AMDay*(1+ExpressFuelSurcharge),2),ROUND(((1-(OverNightDiscount_21_Up+FedExExrpessEarnedDiscount))*'1Day AM Base'!H88)*(1+ExpressFuelSurcharge),2)))*(1+FedEx_Markup),2)</f>
        <v>432.55</v>
      </c>
    </row>
    <row r="92" spans="1:26" ht="13.5" customHeight="1">
      <c r="A92" s="217">
        <v>87</v>
      </c>
      <c r="B92" s="218">
        <f>ROUND((IF(MinBase1AMDay&gt;ROUND(((1-(OverNightDiscount_21_Up+FedExExrpessEarnedDiscount))*'1Day AM Base'!B89),2),ROUND(MinBase1AMDay*(1+ExpressFuelSurcharge),2),ROUND(((1-(OverNightDiscount_21_Up+FedExExrpessEarnedDiscount))*'1Day AM Base'!B89)*(1+ExpressFuelSurcharge),2)))*(1+FedEx_Markup),2)</f>
        <v>134.24</v>
      </c>
      <c r="C92" s="218">
        <f>ROUND((IF(MinBase1AMDay&gt;ROUND(((1-(OverNightDiscount_21_Up+FedExExrpessEarnedDiscount))*'1Day AM Base'!C89),2),ROUND(MinBase1AMDay*(1+ExpressFuelSurcharge),2),ROUND(((1-(OverNightDiscount_21_Up+FedExExrpessEarnedDiscount))*'1Day AM Base'!C89)*(1+ExpressFuelSurcharge),2)))*(1+FedEx_Markup),2)</f>
        <v>189.28</v>
      </c>
      <c r="D92" s="218">
        <f>ROUND((IF(MinBase1AMDay&gt;ROUND(((1-(OverNightDiscount_21_Up+FedExExrpessEarnedDiscount))*'1Day AM Base'!D89),2),ROUND(MinBase1AMDay*(1+ExpressFuelSurcharge),2),ROUND(((1-(OverNightDiscount_21_Up+FedExExrpessEarnedDiscount))*'1Day AM Base'!D89)*(1+ExpressFuelSurcharge),2)))*(1+FedEx_Markup),2)</f>
        <v>336.82</v>
      </c>
      <c r="E92" s="218">
        <f>ROUND((IF(MinBase1AMDay&gt;ROUND(((1-(OverNightDiscount_21_Up+FedExExrpessEarnedDiscount))*'1Day AM Base'!E89),2),ROUND(MinBase1AMDay*(1+ExpressFuelSurcharge),2),ROUND(((1-(OverNightDiscount_21_Up+FedExExrpessEarnedDiscount))*'1Day AM Base'!E89)*(1+ExpressFuelSurcharge),2)))*(1+FedEx_Markup),2)</f>
        <v>367.64</v>
      </c>
      <c r="F92" s="218">
        <f>ROUND((IF(MinBase1AMDay&gt;ROUND(((1-(OverNightDiscount_21_Up+FedExExrpessEarnedDiscount))*'1Day AM Base'!F89),2),ROUND(MinBase1AMDay*(1+ExpressFuelSurcharge),2),ROUND(((1-(OverNightDiscount_21_Up+FedExExrpessEarnedDiscount))*'1Day AM Base'!F89)*(1+ExpressFuelSurcharge),2)))*(1+FedEx_Markup),2)</f>
        <v>375</v>
      </c>
      <c r="G92" s="218">
        <f>ROUND((IF(MinBase1AMDay&gt;ROUND(((1-(OverNightDiscount_21_Up+FedExExrpessEarnedDiscount))*'1Day AM Base'!G89),2),ROUND(MinBase1AMDay*(1+ExpressFuelSurcharge),2),ROUND(((1-(OverNightDiscount_21_Up+FedExExrpessEarnedDiscount))*'1Day AM Base'!G89)*(1+ExpressFuelSurcharge),2)))*(1+FedEx_Markup),2)</f>
        <v>424.89</v>
      </c>
      <c r="H92" s="218">
        <f>ROUND((IF(MinBase1AMDay&gt;ROUND(((1-(OverNightDiscount_21_Up+FedExExrpessEarnedDiscount))*'1Day AM Base'!H89),2),ROUND(MinBase1AMDay*(1+ExpressFuelSurcharge),2),ROUND(((1-(OverNightDiscount_21_Up+FedExExrpessEarnedDiscount))*'1Day AM Base'!H89)*(1+ExpressFuelSurcharge),2)))*(1+FedEx_Markup),2)</f>
        <v>433.4</v>
      </c>
    </row>
    <row r="93" spans="1:26" ht="13.5" customHeight="1">
      <c r="A93" s="217">
        <v>88</v>
      </c>
      <c r="B93" s="218">
        <f>ROUND((IF(MinBase1AMDay&gt;ROUND(((1-(OverNightDiscount_21_Up+FedExExrpessEarnedDiscount))*'1Day AM Base'!B90),2),ROUND(MinBase1AMDay*(1+ExpressFuelSurcharge),2),ROUND(((1-(OverNightDiscount_21_Up+FedExExrpessEarnedDiscount))*'1Day AM Base'!B90)*(1+ExpressFuelSurcharge),2)))*(1+FedEx_Markup),2)</f>
        <v>134.61000000000001</v>
      </c>
      <c r="C93" s="218">
        <f>ROUND((IF(MinBase1AMDay&gt;ROUND(((1-(OverNightDiscount_21_Up+FedExExrpessEarnedDiscount))*'1Day AM Base'!C90),2),ROUND(MinBase1AMDay*(1+ExpressFuelSurcharge),2),ROUND(((1-(OverNightDiscount_21_Up+FedExExrpessEarnedDiscount))*'1Day AM Base'!C90)*(1+ExpressFuelSurcharge),2)))*(1+FedEx_Markup),2)</f>
        <v>189.64</v>
      </c>
      <c r="D93" s="218">
        <f>ROUND((IF(MinBase1AMDay&gt;ROUND(((1-(OverNightDiscount_21_Up+FedExExrpessEarnedDiscount))*'1Day AM Base'!D90),2),ROUND(MinBase1AMDay*(1+ExpressFuelSurcharge),2),ROUND(((1-(OverNightDiscount_21_Up+FedExExrpessEarnedDiscount))*'1Day AM Base'!D90)*(1+ExpressFuelSurcharge),2)))*(1+FedEx_Markup),2)</f>
        <v>337.34</v>
      </c>
      <c r="E93" s="218">
        <f>ROUND((IF(MinBase1AMDay&gt;ROUND(((1-(OverNightDiscount_21_Up+FedExExrpessEarnedDiscount))*'1Day AM Base'!E90),2),ROUND(MinBase1AMDay*(1+ExpressFuelSurcharge),2),ROUND(((1-(OverNightDiscount_21_Up+FedExExrpessEarnedDiscount))*'1Day AM Base'!E90)*(1+ExpressFuelSurcharge),2)))*(1+FedEx_Markup),2)</f>
        <v>368.45</v>
      </c>
      <c r="F93" s="218">
        <f>ROUND((IF(MinBase1AMDay&gt;ROUND(((1-(OverNightDiscount_21_Up+FedExExrpessEarnedDiscount))*'1Day AM Base'!F90),2),ROUND(MinBase1AMDay*(1+ExpressFuelSurcharge),2),ROUND(((1-(OverNightDiscount_21_Up+FedExExrpessEarnedDiscount))*'1Day AM Base'!F90)*(1+ExpressFuelSurcharge),2)))*(1+FedEx_Markup),2)</f>
        <v>375.96</v>
      </c>
      <c r="G93" s="218">
        <f>ROUND((IF(MinBase1AMDay&gt;ROUND(((1-(OverNightDiscount_21_Up+FedExExrpessEarnedDiscount))*'1Day AM Base'!G90),2),ROUND(MinBase1AMDay*(1+ExpressFuelSurcharge),2),ROUND(((1-(OverNightDiscount_21_Up+FedExExrpessEarnedDiscount))*'1Day AM Base'!G90)*(1+ExpressFuelSurcharge),2)))*(1+FedEx_Markup),2)</f>
        <v>426.5</v>
      </c>
      <c r="H93" s="218">
        <f>ROUND((IF(MinBase1AMDay&gt;ROUND(((1-(OverNightDiscount_21_Up+FedExExrpessEarnedDiscount))*'1Day AM Base'!H90),2),ROUND(MinBase1AMDay*(1+ExpressFuelSurcharge),2),ROUND(((1-(OverNightDiscount_21_Up+FedExExrpessEarnedDiscount))*'1Day AM Base'!H90)*(1+ExpressFuelSurcharge),2)))*(1+FedEx_Markup),2)</f>
        <v>435.03</v>
      </c>
    </row>
    <row r="94" spans="1:26" ht="13.5" customHeight="1">
      <c r="A94" s="217">
        <v>89</v>
      </c>
      <c r="B94" s="218">
        <f>ROUND((IF(MinBase1AMDay&gt;ROUND(((1-(OverNightDiscount_21_Up+FedExExrpessEarnedDiscount))*'1Day AM Base'!B91),2),ROUND(MinBase1AMDay*(1+ExpressFuelSurcharge),2),ROUND(((1-(OverNightDiscount_21_Up+FedExExrpessEarnedDiscount))*'1Day AM Base'!B91)*(1+ExpressFuelSurcharge),2)))*(1+FedEx_Markup),2)</f>
        <v>134.96</v>
      </c>
      <c r="C94" s="218">
        <f>ROUND((IF(MinBase1AMDay&gt;ROUND(((1-(OverNightDiscount_21_Up+FedExExrpessEarnedDiscount))*'1Day AM Base'!C91),2),ROUND(MinBase1AMDay*(1+ExpressFuelSurcharge),2),ROUND(((1-(OverNightDiscount_21_Up+FedExExrpessEarnedDiscount))*'1Day AM Base'!C91)*(1+ExpressFuelSurcharge),2)))*(1+FedEx_Markup),2)</f>
        <v>190</v>
      </c>
      <c r="D94" s="218">
        <f>ROUND((IF(MinBase1AMDay&gt;ROUND(((1-(OverNightDiscount_21_Up+FedExExrpessEarnedDiscount))*'1Day AM Base'!D91),2),ROUND(MinBase1AMDay*(1+ExpressFuelSurcharge),2),ROUND(((1-(OverNightDiscount_21_Up+FedExExrpessEarnedDiscount))*'1Day AM Base'!D91)*(1+ExpressFuelSurcharge),2)))*(1+FedEx_Markup),2)</f>
        <v>347.74</v>
      </c>
      <c r="E94" s="218">
        <f>ROUND((IF(MinBase1AMDay&gt;ROUND(((1-(OverNightDiscount_21_Up+FedExExrpessEarnedDiscount))*'1Day AM Base'!E91),2),ROUND(MinBase1AMDay*(1+ExpressFuelSurcharge),2),ROUND(((1-(OverNightDiscount_21_Up+FedExExrpessEarnedDiscount))*'1Day AM Base'!E91)*(1+ExpressFuelSurcharge),2)))*(1+FedEx_Markup),2)</f>
        <v>384.4</v>
      </c>
      <c r="F94" s="218">
        <f>ROUND((IF(MinBase1AMDay&gt;ROUND(((1-(OverNightDiscount_21_Up+FedExExrpessEarnedDiscount))*'1Day AM Base'!F91),2),ROUND(MinBase1AMDay*(1+ExpressFuelSurcharge),2),ROUND(((1-(OverNightDiscount_21_Up+FedExExrpessEarnedDiscount))*'1Day AM Base'!F91)*(1+ExpressFuelSurcharge),2)))*(1+FedEx_Markup),2)</f>
        <v>395.04</v>
      </c>
      <c r="G94" s="218">
        <f>ROUND((IF(MinBase1AMDay&gt;ROUND(((1-(OverNightDiscount_21_Up+FedExExrpessEarnedDiscount))*'1Day AM Base'!G91),2),ROUND(MinBase1AMDay*(1+ExpressFuelSurcharge),2),ROUND(((1-(OverNightDiscount_21_Up+FedExExrpessEarnedDiscount))*'1Day AM Base'!G91)*(1+ExpressFuelSurcharge),2)))*(1+FedEx_Markup),2)</f>
        <v>448.79</v>
      </c>
      <c r="H94" s="218">
        <f>ROUND((IF(MinBase1AMDay&gt;ROUND(((1-(OverNightDiscount_21_Up+FedExExrpessEarnedDiscount))*'1Day AM Base'!H91),2),ROUND(MinBase1AMDay*(1+ExpressFuelSurcharge),2),ROUND(((1-(OverNightDiscount_21_Up+FedExExrpessEarnedDiscount))*'1Day AM Base'!H91)*(1+ExpressFuelSurcharge),2)))*(1+FedEx_Markup),2)</f>
        <v>467.61</v>
      </c>
    </row>
    <row r="95" spans="1:26" ht="13.5" customHeight="1">
      <c r="A95" s="217">
        <v>90</v>
      </c>
      <c r="B95" s="218">
        <f>ROUND((IF(MinBase1AMDay&gt;ROUND(((1-(OverNightDiscount_21_Up+FedExExrpessEarnedDiscount))*'1Day AM Base'!B92),2),ROUND(MinBase1AMDay*(1+ExpressFuelSurcharge),2),ROUND(((1-(OverNightDiscount_21_Up+FedExExrpessEarnedDiscount))*'1Day AM Base'!B92)*(1+ExpressFuelSurcharge),2)))*(1+FedEx_Markup),2)</f>
        <v>135.33000000000001</v>
      </c>
      <c r="C95" s="218">
        <f>ROUND((IF(MinBase1AMDay&gt;ROUND(((1-(OverNightDiscount_21_Up+FedExExrpessEarnedDiscount))*'1Day AM Base'!C92),2),ROUND(MinBase1AMDay*(1+ExpressFuelSurcharge),2),ROUND(((1-(OverNightDiscount_21_Up+FedExExrpessEarnedDiscount))*'1Day AM Base'!C92)*(1+ExpressFuelSurcharge),2)))*(1+FedEx_Markup),2)</f>
        <v>190.36</v>
      </c>
      <c r="D95" s="218">
        <f>ROUND((IF(MinBase1AMDay&gt;ROUND(((1-(OverNightDiscount_21_Up+FedExExrpessEarnedDiscount))*'1Day AM Base'!D92),2),ROUND(MinBase1AMDay*(1+ExpressFuelSurcharge),2),ROUND(((1-(OverNightDiscount_21_Up+FedExExrpessEarnedDiscount))*'1Day AM Base'!D92)*(1+ExpressFuelSurcharge),2)))*(1+FedEx_Markup),2)</f>
        <v>348.77</v>
      </c>
      <c r="E95" s="218">
        <f>ROUND((IF(MinBase1AMDay&gt;ROUND(((1-(OverNightDiscount_21_Up+FedExExrpessEarnedDiscount))*'1Day AM Base'!E92),2),ROUND(MinBase1AMDay*(1+ExpressFuelSurcharge),2),ROUND(((1-(OverNightDiscount_21_Up+FedExExrpessEarnedDiscount))*'1Day AM Base'!E92)*(1+ExpressFuelSurcharge),2)))*(1+FedEx_Markup),2)</f>
        <v>386.64</v>
      </c>
      <c r="F95" s="218">
        <f>ROUND((IF(MinBase1AMDay&gt;ROUND(((1-(OverNightDiscount_21_Up+FedExExrpessEarnedDiscount))*'1Day AM Base'!F92),2),ROUND(MinBase1AMDay*(1+ExpressFuelSurcharge),2),ROUND(((1-(OverNightDiscount_21_Up+FedExExrpessEarnedDiscount))*'1Day AM Base'!F92)*(1+ExpressFuelSurcharge),2)))*(1+FedEx_Markup),2)</f>
        <v>399.98</v>
      </c>
      <c r="G95" s="218">
        <f>ROUND((IF(MinBase1AMDay&gt;ROUND(((1-(OverNightDiscount_21_Up+FedExExrpessEarnedDiscount))*'1Day AM Base'!G92),2),ROUND(MinBase1AMDay*(1+ExpressFuelSurcharge),2),ROUND(((1-(OverNightDiscount_21_Up+FedExExrpessEarnedDiscount))*'1Day AM Base'!G92)*(1+ExpressFuelSurcharge),2)))*(1+FedEx_Markup),2)</f>
        <v>467</v>
      </c>
      <c r="H95" s="218">
        <f>ROUND((IF(MinBase1AMDay&gt;ROUND(((1-(OverNightDiscount_21_Up+FedExExrpessEarnedDiscount))*'1Day AM Base'!H92),2),ROUND(MinBase1AMDay*(1+ExpressFuelSurcharge),2),ROUND(((1-(OverNightDiscount_21_Up+FedExExrpessEarnedDiscount))*'1Day AM Base'!H92)*(1+ExpressFuelSurcharge),2)))*(1+FedEx_Markup),2)</f>
        <v>486.06</v>
      </c>
    </row>
    <row r="96" spans="1:26" ht="13.5" customHeight="1">
      <c r="A96" s="217">
        <v>91</v>
      </c>
      <c r="B96" s="218">
        <f>ROUND((IF(MinBase1AMDay&gt;ROUND(((1-(OverNightDiscount_21_Up+FedExExrpessEarnedDiscount))*'1Day AM Base'!B93),2),ROUND(MinBase1AMDay*(1+ExpressFuelSurcharge),2),ROUND(((1-(OverNightDiscount_21_Up+FedExExrpessEarnedDiscount))*'1Day AM Base'!B93)*(1+ExpressFuelSurcharge),2)))*(1+FedEx_Markup),2)</f>
        <v>135.69</v>
      </c>
      <c r="C96" s="218">
        <f>ROUND((IF(MinBase1AMDay&gt;ROUND(((1-(OverNightDiscount_21_Up+FedExExrpessEarnedDiscount))*'1Day AM Base'!C93),2),ROUND(MinBase1AMDay*(1+ExpressFuelSurcharge),2),ROUND(((1-(OverNightDiscount_21_Up+FedExExrpessEarnedDiscount))*'1Day AM Base'!C93)*(1+ExpressFuelSurcharge),2)))*(1+FedEx_Markup),2)</f>
        <v>190.72</v>
      </c>
      <c r="D96" s="218">
        <f>ROUND((IF(MinBase1AMDay&gt;ROUND(((1-(OverNightDiscount_21_Up+FedExExrpessEarnedDiscount))*'1Day AM Base'!D93),2),ROUND(MinBase1AMDay*(1+ExpressFuelSurcharge),2),ROUND(((1-(OverNightDiscount_21_Up+FedExExrpessEarnedDiscount))*'1Day AM Base'!D93)*(1+ExpressFuelSurcharge),2)))*(1+FedEx_Markup),2)</f>
        <v>349.16</v>
      </c>
      <c r="E96" s="218">
        <f>ROUND((IF(MinBase1AMDay&gt;ROUND(((1-(OverNightDiscount_21_Up+FedExExrpessEarnedDiscount))*'1Day AM Base'!E93),2),ROUND(MinBase1AMDay*(1+ExpressFuelSurcharge),2),ROUND(((1-(OverNightDiscount_21_Up+FedExExrpessEarnedDiscount))*'1Day AM Base'!E93)*(1+ExpressFuelSurcharge),2)))*(1+FedEx_Markup),2)</f>
        <v>387.26</v>
      </c>
      <c r="F96" s="218">
        <f>ROUND((IF(MinBase1AMDay&gt;ROUND(((1-(OverNightDiscount_21_Up+FedExExrpessEarnedDiscount))*'1Day AM Base'!F93),2),ROUND(MinBase1AMDay*(1+ExpressFuelSurcharge),2),ROUND(((1-(OverNightDiscount_21_Up+FedExExrpessEarnedDiscount))*'1Day AM Base'!F93)*(1+ExpressFuelSurcharge),2)))*(1+FedEx_Markup),2)</f>
        <v>400.49</v>
      </c>
      <c r="G96" s="218">
        <f>ROUND((IF(MinBase1AMDay&gt;ROUND(((1-(OverNightDiscount_21_Up+FedExExrpessEarnedDiscount))*'1Day AM Base'!G93),2),ROUND(MinBase1AMDay*(1+ExpressFuelSurcharge),2),ROUND(((1-(OverNightDiscount_21_Up+FedExExrpessEarnedDiscount))*'1Day AM Base'!G93)*(1+ExpressFuelSurcharge),2)))*(1+FedEx_Markup),2)</f>
        <v>468.82</v>
      </c>
      <c r="H96" s="218">
        <f>ROUND((IF(MinBase1AMDay&gt;ROUND(((1-(OverNightDiscount_21_Up+FedExExrpessEarnedDiscount))*'1Day AM Base'!H93),2),ROUND(MinBase1AMDay*(1+ExpressFuelSurcharge),2),ROUND(((1-(OverNightDiscount_21_Up+FedExExrpessEarnedDiscount))*'1Day AM Base'!H93)*(1+ExpressFuelSurcharge),2)))*(1+FedEx_Markup),2)</f>
        <v>487.91</v>
      </c>
    </row>
    <row r="97" spans="1:8" ht="13.5" customHeight="1">
      <c r="A97" s="217">
        <v>92</v>
      </c>
      <c r="B97" s="218">
        <f>ROUND((IF(MinBase1AMDay&gt;ROUND(((1-(OverNightDiscount_21_Up+FedExExrpessEarnedDiscount))*'1Day AM Base'!B94),2),ROUND(MinBase1AMDay*(1+ExpressFuelSurcharge),2),ROUND(((1-(OverNightDiscount_21_Up+FedExExrpessEarnedDiscount))*'1Day AM Base'!B94)*(1+ExpressFuelSurcharge),2)))*(1+FedEx_Markup),2)</f>
        <v>136.05000000000001</v>
      </c>
      <c r="C97" s="218">
        <f>ROUND((IF(MinBase1AMDay&gt;ROUND(((1-(OverNightDiscount_21_Up+FedExExrpessEarnedDiscount))*'1Day AM Base'!C94),2),ROUND(MinBase1AMDay*(1+ExpressFuelSurcharge),2),ROUND(((1-(OverNightDiscount_21_Up+FedExExrpessEarnedDiscount))*'1Day AM Base'!C94)*(1+ExpressFuelSurcharge),2)))*(1+FedEx_Markup),2)</f>
        <v>191.08</v>
      </c>
      <c r="D97" s="218">
        <f>ROUND((IF(MinBase1AMDay&gt;ROUND(((1-(OverNightDiscount_21_Up+FedExExrpessEarnedDiscount))*'1Day AM Base'!D94),2),ROUND(MinBase1AMDay*(1+ExpressFuelSurcharge),2),ROUND(((1-(OverNightDiscount_21_Up+FedExExrpessEarnedDiscount))*'1Day AM Base'!D94)*(1+ExpressFuelSurcharge),2)))*(1+FedEx_Markup),2)</f>
        <v>349.54</v>
      </c>
      <c r="E97" s="218">
        <f>ROUND((IF(MinBase1AMDay&gt;ROUND(((1-(OverNightDiscount_21_Up+FedExExrpessEarnedDiscount))*'1Day AM Base'!E94),2),ROUND(MinBase1AMDay*(1+ExpressFuelSurcharge),2),ROUND(((1-(OverNightDiscount_21_Up+FedExExrpessEarnedDiscount))*'1Day AM Base'!E94)*(1+ExpressFuelSurcharge),2)))*(1+FedEx_Markup),2)</f>
        <v>387.63</v>
      </c>
      <c r="F97" s="218">
        <f>ROUND((IF(MinBase1AMDay&gt;ROUND(((1-(OverNightDiscount_21_Up+FedExExrpessEarnedDiscount))*'1Day AM Base'!F94),2),ROUND(MinBase1AMDay*(1+ExpressFuelSurcharge),2),ROUND(((1-(OverNightDiscount_21_Up+FedExExrpessEarnedDiscount))*'1Day AM Base'!F94)*(1+ExpressFuelSurcharge),2)))*(1+FedEx_Markup),2)</f>
        <v>400.98</v>
      </c>
      <c r="G97" s="218">
        <f>ROUND((IF(MinBase1AMDay&gt;ROUND(((1-(OverNightDiscount_21_Up+FedExExrpessEarnedDiscount))*'1Day AM Base'!G94),2),ROUND(MinBase1AMDay*(1+ExpressFuelSurcharge),2),ROUND(((1-(OverNightDiscount_21_Up+FedExExrpessEarnedDiscount))*'1Day AM Base'!G94)*(1+ExpressFuelSurcharge),2)))*(1+FedEx_Markup),2)</f>
        <v>469.19</v>
      </c>
      <c r="H97" s="218">
        <f>ROUND((IF(MinBase1AMDay&gt;ROUND(((1-(OverNightDiscount_21_Up+FedExExrpessEarnedDiscount))*'1Day AM Base'!H94),2),ROUND(MinBase1AMDay*(1+ExpressFuelSurcharge),2),ROUND(((1-(OverNightDiscount_21_Up+FedExExrpessEarnedDiscount))*'1Day AM Base'!H94)*(1+ExpressFuelSurcharge),2)))*(1+FedEx_Markup),2)</f>
        <v>488.27</v>
      </c>
    </row>
    <row r="98" spans="1:8" ht="13.5" customHeight="1">
      <c r="A98" s="217">
        <v>93</v>
      </c>
      <c r="B98" s="218">
        <f>ROUND((IF(MinBase1AMDay&gt;ROUND(((1-(OverNightDiscount_21_Up+FedExExrpessEarnedDiscount))*'1Day AM Base'!B95),2),ROUND(MinBase1AMDay*(1+ExpressFuelSurcharge),2),ROUND(((1-(OverNightDiscount_21_Up+FedExExrpessEarnedDiscount))*'1Day AM Base'!B95)*(1+ExpressFuelSurcharge),2)))*(1+FedEx_Markup),2)</f>
        <v>136.41</v>
      </c>
      <c r="C98" s="218">
        <f>ROUND((IF(MinBase1AMDay&gt;ROUND(((1-(OverNightDiscount_21_Up+FedExExrpessEarnedDiscount))*'1Day AM Base'!C95),2),ROUND(MinBase1AMDay*(1+ExpressFuelSurcharge),2),ROUND(((1-(OverNightDiscount_21_Up+FedExExrpessEarnedDiscount))*'1Day AM Base'!C95)*(1+ExpressFuelSurcharge),2)))*(1+FedEx_Markup),2)</f>
        <v>191.44</v>
      </c>
      <c r="D98" s="218">
        <f>ROUND((IF(MinBase1AMDay&gt;ROUND(((1-(OverNightDiscount_21_Up+FedExExrpessEarnedDiscount))*'1Day AM Base'!D95),2),ROUND(MinBase1AMDay*(1+ExpressFuelSurcharge),2),ROUND(((1-(OverNightDiscount_21_Up+FedExExrpessEarnedDiscount))*'1Day AM Base'!D95)*(1+ExpressFuelSurcharge),2)))*(1+FedEx_Markup),2)</f>
        <v>349.93</v>
      </c>
      <c r="E98" s="218">
        <f>ROUND((IF(MinBase1AMDay&gt;ROUND(((1-(OverNightDiscount_21_Up+FedExExrpessEarnedDiscount))*'1Day AM Base'!E95),2),ROUND(MinBase1AMDay*(1+ExpressFuelSurcharge),2),ROUND(((1-(OverNightDiscount_21_Up+FedExExrpessEarnedDiscount))*'1Day AM Base'!E95)*(1+ExpressFuelSurcharge),2)))*(1+FedEx_Markup),2)</f>
        <v>388.13</v>
      </c>
      <c r="F98" s="218">
        <f>ROUND((IF(MinBase1AMDay&gt;ROUND(((1-(OverNightDiscount_21_Up+FedExExrpessEarnedDiscount))*'1Day AM Base'!F95),2),ROUND(MinBase1AMDay*(1+ExpressFuelSurcharge),2),ROUND(((1-(OverNightDiscount_21_Up+FedExExrpessEarnedDiscount))*'1Day AM Base'!F95)*(1+ExpressFuelSurcharge),2)))*(1+FedEx_Markup),2)</f>
        <v>410.11</v>
      </c>
      <c r="G98" s="218">
        <f>ROUND((IF(MinBase1AMDay&gt;ROUND(((1-(OverNightDiscount_21_Up+FedExExrpessEarnedDiscount))*'1Day AM Base'!G95),2),ROUND(MinBase1AMDay*(1+ExpressFuelSurcharge),2),ROUND(((1-(OverNightDiscount_21_Up+FedExExrpessEarnedDiscount))*'1Day AM Base'!G95)*(1+ExpressFuelSurcharge),2)))*(1+FedEx_Markup),2)</f>
        <v>469.55</v>
      </c>
      <c r="H98" s="218">
        <f>ROUND((IF(MinBase1AMDay&gt;ROUND(((1-(OverNightDiscount_21_Up+FedExExrpessEarnedDiscount))*'1Day AM Base'!H95),2),ROUND(MinBase1AMDay*(1+ExpressFuelSurcharge),2),ROUND(((1-(OverNightDiscount_21_Up+FedExExrpessEarnedDiscount))*'1Day AM Base'!H95)*(1+ExpressFuelSurcharge),2)))*(1+FedEx_Markup),2)</f>
        <v>488.62</v>
      </c>
    </row>
    <row r="99" spans="1:8" ht="13.5" customHeight="1">
      <c r="A99" s="217">
        <v>94</v>
      </c>
      <c r="B99" s="218">
        <f>ROUND((IF(MinBase1AMDay&gt;ROUND(((1-(OverNightDiscount_21_Up+FedExExrpessEarnedDiscount))*'1Day AM Base'!B96),2),ROUND(MinBase1AMDay*(1+ExpressFuelSurcharge),2),ROUND(((1-(OverNightDiscount_21_Up+FedExExrpessEarnedDiscount))*'1Day AM Base'!B96)*(1+ExpressFuelSurcharge),2)))*(1+FedEx_Markup),2)</f>
        <v>136.77000000000001</v>
      </c>
      <c r="C99" s="218">
        <f>ROUND((IF(MinBase1AMDay&gt;ROUND(((1-(OverNightDiscount_21_Up+FedExExrpessEarnedDiscount))*'1Day AM Base'!C96),2),ROUND(MinBase1AMDay*(1+ExpressFuelSurcharge),2),ROUND(((1-(OverNightDiscount_21_Up+FedExExrpessEarnedDiscount))*'1Day AM Base'!C96)*(1+ExpressFuelSurcharge),2)))*(1+FedEx_Markup),2)</f>
        <v>191.8</v>
      </c>
      <c r="D99" s="218">
        <f>ROUND((IF(MinBase1AMDay&gt;ROUND(((1-(OverNightDiscount_21_Up+FedExExrpessEarnedDiscount))*'1Day AM Base'!D96),2),ROUND(MinBase1AMDay*(1+ExpressFuelSurcharge),2),ROUND(((1-(OverNightDiscount_21_Up+FedExExrpessEarnedDiscount))*'1Day AM Base'!D96)*(1+ExpressFuelSurcharge),2)))*(1+FedEx_Markup),2)</f>
        <v>350.41</v>
      </c>
      <c r="E99" s="218">
        <f>ROUND((IF(MinBase1AMDay&gt;ROUND(((1-(OverNightDiscount_21_Up+FedExExrpessEarnedDiscount))*'1Day AM Base'!E96),2),ROUND(MinBase1AMDay*(1+ExpressFuelSurcharge),2),ROUND(((1-(OverNightDiscount_21_Up+FedExExrpessEarnedDiscount))*'1Day AM Base'!E96)*(1+ExpressFuelSurcharge),2)))*(1+FedEx_Markup),2)</f>
        <v>395.78</v>
      </c>
      <c r="F99" s="218">
        <f>ROUND((IF(MinBase1AMDay&gt;ROUND(((1-(OverNightDiscount_21_Up+FedExExrpessEarnedDiscount))*'1Day AM Base'!F96),2),ROUND(MinBase1AMDay*(1+ExpressFuelSurcharge),2),ROUND(((1-(OverNightDiscount_21_Up+FedExExrpessEarnedDiscount))*'1Day AM Base'!F96)*(1+ExpressFuelSurcharge),2)))*(1+FedEx_Markup),2)</f>
        <v>411.02</v>
      </c>
      <c r="G99" s="218">
        <f>ROUND((IF(MinBase1AMDay&gt;ROUND(((1-(OverNightDiscount_21_Up+FedExExrpessEarnedDiscount))*'1Day AM Base'!G96),2),ROUND(MinBase1AMDay*(1+ExpressFuelSurcharge),2),ROUND(((1-(OverNightDiscount_21_Up+FedExExrpessEarnedDiscount))*'1Day AM Base'!G96)*(1+ExpressFuelSurcharge),2)))*(1+FedEx_Markup),2)</f>
        <v>469.9</v>
      </c>
      <c r="H99" s="218">
        <f>ROUND((IF(MinBase1AMDay&gt;ROUND(((1-(OverNightDiscount_21_Up+FedExExrpessEarnedDiscount))*'1Day AM Base'!H96),2),ROUND(MinBase1AMDay*(1+ExpressFuelSurcharge),2),ROUND(((1-(OverNightDiscount_21_Up+FedExExrpessEarnedDiscount))*'1Day AM Base'!H96)*(1+ExpressFuelSurcharge),2)))*(1+FedEx_Markup),2)</f>
        <v>489.65</v>
      </c>
    </row>
    <row r="100" spans="1:8" ht="13.5" customHeight="1">
      <c r="A100" s="217">
        <v>95</v>
      </c>
      <c r="B100" s="218">
        <f>ROUND((IF(MinBase1AMDay&gt;ROUND(((1-(OverNightDiscount_21_Up+FedExExrpessEarnedDiscount))*'1Day AM Base'!B97),2),ROUND(MinBase1AMDay*(1+ExpressFuelSurcharge),2),ROUND(((1-(OverNightDiscount_21_Up+FedExExrpessEarnedDiscount))*'1Day AM Base'!B97)*(1+ExpressFuelSurcharge),2)))*(1+FedEx_Markup),2)</f>
        <v>137.13</v>
      </c>
      <c r="C100" s="218">
        <f>ROUND((IF(MinBase1AMDay&gt;ROUND(((1-(OverNightDiscount_21_Up+FedExExrpessEarnedDiscount))*'1Day AM Base'!C97),2),ROUND(MinBase1AMDay*(1+ExpressFuelSurcharge),2),ROUND(((1-(OverNightDiscount_21_Up+FedExExrpessEarnedDiscount))*'1Day AM Base'!C97)*(1+ExpressFuelSurcharge),2)))*(1+FedEx_Markup),2)</f>
        <v>192.17</v>
      </c>
      <c r="D100" s="218">
        <f>ROUND((IF(MinBase1AMDay&gt;ROUND(((1-(OverNightDiscount_21_Up+FedExExrpessEarnedDiscount))*'1Day AM Base'!D97),2),ROUND(MinBase1AMDay*(1+ExpressFuelSurcharge),2),ROUND(((1-(OverNightDiscount_21_Up+FedExExrpessEarnedDiscount))*'1Day AM Base'!D97)*(1+ExpressFuelSurcharge),2)))*(1+FedEx_Markup),2)</f>
        <v>350.77</v>
      </c>
      <c r="E100" s="218">
        <f>ROUND((IF(MinBase1AMDay&gt;ROUND(((1-(OverNightDiscount_21_Up+FedExExrpessEarnedDiscount))*'1Day AM Base'!E97),2),ROUND(MinBase1AMDay*(1+ExpressFuelSurcharge),2),ROUND(((1-(OverNightDiscount_21_Up+FedExExrpessEarnedDiscount))*'1Day AM Base'!E97)*(1+ExpressFuelSurcharge),2)))*(1+FedEx_Markup),2)</f>
        <v>396.55</v>
      </c>
      <c r="F100" s="218">
        <f>ROUND((IF(MinBase1AMDay&gt;ROUND(((1-(OverNightDiscount_21_Up+FedExExrpessEarnedDiscount))*'1Day AM Base'!F97),2),ROUND(MinBase1AMDay*(1+ExpressFuelSurcharge),2),ROUND(((1-(OverNightDiscount_21_Up+FedExExrpessEarnedDiscount))*'1Day AM Base'!F97)*(1+ExpressFuelSurcharge),2)))*(1+FedEx_Markup),2)</f>
        <v>411.56</v>
      </c>
      <c r="G100" s="218">
        <f>ROUND((IF(MinBase1AMDay&gt;ROUND(((1-(OverNightDiscount_21_Up+FedExExrpessEarnedDiscount))*'1Day AM Base'!G97),2),ROUND(MinBase1AMDay*(1+ExpressFuelSurcharge),2),ROUND(((1-(OverNightDiscount_21_Up+FedExExrpessEarnedDiscount))*'1Day AM Base'!G97)*(1+ExpressFuelSurcharge),2)))*(1+FedEx_Markup),2)</f>
        <v>470.27</v>
      </c>
      <c r="H100" s="218">
        <f>ROUND((IF(MinBase1AMDay&gt;ROUND(((1-(OverNightDiscount_21_Up+FedExExrpessEarnedDiscount))*'1Day AM Base'!H97),2),ROUND(MinBase1AMDay*(1+ExpressFuelSurcharge),2),ROUND(((1-(OverNightDiscount_21_Up+FedExExrpessEarnedDiscount))*'1Day AM Base'!H97)*(1+ExpressFuelSurcharge),2)))*(1+FedEx_Markup),2)</f>
        <v>490</v>
      </c>
    </row>
    <row r="101" spans="1:8" ht="13.5" customHeight="1">
      <c r="A101" s="217">
        <v>96</v>
      </c>
      <c r="B101" s="218">
        <f>ROUND((IF(MinBase1AMDay&gt;ROUND(((1-(OverNightDiscount_21_Up+FedExExrpessEarnedDiscount))*'1Day AM Base'!B98),2),ROUND(MinBase1AMDay*(1+ExpressFuelSurcharge),2),ROUND(((1-(OverNightDiscount_21_Up+FedExExrpessEarnedDiscount))*'1Day AM Base'!B98)*(1+ExpressFuelSurcharge),2)))*(1+FedEx_Markup),2)</f>
        <v>137.49</v>
      </c>
      <c r="C101" s="218">
        <f>ROUND((IF(MinBase1AMDay&gt;ROUND(((1-(OverNightDiscount_21_Up+FedExExrpessEarnedDiscount))*'1Day AM Base'!C98),2),ROUND(MinBase1AMDay*(1+ExpressFuelSurcharge),2),ROUND(((1-(OverNightDiscount_21_Up+FedExExrpessEarnedDiscount))*'1Day AM Base'!C98)*(1+ExpressFuelSurcharge),2)))*(1+FedEx_Markup),2)</f>
        <v>192.52</v>
      </c>
      <c r="D101" s="218">
        <f>ROUND((IF(MinBase1AMDay&gt;ROUND(((1-(OverNightDiscount_21_Up+FedExExrpessEarnedDiscount))*'1Day AM Base'!D98),2),ROUND(MinBase1AMDay*(1+ExpressFuelSurcharge),2),ROUND(((1-(OverNightDiscount_21_Up+FedExExrpessEarnedDiscount))*'1Day AM Base'!D98)*(1+ExpressFuelSurcharge),2)))*(1+FedEx_Markup),2)</f>
        <v>351.13</v>
      </c>
      <c r="E101" s="218">
        <f>ROUND((IF(MinBase1AMDay&gt;ROUND(((1-(OverNightDiscount_21_Up+FedExExrpessEarnedDiscount))*'1Day AM Base'!E98),2),ROUND(MinBase1AMDay*(1+ExpressFuelSurcharge),2),ROUND(((1-(OverNightDiscount_21_Up+FedExExrpessEarnedDiscount))*'1Day AM Base'!E98)*(1+ExpressFuelSurcharge),2)))*(1+FedEx_Markup),2)</f>
        <v>396.91</v>
      </c>
      <c r="F101" s="218">
        <f>ROUND((IF(MinBase1AMDay&gt;ROUND(((1-(OverNightDiscount_21_Up+FedExExrpessEarnedDiscount))*'1Day AM Base'!F98),2),ROUND(MinBase1AMDay*(1+ExpressFuelSurcharge),2),ROUND(((1-(OverNightDiscount_21_Up+FedExExrpessEarnedDiscount))*'1Day AM Base'!F98)*(1+ExpressFuelSurcharge),2)))*(1+FedEx_Markup),2)</f>
        <v>411.92</v>
      </c>
      <c r="G101" s="218">
        <f>ROUND((IF(MinBase1AMDay&gt;ROUND(((1-(OverNightDiscount_21_Up+FedExExrpessEarnedDiscount))*'1Day AM Base'!G98),2),ROUND(MinBase1AMDay*(1+ExpressFuelSurcharge),2),ROUND(((1-(OverNightDiscount_21_Up+FedExExrpessEarnedDiscount))*'1Day AM Base'!G98)*(1+ExpressFuelSurcharge),2)))*(1+FedEx_Markup),2)</f>
        <v>470.63</v>
      </c>
      <c r="H101" s="218">
        <f>ROUND((IF(MinBase1AMDay&gt;ROUND(((1-(OverNightDiscount_21_Up+FedExExrpessEarnedDiscount))*'1Day AM Base'!H98),2),ROUND(MinBase1AMDay*(1+ExpressFuelSurcharge),2),ROUND(((1-(OverNightDiscount_21_Up+FedExExrpessEarnedDiscount))*'1Day AM Base'!H98)*(1+ExpressFuelSurcharge),2)))*(1+FedEx_Markup),2)</f>
        <v>490.74</v>
      </c>
    </row>
    <row r="102" spans="1:8" ht="13.5" customHeight="1">
      <c r="A102" s="217">
        <v>97</v>
      </c>
      <c r="B102" s="218">
        <f>ROUND((IF(MinBase1AMDay&gt;ROUND(((1-(OverNightDiscount_21_Up+FedExExrpessEarnedDiscount))*'1Day AM Base'!B99),2),ROUND(MinBase1AMDay*(1+ExpressFuelSurcharge),2),ROUND(((1-(OverNightDiscount_21_Up+FedExExrpessEarnedDiscount))*'1Day AM Base'!B99)*(1+ExpressFuelSurcharge),2)))*(1+FedEx_Markup),2)</f>
        <v>137.85</v>
      </c>
      <c r="C102" s="218">
        <f>ROUND((IF(MinBase1AMDay&gt;ROUND(((1-(OverNightDiscount_21_Up+FedExExrpessEarnedDiscount))*'1Day AM Base'!C99),2),ROUND(MinBase1AMDay*(1+ExpressFuelSurcharge),2),ROUND(((1-(OverNightDiscount_21_Up+FedExExrpessEarnedDiscount))*'1Day AM Base'!C99)*(1+ExpressFuelSurcharge),2)))*(1+FedEx_Markup),2)</f>
        <v>192.89</v>
      </c>
      <c r="D102" s="218">
        <f>ROUND((IF(MinBase1AMDay&gt;ROUND(((1-(OverNightDiscount_21_Up+FedExExrpessEarnedDiscount))*'1Day AM Base'!D99),2),ROUND(MinBase1AMDay*(1+ExpressFuelSurcharge),2),ROUND(((1-(OverNightDiscount_21_Up+FedExExrpessEarnedDiscount))*'1Day AM Base'!D99)*(1+ExpressFuelSurcharge),2)))*(1+FedEx_Markup),2)</f>
        <v>351.5</v>
      </c>
      <c r="E102" s="218">
        <f>ROUND((IF(MinBase1AMDay&gt;ROUND(((1-(OverNightDiscount_21_Up+FedExExrpessEarnedDiscount))*'1Day AM Base'!E99),2),ROUND(MinBase1AMDay*(1+ExpressFuelSurcharge),2),ROUND(((1-(OverNightDiscount_21_Up+FedExExrpessEarnedDiscount))*'1Day AM Base'!E99)*(1+ExpressFuelSurcharge),2)))*(1+FedEx_Markup),2)</f>
        <v>397.27</v>
      </c>
      <c r="F102" s="218">
        <f>ROUND((IF(MinBase1AMDay&gt;ROUND(((1-(OverNightDiscount_21_Up+FedExExrpessEarnedDiscount))*'1Day AM Base'!F99),2),ROUND(MinBase1AMDay*(1+ExpressFuelSurcharge),2),ROUND(((1-(OverNightDiscount_21_Up+FedExExrpessEarnedDiscount))*'1Day AM Base'!F99)*(1+ExpressFuelSurcharge),2)))*(1+FedEx_Markup),2)</f>
        <v>412.28</v>
      </c>
      <c r="G102" s="218">
        <f>ROUND((IF(MinBase1AMDay&gt;ROUND(((1-(OverNightDiscount_21_Up+FedExExrpessEarnedDiscount))*'1Day AM Base'!G99),2),ROUND(MinBase1AMDay*(1+ExpressFuelSurcharge),2),ROUND(((1-(OverNightDiscount_21_Up+FedExExrpessEarnedDiscount))*'1Day AM Base'!G99)*(1+ExpressFuelSurcharge),2)))*(1+FedEx_Markup),2)</f>
        <v>470.99</v>
      </c>
      <c r="H102" s="218">
        <f>ROUND((IF(MinBase1AMDay&gt;ROUND(((1-(OverNightDiscount_21_Up+FedExExrpessEarnedDiscount))*'1Day AM Base'!H99),2),ROUND(MinBase1AMDay*(1+ExpressFuelSurcharge),2),ROUND(((1-(OverNightDiscount_21_Up+FedExExrpessEarnedDiscount))*'1Day AM Base'!H99)*(1+ExpressFuelSurcharge),2)))*(1+FedEx_Markup),2)</f>
        <v>491.11</v>
      </c>
    </row>
    <row r="103" spans="1:8" ht="13.5" customHeight="1">
      <c r="A103" s="217">
        <v>98</v>
      </c>
      <c r="B103" s="218">
        <f>ROUND((IF(MinBase1AMDay&gt;ROUND(((1-(OverNightDiscount_21_Up+FedExExrpessEarnedDiscount))*'1Day AM Base'!B100),2),ROUND(MinBase1AMDay*(1+ExpressFuelSurcharge),2),ROUND(((1-(OverNightDiscount_21_Up+FedExExrpessEarnedDiscount))*'1Day AM Base'!B100)*(1+ExpressFuelSurcharge),2)))*(1+FedEx_Markup),2)</f>
        <v>138.22</v>
      </c>
      <c r="C103" s="218">
        <f>ROUND((IF(MinBase1AMDay&gt;ROUND(((1-(OverNightDiscount_21_Up+FedExExrpessEarnedDiscount))*'1Day AM Base'!C100),2),ROUND(MinBase1AMDay*(1+ExpressFuelSurcharge),2),ROUND(((1-(OverNightDiscount_21_Up+FedExExrpessEarnedDiscount))*'1Day AM Base'!C100)*(1+ExpressFuelSurcharge),2)))*(1+FedEx_Markup),2)</f>
        <v>193.25</v>
      </c>
      <c r="D103" s="218">
        <f>ROUND((IF(MinBase1AMDay&gt;ROUND(((1-(OverNightDiscount_21_Up+FedExExrpessEarnedDiscount))*'1Day AM Base'!D100),2),ROUND(MinBase1AMDay*(1+ExpressFuelSurcharge),2),ROUND(((1-(OverNightDiscount_21_Up+FedExExrpessEarnedDiscount))*'1Day AM Base'!D100)*(1+ExpressFuelSurcharge),2)))*(1+FedEx_Markup),2)</f>
        <v>351.85</v>
      </c>
      <c r="E103" s="218">
        <f>ROUND((IF(MinBase1AMDay&gt;ROUND(((1-(OverNightDiscount_21_Up+FedExExrpessEarnedDiscount))*'1Day AM Base'!E100),2),ROUND(MinBase1AMDay*(1+ExpressFuelSurcharge),2),ROUND(((1-(OverNightDiscount_21_Up+FedExExrpessEarnedDiscount))*'1Day AM Base'!E100)*(1+ExpressFuelSurcharge),2)))*(1+FedEx_Markup),2)</f>
        <v>402.7</v>
      </c>
      <c r="F103" s="218">
        <f>ROUND((IF(MinBase1AMDay&gt;ROUND(((1-(OverNightDiscount_21_Up+FedExExrpessEarnedDiscount))*'1Day AM Base'!F100),2),ROUND(MinBase1AMDay*(1+ExpressFuelSurcharge),2),ROUND(((1-(OverNightDiscount_21_Up+FedExExrpessEarnedDiscount))*'1Day AM Base'!F100)*(1+ExpressFuelSurcharge),2)))*(1+FedEx_Markup),2)</f>
        <v>416.98</v>
      </c>
      <c r="G103" s="218">
        <f>ROUND((IF(MinBase1AMDay&gt;ROUND(((1-(OverNightDiscount_21_Up+FedExExrpessEarnedDiscount))*'1Day AM Base'!G100),2),ROUND(MinBase1AMDay*(1+ExpressFuelSurcharge),2),ROUND(((1-(OverNightDiscount_21_Up+FedExExrpessEarnedDiscount))*'1Day AM Base'!G100)*(1+ExpressFuelSurcharge),2)))*(1+FedEx_Markup),2)</f>
        <v>472.11</v>
      </c>
      <c r="H103" s="218">
        <f>ROUND((IF(MinBase1AMDay&gt;ROUND(((1-(OverNightDiscount_21_Up+FedExExrpessEarnedDiscount))*'1Day AM Base'!H100),2),ROUND(MinBase1AMDay*(1+ExpressFuelSurcharge),2),ROUND(((1-(OverNightDiscount_21_Up+FedExExrpessEarnedDiscount))*'1Day AM Base'!H100)*(1+ExpressFuelSurcharge),2)))*(1+FedEx_Markup),2)</f>
        <v>491.74</v>
      </c>
    </row>
    <row r="104" spans="1:8" ht="13.5" customHeight="1">
      <c r="A104" s="217">
        <v>99</v>
      </c>
      <c r="B104" s="218">
        <f>ROUND((IF(MinBase1AMDay&gt;ROUND(((1-(OverNightDiscount_21_Up+FedExExrpessEarnedDiscount))*'1Day AM Base'!B101),2),ROUND(MinBase1AMDay*(1+ExpressFuelSurcharge),2),ROUND(((1-(OverNightDiscount_21_Up+FedExExrpessEarnedDiscount))*'1Day AM Base'!B101)*(1+ExpressFuelSurcharge),2)))*(1+FedEx_Markup),2)</f>
        <v>138.58000000000001</v>
      </c>
      <c r="C104" s="218">
        <f>ROUND((IF(MinBase1AMDay&gt;ROUND(((1-(OverNightDiscount_21_Up+FedExExrpessEarnedDiscount))*'1Day AM Base'!C101),2),ROUND(MinBase1AMDay*(1+ExpressFuelSurcharge),2),ROUND(((1-(OverNightDiscount_21_Up+FedExExrpessEarnedDiscount))*'1Day AM Base'!C101)*(1+ExpressFuelSurcharge),2)))*(1+FedEx_Markup),2)</f>
        <v>193.6</v>
      </c>
      <c r="D104" s="218">
        <f>ROUND((IF(MinBase1AMDay&gt;ROUND(((1-(OverNightDiscount_21_Up+FedExExrpessEarnedDiscount))*'1Day AM Base'!D101),2),ROUND(MinBase1AMDay*(1+ExpressFuelSurcharge),2),ROUND(((1-(OverNightDiscount_21_Up+FedExExrpessEarnedDiscount))*'1Day AM Base'!D101)*(1+ExpressFuelSurcharge),2)))*(1+FedEx_Markup),2)</f>
        <v>352.39</v>
      </c>
      <c r="E104" s="218">
        <f>ROUND((IF(MinBase1AMDay&gt;ROUND(((1-(OverNightDiscount_21_Up+FedExExrpessEarnedDiscount))*'1Day AM Base'!E101),2),ROUND(MinBase1AMDay*(1+ExpressFuelSurcharge),2),ROUND(((1-(OverNightDiscount_21_Up+FedExExrpessEarnedDiscount))*'1Day AM Base'!E101)*(1+ExpressFuelSurcharge),2)))*(1+FedEx_Markup),2)</f>
        <v>418.39</v>
      </c>
      <c r="F104" s="218">
        <f>ROUND((IF(MinBase1AMDay&gt;ROUND(((1-(OverNightDiscount_21_Up+FedExExrpessEarnedDiscount))*'1Day AM Base'!F101),2),ROUND(MinBase1AMDay*(1+ExpressFuelSurcharge),2),ROUND(((1-(OverNightDiscount_21_Up+FedExExrpessEarnedDiscount))*'1Day AM Base'!F101)*(1+ExpressFuelSurcharge),2)))*(1+FedEx_Markup),2)</f>
        <v>427.89</v>
      </c>
      <c r="G104" s="218">
        <f>ROUND((IF(MinBase1AMDay&gt;ROUND(((1-(OverNightDiscount_21_Up+FedExExrpessEarnedDiscount))*'1Day AM Base'!G101),2),ROUND(MinBase1AMDay*(1+ExpressFuelSurcharge),2),ROUND(((1-(OverNightDiscount_21_Up+FedExExrpessEarnedDiscount))*'1Day AM Base'!G101)*(1+ExpressFuelSurcharge),2)))*(1+FedEx_Markup),2)</f>
        <v>494.48</v>
      </c>
      <c r="H104" s="218">
        <f>ROUND((IF(MinBase1AMDay&gt;ROUND(((1-(OverNightDiscount_21_Up+FedExExrpessEarnedDiscount))*'1Day AM Base'!H101),2),ROUND(MinBase1AMDay*(1+ExpressFuelSurcharge),2),ROUND(((1-(OverNightDiscount_21_Up+FedExExrpessEarnedDiscount))*'1Day AM Base'!H101)*(1+ExpressFuelSurcharge),2)))*(1+FedEx_Markup),2)</f>
        <v>504.38</v>
      </c>
    </row>
    <row r="105" spans="1:8" ht="13.5" customHeight="1">
      <c r="A105" s="217">
        <v>100</v>
      </c>
      <c r="B105" s="218">
        <f>ROUND((IF(MinBase1AMDay&gt;ROUND(((1-(OverNightDiscount_21_Up+FedExExrpessEarnedDiscount))*'1Day AM Base'!B102),2),ROUND(MinBase1AMDay*(1+ExpressFuelSurcharge),2),ROUND(((1-(OverNightDiscount_21_Up+FedExExrpessEarnedDiscount))*'1Day AM Base'!B102)*(1+ExpressFuelSurcharge),2)))*(1+FedEx_Markup),2)</f>
        <v>138.93</v>
      </c>
      <c r="C105" s="218">
        <f>ROUND((IF(MinBase1AMDay&gt;ROUND(((1-(OverNightDiscount_21_Up+FedExExrpessEarnedDiscount))*'1Day AM Base'!C102),2),ROUND(MinBase1AMDay*(1+ExpressFuelSurcharge),2),ROUND(((1-(OverNightDiscount_21_Up+FedExExrpessEarnedDiscount))*'1Day AM Base'!C102)*(1+ExpressFuelSurcharge),2)))*(1+FedEx_Markup),2)</f>
        <v>193.97</v>
      </c>
      <c r="D105" s="218">
        <f>ROUND((IF(MinBase1AMDay&gt;ROUND(((1-(OverNightDiscount_21_Up+FedExExrpessEarnedDiscount))*'1Day AM Base'!D102),2),ROUND(MinBase1AMDay*(1+ExpressFuelSurcharge),2),ROUND(((1-(OverNightDiscount_21_Up+FedExExrpessEarnedDiscount))*'1Day AM Base'!D102)*(1+ExpressFuelSurcharge),2)))*(1+FedEx_Markup),2)</f>
        <v>352.75</v>
      </c>
      <c r="E105" s="218">
        <f>ROUND((IF(MinBase1AMDay&gt;ROUND(((1-(OverNightDiscount_21_Up+FedExExrpessEarnedDiscount))*'1Day AM Base'!E102),2),ROUND(MinBase1AMDay*(1+ExpressFuelSurcharge),2),ROUND(((1-(OverNightDiscount_21_Up+FedExExrpessEarnedDiscount))*'1Day AM Base'!E102)*(1+ExpressFuelSurcharge),2)))*(1+FedEx_Markup),2)</f>
        <v>419.96</v>
      </c>
      <c r="F105" s="218">
        <f>ROUND((IF(MinBase1AMDay&gt;ROUND(((1-(OverNightDiscount_21_Up+FedExExrpessEarnedDiscount))*'1Day AM Base'!F102),2),ROUND(MinBase1AMDay*(1+ExpressFuelSurcharge),2),ROUND(((1-(OverNightDiscount_21_Up+FedExExrpessEarnedDiscount))*'1Day AM Base'!F102)*(1+ExpressFuelSurcharge),2)))*(1+FedEx_Markup),2)</f>
        <v>428.98</v>
      </c>
      <c r="G105" s="218">
        <f>ROUND((IF(MinBase1AMDay&gt;ROUND(((1-(OverNightDiscount_21_Up+FedExExrpessEarnedDiscount))*'1Day AM Base'!G102),2),ROUND(MinBase1AMDay*(1+ExpressFuelSurcharge),2),ROUND(((1-(OverNightDiscount_21_Up+FedExExrpessEarnedDiscount))*'1Day AM Base'!G102)*(1+ExpressFuelSurcharge),2)))*(1+FedEx_Markup),2)</f>
        <v>524.62</v>
      </c>
      <c r="H105" s="218">
        <f>ROUND((IF(MinBase1AMDay&gt;ROUND(((1-(OverNightDiscount_21_Up+FedExExrpessEarnedDiscount))*'1Day AM Base'!H102),2),ROUND(MinBase1AMDay*(1+ExpressFuelSurcharge),2),ROUND(((1-(OverNightDiscount_21_Up+FedExExrpessEarnedDiscount))*'1Day AM Base'!H102)*(1+ExpressFuelSurcharge),2)))*(1+FedEx_Markup),2)</f>
        <v>558.9</v>
      </c>
    </row>
    <row r="106" spans="1:8" ht="13.5" customHeight="1">
      <c r="A106" s="217">
        <v>101</v>
      </c>
      <c r="B106" s="218">
        <f>ROUND((IF(MinBase1AMDay&gt;ROUND(((1-(OverNightDiscount_21_Up+FedExExrpessEarnedDiscount))*'1Day AM Base'!B103),2),ROUND(MinBase1AMDay*(1+ExpressFuelSurcharge),2),ROUND(((1-(OverNightDiscount_21_Up+FedExExrpessEarnedDiscount))*'1Day AM Base'!B103)*(1+ExpressFuelSurcharge),2)))*(1+FedEx_Markup),2)</f>
        <v>140.32</v>
      </c>
      <c r="C106" s="218">
        <f>ROUND((IF(MinBase1AMDay&gt;ROUND(((1-(OverNightDiscount_21_Up+FedExExrpessEarnedDiscount))*'1Day AM Base'!C103),2),ROUND(MinBase1AMDay*(1+ExpressFuelSurcharge),2),ROUND(((1-(OverNightDiscount_21_Up+FedExExrpessEarnedDiscount))*'1Day AM Base'!C103)*(1+ExpressFuelSurcharge),2)))*(1+FedEx_Markup),2)</f>
        <v>195.9</v>
      </c>
      <c r="D106" s="218">
        <f>ROUND((IF(MinBase1AMDay&gt;ROUND(((1-(OverNightDiscount_21_Up+FedExExrpessEarnedDiscount))*'1Day AM Base'!D103),2),ROUND(MinBase1AMDay*(1+ExpressFuelSurcharge),2),ROUND(((1-(OverNightDiscount_21_Up+FedExExrpessEarnedDiscount))*'1Day AM Base'!D103)*(1+ExpressFuelSurcharge),2)))*(1+FedEx_Markup),2)</f>
        <v>356.28</v>
      </c>
      <c r="E106" s="218">
        <f>ROUND((IF(MinBase1AMDay&gt;ROUND(((1-(OverNightDiscount_21_Up+FedExExrpessEarnedDiscount))*'1Day AM Base'!E103),2),ROUND(MinBase1AMDay*(1+ExpressFuelSurcharge),2),ROUND(((1-(OverNightDiscount_21_Up+FedExExrpessEarnedDiscount))*'1Day AM Base'!E103)*(1+ExpressFuelSurcharge),2)))*(1+FedEx_Markup),2)</f>
        <v>424.17</v>
      </c>
      <c r="F106" s="218">
        <f>ROUND((IF(MinBase1AMDay&gt;ROUND(((1-(OverNightDiscount_21_Up+FedExExrpessEarnedDiscount))*'1Day AM Base'!F103),2),ROUND(MinBase1AMDay*(1+ExpressFuelSurcharge),2),ROUND(((1-(OverNightDiscount_21_Up+FedExExrpessEarnedDiscount))*'1Day AM Base'!F103)*(1+ExpressFuelSurcharge),2)))*(1+FedEx_Markup),2)</f>
        <v>433.27</v>
      </c>
      <c r="G106" s="218">
        <f>ROUND((IF(MinBase1AMDay&gt;ROUND(((1-(OverNightDiscount_21_Up+FedExExrpessEarnedDiscount))*'1Day AM Base'!G103),2),ROUND(MinBase1AMDay*(1+ExpressFuelSurcharge),2),ROUND(((1-(OverNightDiscount_21_Up+FedExExrpessEarnedDiscount))*'1Day AM Base'!G103)*(1+ExpressFuelSurcharge),2)))*(1+FedEx_Markup),2)</f>
        <v>529.86</v>
      </c>
      <c r="H106" s="218">
        <f>ROUND((IF(MinBase1AMDay&gt;ROUND(((1-(OverNightDiscount_21_Up+FedExExrpessEarnedDiscount))*'1Day AM Base'!H103),2),ROUND(MinBase1AMDay*(1+ExpressFuelSurcharge),2),ROUND(((1-(OverNightDiscount_21_Up+FedExExrpessEarnedDiscount))*'1Day AM Base'!H103)*(1+ExpressFuelSurcharge),2)))*(1+FedEx_Markup),2)</f>
        <v>564.49</v>
      </c>
    </row>
    <row r="107" spans="1:8" ht="13.5" customHeight="1">
      <c r="A107" s="217">
        <v>102</v>
      </c>
      <c r="B107" s="218">
        <f>ROUND((IF(MinBase1AMDay&gt;ROUND(((1-(OverNightDiscount_21_Up+FedExExrpessEarnedDiscount))*'1Day AM Base'!B104),2),ROUND(MinBase1AMDay*(1+ExpressFuelSurcharge),2),ROUND(((1-(OverNightDiscount_21_Up+FedExExrpessEarnedDiscount))*'1Day AM Base'!B104)*(1+ExpressFuelSurcharge),2)))*(1+FedEx_Markup),2)</f>
        <v>141.71</v>
      </c>
      <c r="C107" s="218">
        <f>ROUND((IF(MinBase1AMDay&gt;ROUND(((1-(OverNightDiscount_21_Up+FedExExrpessEarnedDiscount))*'1Day AM Base'!C104),2),ROUND(MinBase1AMDay*(1+ExpressFuelSurcharge),2),ROUND(((1-(OverNightDiscount_21_Up+FedExExrpessEarnedDiscount))*'1Day AM Base'!C104)*(1+ExpressFuelSurcharge),2)))*(1+FedEx_Markup),2)</f>
        <v>197.85</v>
      </c>
      <c r="D107" s="218">
        <f>ROUND((IF(MinBase1AMDay&gt;ROUND(((1-(OverNightDiscount_21_Up+FedExExrpessEarnedDiscount))*'1Day AM Base'!D104),2),ROUND(MinBase1AMDay*(1+ExpressFuelSurcharge),2),ROUND(((1-(OverNightDiscount_21_Up+FedExExrpessEarnedDiscount))*'1Day AM Base'!D104)*(1+ExpressFuelSurcharge),2)))*(1+FedEx_Markup),2)</f>
        <v>359.8</v>
      </c>
      <c r="E107" s="218">
        <f>ROUND((IF(MinBase1AMDay&gt;ROUND(((1-(OverNightDiscount_21_Up+FedExExrpessEarnedDiscount))*'1Day AM Base'!E104),2),ROUND(MinBase1AMDay*(1+ExpressFuelSurcharge),2),ROUND(((1-(OverNightDiscount_21_Up+FedExExrpessEarnedDiscount))*'1Day AM Base'!E104)*(1+ExpressFuelSurcharge),2)))*(1+FedEx_Markup),2)</f>
        <v>428.36</v>
      </c>
      <c r="F107" s="218">
        <f>ROUND((IF(MinBase1AMDay&gt;ROUND(((1-(OverNightDiscount_21_Up+FedExExrpessEarnedDiscount))*'1Day AM Base'!F104),2),ROUND(MinBase1AMDay*(1+ExpressFuelSurcharge),2),ROUND(((1-(OverNightDiscount_21_Up+FedExExrpessEarnedDiscount))*'1Day AM Base'!F104)*(1+ExpressFuelSurcharge),2)))*(1+FedEx_Markup),2)</f>
        <v>437.56</v>
      </c>
      <c r="G107" s="218">
        <f>ROUND((IF(MinBase1AMDay&gt;ROUND(((1-(OverNightDiscount_21_Up+FedExExrpessEarnedDiscount))*'1Day AM Base'!G104),2),ROUND(MinBase1AMDay*(1+ExpressFuelSurcharge),2),ROUND(((1-(OverNightDiscount_21_Up+FedExExrpessEarnedDiscount))*'1Day AM Base'!G104)*(1+ExpressFuelSurcharge),2)))*(1+FedEx_Markup),2)</f>
        <v>535.11</v>
      </c>
      <c r="H107" s="218">
        <f>ROUND((IF(MinBase1AMDay&gt;ROUND(((1-(OverNightDiscount_21_Up+FedExExrpessEarnedDiscount))*'1Day AM Base'!H104),2),ROUND(MinBase1AMDay*(1+ExpressFuelSurcharge),2),ROUND(((1-(OverNightDiscount_21_Up+FedExExrpessEarnedDiscount))*'1Day AM Base'!H104)*(1+ExpressFuelSurcharge),2)))*(1+FedEx_Markup),2)</f>
        <v>570.08000000000004</v>
      </c>
    </row>
    <row r="108" spans="1:8" ht="13.5" customHeight="1">
      <c r="A108" s="217">
        <v>103</v>
      </c>
      <c r="B108" s="218">
        <f>ROUND((IF(MinBase1AMDay&gt;ROUND(((1-(OverNightDiscount_21_Up+FedExExrpessEarnedDiscount))*'1Day AM Base'!B105),2),ROUND(MinBase1AMDay*(1+ExpressFuelSurcharge),2),ROUND(((1-(OverNightDiscount_21_Up+FedExExrpessEarnedDiscount))*'1Day AM Base'!B105)*(1+ExpressFuelSurcharge),2)))*(1+FedEx_Markup),2)</f>
        <v>143.11000000000001</v>
      </c>
      <c r="C108" s="218">
        <f>ROUND((IF(MinBase1AMDay&gt;ROUND(((1-(OverNightDiscount_21_Up+FedExExrpessEarnedDiscount))*'1Day AM Base'!C105),2),ROUND(MinBase1AMDay*(1+ExpressFuelSurcharge),2),ROUND(((1-(OverNightDiscount_21_Up+FedExExrpessEarnedDiscount))*'1Day AM Base'!C105)*(1+ExpressFuelSurcharge),2)))*(1+FedEx_Markup),2)</f>
        <v>199.79</v>
      </c>
      <c r="D108" s="218">
        <f>ROUND((IF(MinBase1AMDay&gt;ROUND(((1-(OverNightDiscount_21_Up+FedExExrpessEarnedDiscount))*'1Day AM Base'!D105),2),ROUND(MinBase1AMDay*(1+ExpressFuelSurcharge),2),ROUND(((1-(OverNightDiscount_21_Up+FedExExrpessEarnedDiscount))*'1Day AM Base'!D105)*(1+ExpressFuelSurcharge),2)))*(1+FedEx_Markup),2)</f>
        <v>363.33</v>
      </c>
      <c r="E108" s="218">
        <f>ROUND((IF(MinBase1AMDay&gt;ROUND(((1-(OverNightDiscount_21_Up+FedExExrpessEarnedDiscount))*'1Day AM Base'!E105),2),ROUND(MinBase1AMDay*(1+ExpressFuelSurcharge),2),ROUND(((1-(OverNightDiscount_21_Up+FedExExrpessEarnedDiscount))*'1Day AM Base'!E105)*(1+ExpressFuelSurcharge),2)))*(1+FedEx_Markup),2)</f>
        <v>432.56</v>
      </c>
      <c r="F108" s="218">
        <f>ROUND((IF(MinBase1AMDay&gt;ROUND(((1-(OverNightDiscount_21_Up+FedExExrpessEarnedDiscount))*'1Day AM Base'!F105),2),ROUND(MinBase1AMDay*(1+ExpressFuelSurcharge),2),ROUND(((1-(OverNightDiscount_21_Up+FedExExrpessEarnedDiscount))*'1Day AM Base'!F105)*(1+ExpressFuelSurcharge),2)))*(1+FedEx_Markup),2)</f>
        <v>441.85</v>
      </c>
      <c r="G108" s="218">
        <f>ROUND((IF(MinBase1AMDay&gt;ROUND(((1-(OverNightDiscount_21_Up+FedExExrpessEarnedDiscount))*'1Day AM Base'!G105),2),ROUND(MinBase1AMDay*(1+ExpressFuelSurcharge),2),ROUND(((1-(OverNightDiscount_21_Up+FedExExrpessEarnedDiscount))*'1Day AM Base'!G105)*(1+ExpressFuelSurcharge),2)))*(1+FedEx_Markup),2)</f>
        <v>540.35</v>
      </c>
      <c r="H108" s="218">
        <f>ROUND((IF(MinBase1AMDay&gt;ROUND(((1-(OverNightDiscount_21_Up+FedExExrpessEarnedDiscount))*'1Day AM Base'!H105),2),ROUND(MinBase1AMDay*(1+ExpressFuelSurcharge),2),ROUND(((1-(OverNightDiscount_21_Up+FedExExrpessEarnedDiscount))*'1Day AM Base'!H105)*(1+ExpressFuelSurcharge),2)))*(1+FedEx_Markup),2)</f>
        <v>575.66999999999996</v>
      </c>
    </row>
    <row r="109" spans="1:8" ht="13.5" customHeight="1">
      <c r="A109" s="217">
        <v>104</v>
      </c>
      <c r="B109" s="218">
        <f>ROUND((IF(MinBase1AMDay&gt;ROUND(((1-(OverNightDiscount_21_Up+FedExExrpessEarnedDiscount))*'1Day AM Base'!B106),2),ROUND(MinBase1AMDay*(1+ExpressFuelSurcharge),2),ROUND(((1-(OverNightDiscount_21_Up+FedExExrpessEarnedDiscount))*'1Day AM Base'!B106)*(1+ExpressFuelSurcharge),2)))*(1+FedEx_Markup),2)</f>
        <v>144.5</v>
      </c>
      <c r="C109" s="218">
        <f>ROUND((IF(MinBase1AMDay&gt;ROUND(((1-(OverNightDiscount_21_Up+FedExExrpessEarnedDiscount))*'1Day AM Base'!C106),2),ROUND(MinBase1AMDay*(1+ExpressFuelSurcharge),2),ROUND(((1-(OverNightDiscount_21_Up+FedExExrpessEarnedDiscount))*'1Day AM Base'!C106)*(1+ExpressFuelSurcharge),2)))*(1+FedEx_Markup),2)</f>
        <v>201.72</v>
      </c>
      <c r="D109" s="218">
        <f>ROUND((IF(MinBase1AMDay&gt;ROUND(((1-(OverNightDiscount_21_Up+FedExExrpessEarnedDiscount))*'1Day AM Base'!D106),2),ROUND(MinBase1AMDay*(1+ExpressFuelSurcharge),2),ROUND(((1-(OverNightDiscount_21_Up+FedExExrpessEarnedDiscount))*'1Day AM Base'!D106)*(1+ExpressFuelSurcharge),2)))*(1+FedEx_Markup),2)</f>
        <v>366.86</v>
      </c>
      <c r="E109" s="218">
        <f>ROUND((IF(MinBase1AMDay&gt;ROUND(((1-(OverNightDiscount_21_Up+FedExExrpessEarnedDiscount))*'1Day AM Base'!E106),2),ROUND(MinBase1AMDay*(1+ExpressFuelSurcharge),2),ROUND(((1-(OverNightDiscount_21_Up+FedExExrpessEarnedDiscount))*'1Day AM Base'!E106)*(1+ExpressFuelSurcharge),2)))*(1+FedEx_Markup),2)</f>
        <v>436.76</v>
      </c>
      <c r="F109" s="218">
        <f>ROUND((IF(MinBase1AMDay&gt;ROUND(((1-(OverNightDiscount_21_Up+FedExExrpessEarnedDiscount))*'1Day AM Base'!F106),2),ROUND(MinBase1AMDay*(1+ExpressFuelSurcharge),2),ROUND(((1-(OverNightDiscount_21_Up+FedExExrpessEarnedDiscount))*'1Day AM Base'!F106)*(1+ExpressFuelSurcharge),2)))*(1+FedEx_Markup),2)</f>
        <v>446.14</v>
      </c>
      <c r="G109" s="218">
        <f>ROUND((IF(MinBase1AMDay&gt;ROUND(((1-(OverNightDiscount_21_Up+FedExExrpessEarnedDiscount))*'1Day AM Base'!G106),2),ROUND(MinBase1AMDay*(1+ExpressFuelSurcharge),2),ROUND(((1-(OverNightDiscount_21_Up+FedExExrpessEarnedDiscount))*'1Day AM Base'!G106)*(1+ExpressFuelSurcharge),2)))*(1+FedEx_Markup),2)</f>
        <v>545.59</v>
      </c>
      <c r="H109" s="218">
        <f>ROUND((IF(MinBase1AMDay&gt;ROUND(((1-(OverNightDiscount_21_Up+FedExExrpessEarnedDiscount))*'1Day AM Base'!H106),2),ROUND(MinBase1AMDay*(1+ExpressFuelSurcharge),2),ROUND(((1-(OverNightDiscount_21_Up+FedExExrpessEarnedDiscount))*'1Day AM Base'!H106)*(1+ExpressFuelSurcharge),2)))*(1+FedEx_Markup),2)</f>
        <v>581.26</v>
      </c>
    </row>
    <row r="110" spans="1:8" ht="12.75" customHeight="1">
      <c r="A110" s="217">
        <v>105</v>
      </c>
      <c r="B110" s="218">
        <f>ROUND((IF(MinBase1AMDay&gt;ROUND(((1-(OverNightDiscount_21_Up+FedExExrpessEarnedDiscount))*'1Day AM Base'!B107),2),ROUND(MinBase1AMDay*(1+ExpressFuelSurcharge),2),ROUND(((1-(OverNightDiscount_21_Up+FedExExrpessEarnedDiscount))*'1Day AM Base'!B107)*(1+ExpressFuelSurcharge),2)))*(1+FedEx_Markup),2)</f>
        <v>145.88</v>
      </c>
      <c r="C110" s="218">
        <f>ROUND((IF(MinBase1AMDay&gt;ROUND(((1-(OverNightDiscount_21_Up+FedExExrpessEarnedDiscount))*'1Day AM Base'!C107),2),ROUND(MinBase1AMDay*(1+ExpressFuelSurcharge),2),ROUND(((1-(OverNightDiscount_21_Up+FedExExrpessEarnedDiscount))*'1Day AM Base'!C107)*(1+ExpressFuelSurcharge),2)))*(1+FedEx_Markup),2)</f>
        <v>203.67</v>
      </c>
      <c r="D110" s="218">
        <f>ROUND((IF(MinBase1AMDay&gt;ROUND(((1-(OverNightDiscount_21_Up+FedExExrpessEarnedDiscount))*'1Day AM Base'!D107),2),ROUND(MinBase1AMDay*(1+ExpressFuelSurcharge),2),ROUND(((1-(OverNightDiscount_21_Up+FedExExrpessEarnedDiscount))*'1Day AM Base'!D107)*(1+ExpressFuelSurcharge),2)))*(1+FedEx_Markup),2)</f>
        <v>370.39</v>
      </c>
      <c r="E110" s="218">
        <f>ROUND((IF(MinBase1AMDay&gt;ROUND(((1-(OverNightDiscount_21_Up+FedExExrpessEarnedDiscount))*'1Day AM Base'!E107),2),ROUND(MinBase1AMDay*(1+ExpressFuelSurcharge),2),ROUND(((1-(OverNightDiscount_21_Up+FedExExrpessEarnedDiscount))*'1Day AM Base'!E107)*(1+ExpressFuelSurcharge),2)))*(1+FedEx_Markup),2)</f>
        <v>440.96</v>
      </c>
      <c r="F110" s="218">
        <f>ROUND((IF(MinBase1AMDay&gt;ROUND(((1-(OverNightDiscount_21_Up+FedExExrpessEarnedDiscount))*'1Day AM Base'!F107),2),ROUND(MinBase1AMDay*(1+ExpressFuelSurcharge),2),ROUND(((1-(OverNightDiscount_21_Up+FedExExrpessEarnedDiscount))*'1Day AM Base'!F107)*(1+ExpressFuelSurcharge),2)))*(1+FedEx_Markup),2)</f>
        <v>450.43</v>
      </c>
      <c r="G110" s="218">
        <f>ROUND((IF(MinBase1AMDay&gt;ROUND(((1-(OverNightDiscount_21_Up+FedExExrpessEarnedDiscount))*'1Day AM Base'!G107),2),ROUND(MinBase1AMDay*(1+ExpressFuelSurcharge),2),ROUND(((1-(OverNightDiscount_21_Up+FedExExrpessEarnedDiscount))*'1Day AM Base'!G107)*(1+ExpressFuelSurcharge),2)))*(1+FedEx_Markup),2)</f>
        <v>550.85</v>
      </c>
      <c r="H110" s="218">
        <f>ROUND((IF(MinBase1AMDay&gt;ROUND(((1-(OverNightDiscount_21_Up+FedExExrpessEarnedDiscount))*'1Day AM Base'!H107),2),ROUND(MinBase1AMDay*(1+ExpressFuelSurcharge),2),ROUND(((1-(OverNightDiscount_21_Up+FedExExrpessEarnedDiscount))*'1Day AM Base'!H107)*(1+ExpressFuelSurcharge),2)))*(1+FedEx_Markup),2)</f>
        <v>586.85</v>
      </c>
    </row>
    <row r="111" spans="1:8" ht="12.75" customHeight="1">
      <c r="A111" s="217">
        <v>106</v>
      </c>
      <c r="B111" s="218">
        <f>ROUND((IF(MinBase1AMDay&gt;ROUND(((1-(OverNightDiscount_21_Up+FedExExrpessEarnedDiscount))*'1Day AM Base'!B108),2),ROUND(MinBase1AMDay*(1+ExpressFuelSurcharge),2),ROUND(((1-(OverNightDiscount_21_Up+FedExExrpessEarnedDiscount))*'1Day AM Base'!B108)*(1+ExpressFuelSurcharge),2)))*(1+FedEx_Markup),2)</f>
        <v>147.27000000000001</v>
      </c>
      <c r="C111" s="218">
        <f>ROUND((IF(MinBase1AMDay&gt;ROUND(((1-(OverNightDiscount_21_Up+FedExExrpessEarnedDiscount))*'1Day AM Base'!C108),2),ROUND(MinBase1AMDay*(1+ExpressFuelSurcharge),2),ROUND(((1-(OverNightDiscount_21_Up+FedExExrpessEarnedDiscount))*'1Day AM Base'!C108)*(1+ExpressFuelSurcharge),2)))*(1+FedEx_Markup),2)</f>
        <v>205.61</v>
      </c>
      <c r="D111" s="218">
        <f>ROUND((IF(MinBase1AMDay&gt;ROUND(((1-(OverNightDiscount_21_Up+FedExExrpessEarnedDiscount))*'1Day AM Base'!D108),2),ROUND(MinBase1AMDay*(1+ExpressFuelSurcharge),2),ROUND(((1-(OverNightDiscount_21_Up+FedExExrpessEarnedDiscount))*'1Day AM Base'!D108)*(1+ExpressFuelSurcharge),2)))*(1+FedEx_Markup),2)</f>
        <v>373.91</v>
      </c>
      <c r="E111" s="218">
        <f>ROUND((IF(MinBase1AMDay&gt;ROUND(((1-(OverNightDiscount_21_Up+FedExExrpessEarnedDiscount))*'1Day AM Base'!E108),2),ROUND(MinBase1AMDay*(1+ExpressFuelSurcharge),2),ROUND(((1-(OverNightDiscount_21_Up+FedExExrpessEarnedDiscount))*'1Day AM Base'!E108)*(1+ExpressFuelSurcharge),2)))*(1+FedEx_Markup),2)</f>
        <v>445.17</v>
      </c>
      <c r="F111" s="218">
        <f>ROUND((IF(MinBase1AMDay&gt;ROUND(((1-(OverNightDiscount_21_Up+FedExExrpessEarnedDiscount))*'1Day AM Base'!F108),2),ROUND(MinBase1AMDay*(1+ExpressFuelSurcharge),2),ROUND(((1-(OverNightDiscount_21_Up+FedExExrpessEarnedDiscount))*'1Day AM Base'!F108)*(1+ExpressFuelSurcharge),2)))*(1+FedEx_Markup),2)</f>
        <v>454.72</v>
      </c>
      <c r="G111" s="218">
        <f>ROUND((IF(MinBase1AMDay&gt;ROUND(((1-(OverNightDiscount_21_Up+FedExExrpessEarnedDiscount))*'1Day AM Base'!G108),2),ROUND(MinBase1AMDay*(1+ExpressFuelSurcharge),2),ROUND(((1-(OverNightDiscount_21_Up+FedExExrpessEarnedDiscount))*'1Day AM Base'!G108)*(1+ExpressFuelSurcharge),2)))*(1+FedEx_Markup),2)</f>
        <v>556.09</v>
      </c>
      <c r="H111" s="218">
        <f>ROUND((IF(MinBase1AMDay&gt;ROUND(((1-(OverNightDiscount_21_Up+FedExExrpessEarnedDiscount))*'1Day AM Base'!H108),2),ROUND(MinBase1AMDay*(1+ExpressFuelSurcharge),2),ROUND(((1-(OverNightDiscount_21_Up+FedExExrpessEarnedDiscount))*'1Day AM Base'!H108)*(1+ExpressFuelSurcharge),2)))*(1+FedEx_Markup),2)</f>
        <v>592.42999999999995</v>
      </c>
    </row>
    <row r="112" spans="1:8" ht="12.75" customHeight="1">
      <c r="A112" s="217">
        <v>107</v>
      </c>
      <c r="B112" s="218">
        <f>ROUND((IF(MinBase1AMDay&gt;ROUND(((1-(OverNightDiscount_21_Up+FedExExrpessEarnedDiscount))*'1Day AM Base'!B109),2),ROUND(MinBase1AMDay*(1+ExpressFuelSurcharge),2),ROUND(((1-(OverNightDiscount_21_Up+FedExExrpessEarnedDiscount))*'1Day AM Base'!B109)*(1+ExpressFuelSurcharge),2)))*(1+FedEx_Markup),2)</f>
        <v>148.66</v>
      </c>
      <c r="C112" s="218">
        <f>ROUND((IF(MinBase1AMDay&gt;ROUND(((1-(OverNightDiscount_21_Up+FedExExrpessEarnedDiscount))*'1Day AM Base'!C109),2),ROUND(MinBase1AMDay*(1+ExpressFuelSurcharge),2),ROUND(((1-(OverNightDiscount_21_Up+FedExExrpessEarnedDiscount))*'1Day AM Base'!C109)*(1+ExpressFuelSurcharge),2)))*(1+FedEx_Markup),2)</f>
        <v>207.54</v>
      </c>
      <c r="D112" s="218">
        <f>ROUND((IF(MinBase1AMDay&gt;ROUND(((1-(OverNightDiscount_21_Up+FedExExrpessEarnedDiscount))*'1Day AM Base'!D109),2),ROUND(MinBase1AMDay*(1+ExpressFuelSurcharge),2),ROUND(((1-(OverNightDiscount_21_Up+FedExExrpessEarnedDiscount))*'1Day AM Base'!D109)*(1+ExpressFuelSurcharge),2)))*(1+FedEx_Markup),2)</f>
        <v>377.44</v>
      </c>
      <c r="E112" s="218">
        <f>ROUND((IF(MinBase1AMDay&gt;ROUND(((1-(OverNightDiscount_21_Up+FedExExrpessEarnedDiscount))*'1Day AM Base'!E109),2),ROUND(MinBase1AMDay*(1+ExpressFuelSurcharge),2),ROUND(((1-(OverNightDiscount_21_Up+FedExExrpessEarnedDiscount))*'1Day AM Base'!E109)*(1+ExpressFuelSurcharge),2)))*(1+FedEx_Markup),2)</f>
        <v>449.36</v>
      </c>
      <c r="F112" s="218">
        <f>ROUND((IF(MinBase1AMDay&gt;ROUND(((1-(OverNightDiscount_21_Up+FedExExrpessEarnedDiscount))*'1Day AM Base'!F109),2),ROUND(MinBase1AMDay*(1+ExpressFuelSurcharge),2),ROUND(((1-(OverNightDiscount_21_Up+FedExExrpessEarnedDiscount))*'1Day AM Base'!F109)*(1+ExpressFuelSurcharge),2)))*(1+FedEx_Markup),2)</f>
        <v>459.01</v>
      </c>
      <c r="G112" s="218">
        <f>ROUND((IF(MinBase1AMDay&gt;ROUND(((1-(OverNightDiscount_21_Up+FedExExrpessEarnedDiscount))*'1Day AM Base'!G109),2),ROUND(MinBase1AMDay*(1+ExpressFuelSurcharge),2),ROUND(((1-(OverNightDiscount_21_Up+FedExExrpessEarnedDiscount))*'1Day AM Base'!G109)*(1+ExpressFuelSurcharge),2)))*(1+FedEx_Markup),2)</f>
        <v>561.34</v>
      </c>
      <c r="H112" s="218">
        <f>ROUND((IF(MinBase1AMDay&gt;ROUND(((1-(OverNightDiscount_21_Up+FedExExrpessEarnedDiscount))*'1Day AM Base'!H109),2),ROUND(MinBase1AMDay*(1+ExpressFuelSurcharge),2),ROUND(((1-(OverNightDiscount_21_Up+FedExExrpessEarnedDiscount))*'1Day AM Base'!H109)*(1+ExpressFuelSurcharge),2)))*(1+FedEx_Markup),2)</f>
        <v>598.02</v>
      </c>
    </row>
    <row r="113" spans="1:26" ht="12.75" customHeight="1">
      <c r="A113" s="217">
        <v>108</v>
      </c>
      <c r="B113" s="218">
        <f>ROUND((IF(MinBase1AMDay&gt;ROUND(((1-(OverNightDiscount_21_Up+FedExExrpessEarnedDiscount))*'1Day AM Base'!B110),2),ROUND(MinBase1AMDay*(1+ExpressFuelSurcharge),2),ROUND(((1-(OverNightDiscount_21_Up+FedExExrpessEarnedDiscount))*'1Day AM Base'!B110)*(1+ExpressFuelSurcharge),2)))*(1+FedEx_Markup),2)</f>
        <v>150.05000000000001</v>
      </c>
      <c r="C113" s="218">
        <f>ROUND((IF(MinBase1AMDay&gt;ROUND(((1-(OverNightDiscount_21_Up+FedExExrpessEarnedDiscount))*'1Day AM Base'!C110),2),ROUND(MinBase1AMDay*(1+ExpressFuelSurcharge),2),ROUND(((1-(OverNightDiscount_21_Up+FedExExrpessEarnedDiscount))*'1Day AM Base'!C110)*(1+ExpressFuelSurcharge),2)))*(1+FedEx_Markup),2)</f>
        <v>209.48</v>
      </c>
      <c r="D113" s="218">
        <f>ROUND((IF(MinBase1AMDay&gt;ROUND(((1-(OverNightDiscount_21_Up+FedExExrpessEarnedDiscount))*'1Day AM Base'!D110),2),ROUND(MinBase1AMDay*(1+ExpressFuelSurcharge),2),ROUND(((1-(OverNightDiscount_21_Up+FedExExrpessEarnedDiscount))*'1Day AM Base'!D110)*(1+ExpressFuelSurcharge),2)))*(1+FedEx_Markup),2)</f>
        <v>380.97</v>
      </c>
      <c r="E113" s="218">
        <f>ROUND((IF(MinBase1AMDay&gt;ROUND(((1-(OverNightDiscount_21_Up+FedExExrpessEarnedDiscount))*'1Day AM Base'!E110),2),ROUND(MinBase1AMDay*(1+ExpressFuelSurcharge),2),ROUND(((1-(OverNightDiscount_21_Up+FedExExrpessEarnedDiscount))*'1Day AM Base'!E110)*(1+ExpressFuelSurcharge),2)))*(1+FedEx_Markup),2)</f>
        <v>453.56</v>
      </c>
      <c r="F113" s="218">
        <f>ROUND((IF(MinBase1AMDay&gt;ROUND(((1-(OverNightDiscount_21_Up+FedExExrpessEarnedDiscount))*'1Day AM Base'!F110),2),ROUND(MinBase1AMDay*(1+ExpressFuelSurcharge),2),ROUND(((1-(OverNightDiscount_21_Up+FedExExrpessEarnedDiscount))*'1Day AM Base'!F110)*(1+ExpressFuelSurcharge),2)))*(1+FedEx_Markup),2)</f>
        <v>463.3</v>
      </c>
      <c r="G113" s="218">
        <f>ROUND((IF(MinBase1AMDay&gt;ROUND(((1-(OverNightDiscount_21_Up+FedExExrpessEarnedDiscount))*'1Day AM Base'!G110),2),ROUND(MinBase1AMDay*(1+ExpressFuelSurcharge),2),ROUND(((1-(OverNightDiscount_21_Up+FedExExrpessEarnedDiscount))*'1Day AM Base'!G110)*(1+ExpressFuelSurcharge),2)))*(1+FedEx_Markup),2)</f>
        <v>566.58000000000004</v>
      </c>
      <c r="H113" s="218">
        <f>ROUND((IF(MinBase1AMDay&gt;ROUND(((1-(OverNightDiscount_21_Up+FedExExrpessEarnedDiscount))*'1Day AM Base'!H110),2),ROUND(MinBase1AMDay*(1+ExpressFuelSurcharge),2),ROUND(((1-(OverNightDiscount_21_Up+FedExExrpessEarnedDiscount))*'1Day AM Base'!H110)*(1+ExpressFuelSurcharge),2)))*(1+FedEx_Markup),2)</f>
        <v>603.61</v>
      </c>
    </row>
    <row r="114" spans="1:26" ht="12.75" customHeight="1">
      <c r="A114" s="217">
        <v>109</v>
      </c>
      <c r="B114" s="218">
        <f>ROUND((IF(MinBase1AMDay&gt;ROUND(((1-(OverNightDiscount_21_Up+FedExExrpessEarnedDiscount))*'1Day AM Base'!B111),2),ROUND(MinBase1AMDay*(1+ExpressFuelSurcharge),2),ROUND(((1-(OverNightDiscount_21_Up+FedExExrpessEarnedDiscount))*'1Day AM Base'!B111)*(1+ExpressFuelSurcharge),2)))*(1+FedEx_Markup),2)</f>
        <v>151.44</v>
      </c>
      <c r="C114" s="218">
        <f>ROUND((IF(MinBase1AMDay&gt;ROUND(((1-(OverNightDiscount_21_Up+FedExExrpessEarnedDiscount))*'1Day AM Base'!C111),2),ROUND(MinBase1AMDay*(1+ExpressFuelSurcharge),2),ROUND(((1-(OverNightDiscount_21_Up+FedExExrpessEarnedDiscount))*'1Day AM Base'!C111)*(1+ExpressFuelSurcharge),2)))*(1+FedEx_Markup),2)</f>
        <v>211.43</v>
      </c>
      <c r="D114" s="218">
        <f>ROUND((IF(MinBase1AMDay&gt;ROUND(((1-(OverNightDiscount_21_Up+FedExExrpessEarnedDiscount))*'1Day AM Base'!D111),2),ROUND(MinBase1AMDay*(1+ExpressFuelSurcharge),2),ROUND(((1-(OverNightDiscount_21_Up+FedExExrpessEarnedDiscount))*'1Day AM Base'!D111)*(1+ExpressFuelSurcharge),2)))*(1+FedEx_Markup),2)</f>
        <v>384.5</v>
      </c>
      <c r="E114" s="218">
        <f>ROUND((IF(MinBase1AMDay&gt;ROUND(((1-(OverNightDiscount_21_Up+FedExExrpessEarnedDiscount))*'1Day AM Base'!E111),2),ROUND(MinBase1AMDay*(1+ExpressFuelSurcharge),2),ROUND(((1-(OverNightDiscount_21_Up+FedExExrpessEarnedDiscount))*'1Day AM Base'!E111)*(1+ExpressFuelSurcharge),2)))*(1+FedEx_Markup),2)</f>
        <v>457.76</v>
      </c>
      <c r="F114" s="218">
        <f>ROUND((IF(MinBase1AMDay&gt;ROUND(((1-(OverNightDiscount_21_Up+FedExExrpessEarnedDiscount))*'1Day AM Base'!F111),2),ROUND(MinBase1AMDay*(1+ExpressFuelSurcharge),2),ROUND(((1-(OverNightDiscount_21_Up+FedExExrpessEarnedDiscount))*'1Day AM Base'!F111)*(1+ExpressFuelSurcharge),2)))*(1+FedEx_Markup),2)</f>
        <v>467.59</v>
      </c>
      <c r="G114" s="218">
        <f>ROUND((IF(MinBase1AMDay&gt;ROUND(((1-(OverNightDiscount_21_Up+FedExExrpessEarnedDiscount))*'1Day AM Base'!G111),2),ROUND(MinBase1AMDay*(1+ExpressFuelSurcharge),2),ROUND(((1-(OverNightDiscount_21_Up+FedExExrpessEarnedDiscount))*'1Day AM Base'!G111)*(1+ExpressFuelSurcharge),2)))*(1+FedEx_Markup),2)</f>
        <v>571.83000000000004</v>
      </c>
      <c r="H114" s="218">
        <f>ROUND((IF(MinBase1AMDay&gt;ROUND(((1-(OverNightDiscount_21_Up+FedExExrpessEarnedDiscount))*'1Day AM Base'!H111),2),ROUND(MinBase1AMDay*(1+ExpressFuelSurcharge),2),ROUND(((1-(OverNightDiscount_21_Up+FedExExrpessEarnedDiscount))*'1Day AM Base'!H111)*(1+ExpressFuelSurcharge),2)))*(1+FedEx_Markup),2)</f>
        <v>609.20000000000005</v>
      </c>
    </row>
    <row r="115" spans="1:26" ht="12.75" customHeight="1">
      <c r="A115" s="217">
        <v>110</v>
      </c>
      <c r="B115" s="218">
        <f>ROUND((IF(MinBase1AMDay&gt;ROUND(((1-(OverNightDiscount_21_Up+FedExExrpessEarnedDiscount))*'1Day AM Base'!B112),2),ROUND(MinBase1AMDay*(1+ExpressFuelSurcharge),2),ROUND(((1-(OverNightDiscount_21_Up+FedExExrpessEarnedDiscount))*'1Day AM Base'!B112)*(1+ExpressFuelSurcharge),2)))*(1+FedEx_Markup),2)</f>
        <v>152.82</v>
      </c>
      <c r="C115" s="218">
        <f>ROUND((IF(MinBase1AMDay&gt;ROUND(((1-(OverNightDiscount_21_Up+FedExExrpessEarnedDiscount))*'1Day AM Base'!C112),2),ROUND(MinBase1AMDay*(1+ExpressFuelSurcharge),2),ROUND(((1-(OverNightDiscount_21_Up+FedExExrpessEarnedDiscount))*'1Day AM Base'!C112)*(1+ExpressFuelSurcharge),2)))*(1+FedEx_Markup),2)</f>
        <v>213.36</v>
      </c>
      <c r="D115" s="218">
        <f>ROUND((IF(MinBase1AMDay&gt;ROUND(((1-(OverNightDiscount_21_Up+FedExExrpessEarnedDiscount))*'1Day AM Base'!D112),2),ROUND(MinBase1AMDay*(1+ExpressFuelSurcharge),2),ROUND(((1-(OverNightDiscount_21_Up+FedExExrpessEarnedDiscount))*'1Day AM Base'!D112)*(1+ExpressFuelSurcharge),2)))*(1+FedEx_Markup),2)</f>
        <v>388.02</v>
      </c>
      <c r="E115" s="218">
        <f>ROUND((IF(MinBase1AMDay&gt;ROUND(((1-(OverNightDiscount_21_Up+FedExExrpessEarnedDiscount))*'1Day AM Base'!E112),2),ROUND(MinBase1AMDay*(1+ExpressFuelSurcharge),2),ROUND(((1-(OverNightDiscount_21_Up+FedExExrpessEarnedDiscount))*'1Day AM Base'!E112)*(1+ExpressFuelSurcharge),2)))*(1+FedEx_Markup),2)</f>
        <v>461.96</v>
      </c>
      <c r="F115" s="218">
        <f>ROUND((IF(MinBase1AMDay&gt;ROUND(((1-(OverNightDiscount_21_Up+FedExExrpessEarnedDiscount))*'1Day AM Base'!F112),2),ROUND(MinBase1AMDay*(1+ExpressFuelSurcharge),2),ROUND(((1-(OverNightDiscount_21_Up+FedExExrpessEarnedDiscount))*'1Day AM Base'!F112)*(1+ExpressFuelSurcharge),2)))*(1+FedEx_Markup),2)</f>
        <v>471.88</v>
      </c>
      <c r="G115" s="218">
        <f>ROUND((IF(MinBase1AMDay&gt;ROUND(((1-(OverNightDiscount_21_Up+FedExExrpessEarnedDiscount))*'1Day AM Base'!G112),2),ROUND(MinBase1AMDay*(1+ExpressFuelSurcharge),2),ROUND(((1-(OverNightDiscount_21_Up+FedExExrpessEarnedDiscount))*'1Day AM Base'!G112)*(1+ExpressFuelSurcharge),2)))*(1+FedEx_Markup),2)</f>
        <v>577.08000000000004</v>
      </c>
      <c r="H115" s="218">
        <f>ROUND((IF(MinBase1AMDay&gt;ROUND(((1-(OverNightDiscount_21_Up+FedExExrpessEarnedDiscount))*'1Day AM Base'!H112),2),ROUND(MinBase1AMDay*(1+ExpressFuelSurcharge),2),ROUND(((1-(OverNightDiscount_21_Up+FedExExrpessEarnedDiscount))*'1Day AM Base'!H112)*(1+ExpressFuelSurcharge),2)))*(1+FedEx_Markup),2)</f>
        <v>614.79</v>
      </c>
    </row>
    <row r="116" spans="1:26" ht="12.75" customHeight="1">
      <c r="A116" s="217">
        <v>111</v>
      </c>
      <c r="B116" s="218">
        <f>ROUND((IF(MinBase1AMDay&gt;ROUND(((1-(OverNightDiscount_21_Up+FedExExrpessEarnedDiscount))*'1Day AM Base'!B113),2),ROUND(MinBase1AMDay*(1+ExpressFuelSurcharge),2),ROUND(((1-(OverNightDiscount_21_Up+FedExExrpessEarnedDiscount))*'1Day AM Base'!B113)*(1+ExpressFuelSurcharge),2)))*(1+FedEx_Markup),2)</f>
        <v>154.22</v>
      </c>
      <c r="C116" s="218">
        <f>ROUND((IF(MinBase1AMDay&gt;ROUND(((1-(OverNightDiscount_21_Up+FedExExrpessEarnedDiscount))*'1Day AM Base'!C113),2),ROUND(MinBase1AMDay*(1+ExpressFuelSurcharge),2),ROUND(((1-(OverNightDiscount_21_Up+FedExExrpessEarnedDiscount))*'1Day AM Base'!C113)*(1+ExpressFuelSurcharge),2)))*(1+FedEx_Markup),2)</f>
        <v>215.3</v>
      </c>
      <c r="D116" s="218">
        <f>ROUND((IF(MinBase1AMDay&gt;ROUND(((1-(OverNightDiscount_21_Up+FedExExrpessEarnedDiscount))*'1Day AM Base'!D113),2),ROUND(MinBase1AMDay*(1+ExpressFuelSurcharge),2),ROUND(((1-(OverNightDiscount_21_Up+FedExExrpessEarnedDiscount))*'1Day AM Base'!D113)*(1+ExpressFuelSurcharge),2)))*(1+FedEx_Markup),2)</f>
        <v>391.55</v>
      </c>
      <c r="E116" s="218">
        <f>ROUND((IF(MinBase1AMDay&gt;ROUND(((1-(OverNightDiscount_21_Up+FedExExrpessEarnedDiscount))*'1Day AM Base'!E113),2),ROUND(MinBase1AMDay*(1+ExpressFuelSurcharge),2),ROUND(((1-(OverNightDiscount_21_Up+FedExExrpessEarnedDiscount))*'1Day AM Base'!E113)*(1+ExpressFuelSurcharge),2)))*(1+FedEx_Markup),2)</f>
        <v>466.16</v>
      </c>
      <c r="F116" s="218">
        <f>ROUND((IF(MinBase1AMDay&gt;ROUND(((1-(OverNightDiscount_21_Up+FedExExrpessEarnedDiscount))*'1Day AM Base'!F113),2),ROUND(MinBase1AMDay*(1+ExpressFuelSurcharge),2),ROUND(((1-(OverNightDiscount_21_Up+FedExExrpessEarnedDiscount))*'1Day AM Base'!F113)*(1+ExpressFuelSurcharge),2)))*(1+FedEx_Markup),2)</f>
        <v>476.17</v>
      </c>
      <c r="G116" s="218">
        <f>ROUND((IF(MinBase1AMDay&gt;ROUND(((1-(OverNightDiscount_21_Up+FedExExrpessEarnedDiscount))*'1Day AM Base'!G113),2),ROUND(MinBase1AMDay*(1+ExpressFuelSurcharge),2),ROUND(((1-(OverNightDiscount_21_Up+FedExExrpessEarnedDiscount))*'1Day AM Base'!G113)*(1+ExpressFuelSurcharge),2)))*(1+FedEx_Markup),2)</f>
        <v>582.33000000000004</v>
      </c>
      <c r="H116" s="218">
        <f>ROUND((IF(MinBase1AMDay&gt;ROUND(((1-(OverNightDiscount_21_Up+FedExExrpessEarnedDiscount))*'1Day AM Base'!H113),2),ROUND(MinBase1AMDay*(1+ExpressFuelSurcharge),2),ROUND(((1-(OverNightDiscount_21_Up+FedExExrpessEarnedDiscount))*'1Day AM Base'!H113)*(1+ExpressFuelSurcharge),2)))*(1+FedEx_Markup),2)</f>
        <v>620.38</v>
      </c>
    </row>
    <row r="117" spans="1:26" ht="12.75" customHeight="1">
      <c r="A117" s="217">
        <v>112</v>
      </c>
      <c r="B117" s="218">
        <f>ROUND((IF(MinBase1AMDay&gt;ROUND(((1-(OverNightDiscount_21_Up+FedExExrpessEarnedDiscount))*'1Day AM Base'!B114),2),ROUND(MinBase1AMDay*(1+ExpressFuelSurcharge),2),ROUND(((1-(OverNightDiscount_21_Up+FedExExrpessEarnedDiscount))*'1Day AM Base'!B114)*(1+ExpressFuelSurcharge),2)))*(1+FedEx_Markup),2)</f>
        <v>155.61000000000001</v>
      </c>
      <c r="C117" s="218">
        <f>ROUND((IF(MinBase1AMDay&gt;ROUND(((1-(OverNightDiscount_21_Up+FedExExrpessEarnedDiscount))*'1Day AM Base'!C114),2),ROUND(MinBase1AMDay*(1+ExpressFuelSurcharge),2),ROUND(((1-(OverNightDiscount_21_Up+FedExExrpessEarnedDiscount))*'1Day AM Base'!C114)*(1+ExpressFuelSurcharge),2)))*(1+FedEx_Markup),2)</f>
        <v>217.25</v>
      </c>
      <c r="D117" s="218">
        <f>ROUND((IF(MinBase1AMDay&gt;ROUND(((1-(OverNightDiscount_21_Up+FedExExrpessEarnedDiscount))*'1Day AM Base'!D114),2),ROUND(MinBase1AMDay*(1+ExpressFuelSurcharge),2),ROUND(((1-(OverNightDiscount_21_Up+FedExExrpessEarnedDiscount))*'1Day AM Base'!D114)*(1+ExpressFuelSurcharge),2)))*(1+FedEx_Markup),2)</f>
        <v>395.08</v>
      </c>
      <c r="E117" s="218">
        <f>ROUND((IF(MinBase1AMDay&gt;ROUND(((1-(OverNightDiscount_21_Up+FedExExrpessEarnedDiscount))*'1Day AM Base'!E114),2),ROUND(MinBase1AMDay*(1+ExpressFuelSurcharge),2),ROUND(((1-(OverNightDiscount_21_Up+FedExExrpessEarnedDiscount))*'1Day AM Base'!E114)*(1+ExpressFuelSurcharge),2)))*(1+FedEx_Markup),2)</f>
        <v>470.36</v>
      </c>
      <c r="F117" s="218">
        <f>ROUND((IF(MinBase1AMDay&gt;ROUND(((1-(OverNightDiscount_21_Up+FedExExrpessEarnedDiscount))*'1Day AM Base'!F114),2),ROUND(MinBase1AMDay*(1+ExpressFuelSurcharge),2),ROUND(((1-(OverNightDiscount_21_Up+FedExExrpessEarnedDiscount))*'1Day AM Base'!F114)*(1+ExpressFuelSurcharge),2)))*(1+FedEx_Markup),2)</f>
        <v>480.46</v>
      </c>
      <c r="G117" s="218">
        <f>ROUND((IF(MinBase1AMDay&gt;ROUND(((1-(OverNightDiscount_21_Up+FedExExrpessEarnedDiscount))*'1Day AM Base'!G114),2),ROUND(MinBase1AMDay*(1+ExpressFuelSurcharge),2),ROUND(((1-(OverNightDiscount_21_Up+FedExExrpessEarnedDiscount))*'1Day AM Base'!G114)*(1+ExpressFuelSurcharge),2)))*(1+FedEx_Markup),2)</f>
        <v>587.57000000000005</v>
      </c>
      <c r="H117" s="218">
        <f>ROUND((IF(MinBase1AMDay&gt;ROUND(((1-(OverNightDiscount_21_Up+FedExExrpessEarnedDiscount))*'1Day AM Base'!H114),2),ROUND(MinBase1AMDay*(1+ExpressFuelSurcharge),2),ROUND(((1-(OverNightDiscount_21_Up+FedExExrpessEarnedDiscount))*'1Day AM Base'!H114)*(1+ExpressFuelSurcharge),2)))*(1+FedEx_Markup),2)</f>
        <v>625.97</v>
      </c>
    </row>
    <row r="118" spans="1:26" ht="12.75" customHeight="1">
      <c r="A118" s="217">
        <v>113</v>
      </c>
      <c r="B118" s="218">
        <f>ROUND((IF(MinBase1AMDay&gt;ROUND(((1-(OverNightDiscount_21_Up+FedExExrpessEarnedDiscount))*'1Day AM Base'!B115),2),ROUND(MinBase1AMDay*(1+ExpressFuelSurcharge),2),ROUND(((1-(OverNightDiscount_21_Up+FedExExrpessEarnedDiscount))*'1Day AM Base'!B115)*(1+ExpressFuelSurcharge),2)))*(1+FedEx_Markup),2)</f>
        <v>157</v>
      </c>
      <c r="C118" s="218">
        <f>ROUND((IF(MinBase1AMDay&gt;ROUND(((1-(OverNightDiscount_21_Up+FedExExrpessEarnedDiscount))*'1Day AM Base'!C115),2),ROUND(MinBase1AMDay*(1+ExpressFuelSurcharge),2),ROUND(((1-(OverNightDiscount_21_Up+FedExExrpessEarnedDiscount))*'1Day AM Base'!C115)*(1+ExpressFuelSurcharge),2)))*(1+FedEx_Markup),2)</f>
        <v>219.18</v>
      </c>
      <c r="D118" s="218">
        <f>ROUND((IF(MinBase1AMDay&gt;ROUND(((1-(OverNightDiscount_21_Up+FedExExrpessEarnedDiscount))*'1Day AM Base'!D115),2),ROUND(MinBase1AMDay*(1+ExpressFuelSurcharge),2),ROUND(((1-(OverNightDiscount_21_Up+FedExExrpessEarnedDiscount))*'1Day AM Base'!D115)*(1+ExpressFuelSurcharge),2)))*(1+FedEx_Markup),2)</f>
        <v>398.61</v>
      </c>
      <c r="E118" s="218">
        <f>ROUND((IF(MinBase1AMDay&gt;ROUND(((1-(OverNightDiscount_21_Up+FedExExrpessEarnedDiscount))*'1Day AM Base'!E115),2),ROUND(MinBase1AMDay*(1+ExpressFuelSurcharge),2),ROUND(((1-(OverNightDiscount_21_Up+FedExExrpessEarnedDiscount))*'1Day AM Base'!E115)*(1+ExpressFuelSurcharge),2)))*(1+FedEx_Markup),2)</f>
        <v>474.56</v>
      </c>
      <c r="F118" s="218">
        <f>ROUND((IF(MinBase1AMDay&gt;ROUND(((1-(OverNightDiscount_21_Up+FedExExrpessEarnedDiscount))*'1Day AM Base'!F115),2),ROUND(MinBase1AMDay*(1+ExpressFuelSurcharge),2),ROUND(((1-(OverNightDiscount_21_Up+FedExExrpessEarnedDiscount))*'1Day AM Base'!F115)*(1+ExpressFuelSurcharge),2)))*(1+FedEx_Markup),2)</f>
        <v>484.75</v>
      </c>
      <c r="G118" s="218">
        <f>ROUND((IF(MinBase1AMDay&gt;ROUND(((1-(OverNightDiscount_21_Up+FedExExrpessEarnedDiscount))*'1Day AM Base'!G115),2),ROUND(MinBase1AMDay*(1+ExpressFuelSurcharge),2),ROUND(((1-(OverNightDiscount_21_Up+FedExExrpessEarnedDiscount))*'1Day AM Base'!G115)*(1+ExpressFuelSurcharge),2)))*(1+FedEx_Markup),2)</f>
        <v>592.80999999999995</v>
      </c>
      <c r="H118" s="218">
        <f>ROUND((IF(MinBase1AMDay&gt;ROUND(((1-(OverNightDiscount_21_Up+FedExExrpessEarnedDiscount))*'1Day AM Base'!H115),2),ROUND(MinBase1AMDay*(1+ExpressFuelSurcharge),2),ROUND(((1-(OverNightDiscount_21_Up+FedExExrpessEarnedDiscount))*'1Day AM Base'!H115)*(1+ExpressFuelSurcharge),2)))*(1+FedEx_Markup),2)</f>
        <v>631.55999999999995</v>
      </c>
    </row>
    <row r="119" spans="1:26" ht="12.75" customHeight="1">
      <c r="A119" s="217">
        <v>114</v>
      </c>
      <c r="B119" s="218">
        <f>ROUND((IF(MinBase1AMDay&gt;ROUND(((1-(OverNightDiscount_21_Up+FedExExrpessEarnedDiscount))*'1Day AM Base'!B116),2),ROUND(MinBase1AMDay*(1+ExpressFuelSurcharge),2),ROUND(((1-(OverNightDiscount_21_Up+FedExExrpessEarnedDiscount))*'1Day AM Base'!B116)*(1+ExpressFuelSurcharge),2)))*(1+FedEx_Markup),2)</f>
        <v>158.38999999999999</v>
      </c>
      <c r="C119" s="218">
        <f>ROUND((IF(MinBase1AMDay&gt;ROUND(((1-(OverNightDiscount_21_Up+FedExExrpessEarnedDiscount))*'1Day AM Base'!C116),2),ROUND(MinBase1AMDay*(1+ExpressFuelSurcharge),2),ROUND(((1-(OverNightDiscount_21_Up+FedExExrpessEarnedDiscount))*'1Day AM Base'!C116)*(1+ExpressFuelSurcharge),2)))*(1+FedEx_Markup),2)</f>
        <v>221.12</v>
      </c>
      <c r="D119" s="218">
        <f>ROUND((IF(MinBase1AMDay&gt;ROUND(((1-(OverNightDiscount_21_Up+FedExExrpessEarnedDiscount))*'1Day AM Base'!D116),2),ROUND(MinBase1AMDay*(1+ExpressFuelSurcharge),2),ROUND(((1-(OverNightDiscount_21_Up+FedExExrpessEarnedDiscount))*'1Day AM Base'!D116)*(1+ExpressFuelSurcharge),2)))*(1+FedEx_Markup),2)</f>
        <v>402.13</v>
      </c>
      <c r="E119" s="218">
        <f>ROUND((IF(MinBase1AMDay&gt;ROUND(((1-(OverNightDiscount_21_Up+FedExExrpessEarnedDiscount))*'1Day AM Base'!E116),2),ROUND(MinBase1AMDay*(1+ExpressFuelSurcharge),2),ROUND(((1-(OverNightDiscount_21_Up+FedExExrpessEarnedDiscount))*'1Day AM Base'!E116)*(1+ExpressFuelSurcharge),2)))*(1+FedEx_Markup),2)</f>
        <v>478.76</v>
      </c>
      <c r="F119" s="218">
        <f>ROUND((IF(MinBase1AMDay&gt;ROUND(((1-(OverNightDiscount_21_Up+FedExExrpessEarnedDiscount))*'1Day AM Base'!F116),2),ROUND(MinBase1AMDay*(1+ExpressFuelSurcharge),2),ROUND(((1-(OverNightDiscount_21_Up+FedExExrpessEarnedDiscount))*'1Day AM Base'!F116)*(1+ExpressFuelSurcharge),2)))*(1+FedEx_Markup),2)</f>
        <v>489.04</v>
      </c>
      <c r="G119" s="218">
        <f>ROUND((IF(MinBase1AMDay&gt;ROUND(((1-(OverNightDiscount_21_Up+FedExExrpessEarnedDiscount))*'1Day AM Base'!G116),2),ROUND(MinBase1AMDay*(1+ExpressFuelSurcharge),2),ROUND(((1-(OverNightDiscount_21_Up+FedExExrpessEarnedDiscount))*'1Day AM Base'!G116)*(1+ExpressFuelSurcharge),2)))*(1+FedEx_Markup),2)</f>
        <v>598.05999999999995</v>
      </c>
      <c r="H119" s="218">
        <f>ROUND((IF(MinBase1AMDay&gt;ROUND(((1-(OverNightDiscount_21_Up+FedExExrpessEarnedDiscount))*'1Day AM Base'!H116),2),ROUND(MinBase1AMDay*(1+ExpressFuelSurcharge),2),ROUND(((1-(OverNightDiscount_21_Up+FedExExrpessEarnedDiscount))*'1Day AM Base'!H116)*(1+ExpressFuelSurcharge),2)))*(1+FedEx_Markup),2)</f>
        <v>637.15</v>
      </c>
    </row>
    <row r="120" spans="1:26" ht="12.75" customHeight="1">
      <c r="A120" s="217">
        <v>115</v>
      </c>
      <c r="B120" s="218">
        <f>ROUND((IF(MinBase1AMDay&gt;ROUND(((1-(OverNightDiscount_21_Up+FedExExrpessEarnedDiscount))*'1Day AM Base'!B117),2),ROUND(MinBase1AMDay*(1+ExpressFuelSurcharge),2),ROUND(((1-(OverNightDiscount_21_Up+FedExExrpessEarnedDiscount))*'1Day AM Base'!B117)*(1+ExpressFuelSurcharge),2)))*(1+FedEx_Markup),2)</f>
        <v>159.77000000000001</v>
      </c>
      <c r="C120" s="218">
        <f>ROUND((IF(MinBase1AMDay&gt;ROUND(((1-(OverNightDiscount_21_Up+FedExExrpessEarnedDiscount))*'1Day AM Base'!C117),2),ROUND(MinBase1AMDay*(1+ExpressFuelSurcharge),2),ROUND(((1-(OverNightDiscount_21_Up+FedExExrpessEarnedDiscount))*'1Day AM Base'!C117)*(1+ExpressFuelSurcharge),2)))*(1+FedEx_Markup),2)</f>
        <v>223.07</v>
      </c>
      <c r="D120" s="218">
        <f>ROUND((IF(MinBase1AMDay&gt;ROUND(((1-(OverNightDiscount_21_Up+FedExExrpessEarnedDiscount))*'1Day AM Base'!D117),2),ROUND(MinBase1AMDay*(1+ExpressFuelSurcharge),2),ROUND(((1-(OverNightDiscount_21_Up+FedExExrpessEarnedDiscount))*'1Day AM Base'!D117)*(1+ExpressFuelSurcharge),2)))*(1+FedEx_Markup),2)</f>
        <v>405.66</v>
      </c>
      <c r="E120" s="218">
        <f>ROUND((IF(MinBase1AMDay&gt;ROUND(((1-(OverNightDiscount_21_Up+FedExExrpessEarnedDiscount))*'1Day AM Base'!E117),2),ROUND(MinBase1AMDay*(1+ExpressFuelSurcharge),2),ROUND(((1-(OverNightDiscount_21_Up+FedExExrpessEarnedDiscount))*'1Day AM Base'!E117)*(1+ExpressFuelSurcharge),2)))*(1+FedEx_Markup),2)</f>
        <v>482.95</v>
      </c>
      <c r="F120" s="218">
        <f>ROUND((IF(MinBase1AMDay&gt;ROUND(((1-(OverNightDiscount_21_Up+FedExExrpessEarnedDiscount))*'1Day AM Base'!F117),2),ROUND(MinBase1AMDay*(1+ExpressFuelSurcharge),2),ROUND(((1-(OverNightDiscount_21_Up+FedExExrpessEarnedDiscount))*'1Day AM Base'!F117)*(1+ExpressFuelSurcharge),2)))*(1+FedEx_Markup),2)</f>
        <v>493.33</v>
      </c>
      <c r="G120" s="218">
        <f>ROUND((IF(MinBase1AMDay&gt;ROUND(((1-(OverNightDiscount_21_Up+FedExExrpessEarnedDiscount))*'1Day AM Base'!G117),2),ROUND(MinBase1AMDay*(1+ExpressFuelSurcharge),2),ROUND(((1-(OverNightDiscount_21_Up+FedExExrpessEarnedDiscount))*'1Day AM Base'!G117)*(1+ExpressFuelSurcharge),2)))*(1+FedEx_Markup),2)</f>
        <v>603.29999999999995</v>
      </c>
      <c r="H120" s="218">
        <f>ROUND((IF(MinBase1AMDay&gt;ROUND(((1-(OverNightDiscount_21_Up+FedExExrpessEarnedDiscount))*'1Day AM Base'!H117),2),ROUND(MinBase1AMDay*(1+ExpressFuelSurcharge),2),ROUND(((1-(OverNightDiscount_21_Up+FedExExrpessEarnedDiscount))*'1Day AM Base'!H117)*(1+ExpressFuelSurcharge),2)))*(1+FedEx_Markup),2)</f>
        <v>642.74</v>
      </c>
    </row>
    <row r="121" spans="1:26" ht="12.75" customHeight="1">
      <c r="A121" s="217">
        <v>116</v>
      </c>
      <c r="B121" s="218">
        <f>ROUND((IF(MinBase1AMDay&gt;ROUND(((1-(OverNightDiscount_21_Up+FedExExrpessEarnedDiscount))*'1Day AM Base'!B118),2),ROUND(MinBase1AMDay*(1+ExpressFuelSurcharge),2),ROUND(((1-(OverNightDiscount_21_Up+FedExExrpessEarnedDiscount))*'1Day AM Base'!B118)*(1+ExpressFuelSurcharge),2)))*(1+FedEx_Markup),2)</f>
        <v>161.16</v>
      </c>
      <c r="C121" s="218">
        <f>ROUND((IF(MinBase1AMDay&gt;ROUND(((1-(OverNightDiscount_21_Up+FedExExrpessEarnedDiscount))*'1Day AM Base'!C118),2),ROUND(MinBase1AMDay*(1+ExpressFuelSurcharge),2),ROUND(((1-(OverNightDiscount_21_Up+FedExExrpessEarnedDiscount))*'1Day AM Base'!C118)*(1+ExpressFuelSurcharge),2)))*(1+FedEx_Markup),2)</f>
        <v>225</v>
      </c>
      <c r="D121" s="218">
        <f>ROUND((IF(MinBase1AMDay&gt;ROUND(((1-(OverNightDiscount_21_Up+FedExExrpessEarnedDiscount))*'1Day AM Base'!D118),2),ROUND(MinBase1AMDay*(1+ExpressFuelSurcharge),2),ROUND(((1-(OverNightDiscount_21_Up+FedExExrpessEarnedDiscount))*'1Day AM Base'!D118)*(1+ExpressFuelSurcharge),2)))*(1+FedEx_Markup),2)</f>
        <v>409.19</v>
      </c>
      <c r="E121" s="218">
        <f>ROUND((IF(MinBase1AMDay&gt;ROUND(((1-(OverNightDiscount_21_Up+FedExExrpessEarnedDiscount))*'1Day AM Base'!E118),2),ROUND(MinBase1AMDay*(1+ExpressFuelSurcharge),2),ROUND(((1-(OverNightDiscount_21_Up+FedExExrpessEarnedDiscount))*'1Day AM Base'!E118)*(1+ExpressFuelSurcharge),2)))*(1+FedEx_Markup),2)</f>
        <v>487.15</v>
      </c>
      <c r="F121" s="218">
        <f>ROUND((IF(MinBase1AMDay&gt;ROUND(((1-(OverNightDiscount_21_Up+FedExExrpessEarnedDiscount))*'1Day AM Base'!F118),2),ROUND(MinBase1AMDay*(1+ExpressFuelSurcharge),2),ROUND(((1-(OverNightDiscount_21_Up+FedExExrpessEarnedDiscount))*'1Day AM Base'!F118)*(1+ExpressFuelSurcharge),2)))*(1+FedEx_Markup),2)</f>
        <v>497.62</v>
      </c>
      <c r="G121" s="218">
        <f>ROUND((IF(MinBase1AMDay&gt;ROUND(((1-(OverNightDiscount_21_Up+FedExExrpessEarnedDiscount))*'1Day AM Base'!G118),2),ROUND(MinBase1AMDay*(1+ExpressFuelSurcharge),2),ROUND(((1-(OverNightDiscount_21_Up+FedExExrpessEarnedDiscount))*'1Day AM Base'!G118)*(1+ExpressFuelSurcharge),2)))*(1+FedEx_Markup),2)</f>
        <v>608.55999999999995</v>
      </c>
      <c r="H121" s="218">
        <f>ROUND((IF(MinBase1AMDay&gt;ROUND(((1-(OverNightDiscount_21_Up+FedExExrpessEarnedDiscount))*'1Day AM Base'!H118),2),ROUND(MinBase1AMDay*(1+ExpressFuelSurcharge),2),ROUND(((1-(OverNightDiscount_21_Up+FedExExrpessEarnedDiscount))*'1Day AM Base'!H118)*(1+ExpressFuelSurcharge),2)))*(1+FedEx_Markup),2)</f>
        <v>648.32000000000005</v>
      </c>
      <c r="L121" s="4"/>
    </row>
    <row r="122" spans="1:26" ht="12.75" customHeight="1">
      <c r="A122" s="217">
        <v>117</v>
      </c>
      <c r="B122" s="218">
        <f>ROUND((IF(MinBase1AMDay&gt;ROUND(((1-(OverNightDiscount_21_Up+FedExExrpessEarnedDiscount))*'1Day AM Base'!B119),2),ROUND(MinBase1AMDay*(1+ExpressFuelSurcharge),2),ROUND(((1-(OverNightDiscount_21_Up+FedExExrpessEarnedDiscount))*'1Day AM Base'!B119)*(1+ExpressFuelSurcharge),2)))*(1+FedEx_Markup),2)</f>
        <v>162.55000000000001</v>
      </c>
      <c r="C122" s="218">
        <f>ROUND((IF(MinBase1AMDay&gt;ROUND(((1-(OverNightDiscount_21_Up+FedExExrpessEarnedDiscount))*'1Day AM Base'!C119),2),ROUND(MinBase1AMDay*(1+ExpressFuelSurcharge),2),ROUND(((1-(OverNightDiscount_21_Up+FedExExrpessEarnedDiscount))*'1Day AM Base'!C119)*(1+ExpressFuelSurcharge),2)))*(1+FedEx_Markup),2)</f>
        <v>226.94</v>
      </c>
      <c r="D122" s="218">
        <f>ROUND((IF(MinBase1AMDay&gt;ROUND(((1-(OverNightDiscount_21_Up+FedExExrpessEarnedDiscount))*'1Day AM Base'!D119),2),ROUND(MinBase1AMDay*(1+ExpressFuelSurcharge),2),ROUND(((1-(OverNightDiscount_21_Up+FedExExrpessEarnedDiscount))*'1Day AM Base'!D119)*(1+ExpressFuelSurcharge),2)))*(1+FedEx_Markup),2)</f>
        <v>412.72</v>
      </c>
      <c r="E122" s="218">
        <f>ROUND((IF(MinBase1AMDay&gt;ROUND(((1-(OverNightDiscount_21_Up+FedExExrpessEarnedDiscount))*'1Day AM Base'!E119),2),ROUND(MinBase1AMDay*(1+ExpressFuelSurcharge),2),ROUND(((1-(OverNightDiscount_21_Up+FedExExrpessEarnedDiscount))*'1Day AM Base'!E119)*(1+ExpressFuelSurcharge),2)))*(1+FedEx_Markup),2)</f>
        <v>491.36</v>
      </c>
      <c r="F122" s="218">
        <f>ROUND((IF(MinBase1AMDay&gt;ROUND(((1-(OverNightDiscount_21_Up+FedExExrpessEarnedDiscount))*'1Day AM Base'!F119),2),ROUND(MinBase1AMDay*(1+ExpressFuelSurcharge),2),ROUND(((1-(OverNightDiscount_21_Up+FedExExrpessEarnedDiscount))*'1Day AM Base'!F119)*(1+ExpressFuelSurcharge),2)))*(1+FedEx_Markup),2)</f>
        <v>501.91</v>
      </c>
      <c r="G122" s="218">
        <f>ROUND((IF(MinBase1AMDay&gt;ROUND(((1-(OverNightDiscount_21_Up+FedExExrpessEarnedDiscount))*'1Day AM Base'!G119),2),ROUND(MinBase1AMDay*(1+ExpressFuelSurcharge),2),ROUND(((1-(OverNightDiscount_21_Up+FedExExrpessEarnedDiscount))*'1Day AM Base'!G119)*(1+ExpressFuelSurcharge),2)))*(1+FedEx_Markup),2)</f>
        <v>613.79999999999995</v>
      </c>
      <c r="H122" s="218">
        <f>ROUND((IF(MinBase1AMDay&gt;ROUND(((1-(OverNightDiscount_21_Up+FedExExrpessEarnedDiscount))*'1Day AM Base'!H119),2),ROUND(MinBase1AMDay*(1+ExpressFuelSurcharge),2),ROUND(((1-(OverNightDiscount_21_Up+FedExExrpessEarnedDiscount))*'1Day AM Base'!H119)*(1+ExpressFuelSurcharge),2)))*(1+FedEx_Markup),2)</f>
        <v>653.91</v>
      </c>
    </row>
    <row r="123" spans="1:26" ht="12.75" customHeight="1">
      <c r="A123" s="217">
        <v>118</v>
      </c>
      <c r="B123" s="218">
        <f>ROUND((IF(MinBase1AMDay&gt;ROUND(((1-(OverNightDiscount_21_Up+FedExExrpessEarnedDiscount))*'1Day AM Base'!B120),2),ROUND(MinBase1AMDay*(1+ExpressFuelSurcharge),2),ROUND(((1-(OverNightDiscount_21_Up+FedExExrpessEarnedDiscount))*'1Day AM Base'!B120)*(1+ExpressFuelSurcharge),2)))*(1+FedEx_Markup),2)</f>
        <v>163.94</v>
      </c>
      <c r="C123" s="218">
        <f>ROUND((IF(MinBase1AMDay&gt;ROUND(((1-(OverNightDiscount_21_Up+FedExExrpessEarnedDiscount))*'1Day AM Base'!C120),2),ROUND(MinBase1AMDay*(1+ExpressFuelSurcharge),2),ROUND(((1-(OverNightDiscount_21_Up+FedExExrpessEarnedDiscount))*'1Day AM Base'!C120)*(1+ExpressFuelSurcharge),2)))*(1+FedEx_Markup),2)</f>
        <v>228.88</v>
      </c>
      <c r="D123" s="218">
        <f>ROUND((IF(MinBase1AMDay&gt;ROUND(((1-(OverNightDiscount_21_Up+FedExExrpessEarnedDiscount))*'1Day AM Base'!D120),2),ROUND(MinBase1AMDay*(1+ExpressFuelSurcharge),2),ROUND(((1-(OverNightDiscount_21_Up+FedExExrpessEarnedDiscount))*'1Day AM Base'!D120)*(1+ExpressFuelSurcharge),2)))*(1+FedEx_Markup),2)</f>
        <v>416.24</v>
      </c>
      <c r="E123" s="218">
        <f>ROUND((IF(MinBase1AMDay&gt;ROUND(((1-(OverNightDiscount_21_Up+FedExExrpessEarnedDiscount))*'1Day AM Base'!E120),2),ROUND(MinBase1AMDay*(1+ExpressFuelSurcharge),2),ROUND(((1-(OverNightDiscount_21_Up+FedExExrpessEarnedDiscount))*'1Day AM Base'!E120)*(1+ExpressFuelSurcharge),2)))*(1+FedEx_Markup),2)</f>
        <v>495.56</v>
      </c>
      <c r="F123" s="218">
        <f>ROUND((IF(MinBase1AMDay&gt;ROUND(((1-(OverNightDiscount_21_Up+FedExExrpessEarnedDiscount))*'1Day AM Base'!F120),2),ROUND(MinBase1AMDay*(1+ExpressFuelSurcharge),2),ROUND(((1-(OverNightDiscount_21_Up+FedExExrpessEarnedDiscount))*'1Day AM Base'!F120)*(1+ExpressFuelSurcharge),2)))*(1+FedEx_Markup),2)</f>
        <v>506.21</v>
      </c>
      <c r="G123" s="218">
        <f>ROUND((IF(MinBase1AMDay&gt;ROUND(((1-(OverNightDiscount_21_Up+FedExExrpessEarnedDiscount))*'1Day AM Base'!G120),2),ROUND(MinBase1AMDay*(1+ExpressFuelSurcharge),2),ROUND(((1-(OverNightDiscount_21_Up+FedExExrpessEarnedDiscount))*'1Day AM Base'!G120)*(1+ExpressFuelSurcharge),2)))*(1+FedEx_Markup),2)</f>
        <v>619.04999999999995</v>
      </c>
      <c r="H123" s="218">
        <f>ROUND((IF(MinBase1AMDay&gt;ROUND(((1-(OverNightDiscount_21_Up+FedExExrpessEarnedDiscount))*'1Day AM Base'!H120),2),ROUND(MinBase1AMDay*(1+ExpressFuelSurcharge),2),ROUND(((1-(OverNightDiscount_21_Up+FedExExrpessEarnedDiscount))*'1Day AM Base'!H120)*(1+ExpressFuelSurcharge),2)))*(1+FedEx_Markup),2)</f>
        <v>659.5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>
      <c r="A124" s="217">
        <v>119</v>
      </c>
      <c r="B124" s="218">
        <f>ROUND((IF(MinBase1AMDay&gt;ROUND(((1-(OverNightDiscount_21_Up+FedExExrpessEarnedDiscount))*'1Day AM Base'!B121),2),ROUND(MinBase1AMDay*(1+ExpressFuelSurcharge),2),ROUND(((1-(OverNightDiscount_21_Up+FedExExrpessEarnedDiscount))*'1Day AM Base'!B121)*(1+ExpressFuelSurcharge),2)))*(1+FedEx_Markup),2)</f>
        <v>165.34</v>
      </c>
      <c r="C124" s="218">
        <f>ROUND((IF(MinBase1AMDay&gt;ROUND(((1-(OverNightDiscount_21_Up+FedExExrpessEarnedDiscount))*'1Day AM Base'!C121),2),ROUND(MinBase1AMDay*(1+ExpressFuelSurcharge),2),ROUND(((1-(OverNightDiscount_21_Up+FedExExrpessEarnedDiscount))*'1Day AM Base'!C121)*(1+ExpressFuelSurcharge),2)))*(1+FedEx_Markup),2)</f>
        <v>230.82</v>
      </c>
      <c r="D124" s="218">
        <f>ROUND((IF(MinBase1AMDay&gt;ROUND(((1-(OverNightDiscount_21_Up+FedExExrpessEarnedDiscount))*'1Day AM Base'!D121),2),ROUND(MinBase1AMDay*(1+ExpressFuelSurcharge),2),ROUND(((1-(OverNightDiscount_21_Up+FedExExrpessEarnedDiscount))*'1Day AM Base'!D121)*(1+ExpressFuelSurcharge),2)))*(1+FedEx_Markup),2)</f>
        <v>419.77</v>
      </c>
      <c r="E124" s="218">
        <f>ROUND((IF(MinBase1AMDay&gt;ROUND(((1-(OverNightDiscount_21_Up+FedExExrpessEarnedDiscount))*'1Day AM Base'!E121),2),ROUND(MinBase1AMDay*(1+ExpressFuelSurcharge),2),ROUND(((1-(OverNightDiscount_21_Up+FedExExrpessEarnedDiscount))*'1Day AM Base'!E121)*(1+ExpressFuelSurcharge),2)))*(1+FedEx_Markup),2)</f>
        <v>499.76</v>
      </c>
      <c r="F124" s="218">
        <f>ROUND((IF(MinBase1AMDay&gt;ROUND(((1-(OverNightDiscount_21_Up+FedExExrpessEarnedDiscount))*'1Day AM Base'!F121),2),ROUND(MinBase1AMDay*(1+ExpressFuelSurcharge),2),ROUND(((1-(OverNightDiscount_21_Up+FedExExrpessEarnedDiscount))*'1Day AM Base'!F121)*(1+ExpressFuelSurcharge),2)))*(1+FedEx_Markup),2)</f>
        <v>510.5</v>
      </c>
      <c r="G124" s="218">
        <f>ROUND((IF(MinBase1AMDay&gt;ROUND(((1-(OverNightDiscount_21_Up+FedExExrpessEarnedDiscount))*'1Day AM Base'!G121),2),ROUND(MinBase1AMDay*(1+ExpressFuelSurcharge),2),ROUND(((1-(OverNightDiscount_21_Up+FedExExrpessEarnedDiscount))*'1Day AM Base'!G121)*(1+ExpressFuelSurcharge),2)))*(1+FedEx_Markup),2)</f>
        <v>624.29</v>
      </c>
      <c r="H124" s="218">
        <f>ROUND((IF(MinBase1AMDay&gt;ROUND(((1-(OverNightDiscount_21_Up+FedExExrpessEarnedDiscount))*'1Day AM Base'!H121),2),ROUND(MinBase1AMDay*(1+ExpressFuelSurcharge),2),ROUND(((1-(OverNightDiscount_21_Up+FedExExrpessEarnedDiscount))*'1Day AM Base'!H121)*(1+ExpressFuelSurcharge),2)))*(1+FedEx_Markup),2)</f>
        <v>665.09</v>
      </c>
    </row>
    <row r="125" spans="1:26" ht="12.75" customHeight="1">
      <c r="A125" s="217">
        <v>120</v>
      </c>
      <c r="B125" s="218">
        <f>ROUND((IF(MinBase1AMDay&gt;ROUND(((1-(OverNightDiscount_21_Up+FedExExrpessEarnedDiscount))*'1Day AM Base'!B122),2),ROUND(MinBase1AMDay*(1+ExpressFuelSurcharge),2),ROUND(((1-(OverNightDiscount_21_Up+FedExExrpessEarnedDiscount))*'1Day AM Base'!B122)*(1+ExpressFuelSurcharge),2)))*(1+FedEx_Markup),2)</f>
        <v>166.73</v>
      </c>
      <c r="C125" s="218">
        <f>ROUND((IF(MinBase1AMDay&gt;ROUND(((1-(OverNightDiscount_21_Up+FedExExrpessEarnedDiscount))*'1Day AM Base'!C122),2),ROUND(MinBase1AMDay*(1+ExpressFuelSurcharge),2),ROUND(((1-(OverNightDiscount_21_Up+FedExExrpessEarnedDiscount))*'1Day AM Base'!C122)*(1+ExpressFuelSurcharge),2)))*(1+FedEx_Markup),2)</f>
        <v>232.76</v>
      </c>
      <c r="D125" s="218">
        <f>ROUND((IF(MinBase1AMDay&gt;ROUND(((1-(OverNightDiscount_21_Up+FedExExrpessEarnedDiscount))*'1Day AM Base'!D122),2),ROUND(MinBase1AMDay*(1+ExpressFuelSurcharge),2),ROUND(((1-(OverNightDiscount_21_Up+FedExExrpessEarnedDiscount))*'1Day AM Base'!D122)*(1+ExpressFuelSurcharge),2)))*(1+FedEx_Markup),2)</f>
        <v>423.3</v>
      </c>
      <c r="E125" s="218">
        <f>ROUND((IF(MinBase1AMDay&gt;ROUND(((1-(OverNightDiscount_21_Up+FedExExrpessEarnedDiscount))*'1Day AM Base'!E122),2),ROUND(MinBase1AMDay*(1+ExpressFuelSurcharge),2),ROUND(((1-(OverNightDiscount_21_Up+FedExExrpessEarnedDiscount))*'1Day AM Base'!E122)*(1+ExpressFuelSurcharge),2)))*(1+FedEx_Markup),2)</f>
        <v>503.95</v>
      </c>
      <c r="F125" s="218">
        <f>ROUND((IF(MinBase1AMDay&gt;ROUND(((1-(OverNightDiscount_21_Up+FedExExrpessEarnedDiscount))*'1Day AM Base'!F122),2),ROUND(MinBase1AMDay*(1+ExpressFuelSurcharge),2),ROUND(((1-(OverNightDiscount_21_Up+FedExExrpessEarnedDiscount))*'1Day AM Base'!F122)*(1+ExpressFuelSurcharge),2)))*(1+FedEx_Markup),2)</f>
        <v>514.79</v>
      </c>
      <c r="G125" s="218">
        <f>ROUND((IF(MinBase1AMDay&gt;ROUND(((1-(OverNightDiscount_21_Up+FedExExrpessEarnedDiscount))*'1Day AM Base'!G122),2),ROUND(MinBase1AMDay*(1+ExpressFuelSurcharge),2),ROUND(((1-(OverNightDiscount_21_Up+FedExExrpessEarnedDiscount))*'1Day AM Base'!G122)*(1+ExpressFuelSurcharge),2)))*(1+FedEx_Markup),2)</f>
        <v>629.53</v>
      </c>
      <c r="H125" s="218">
        <f>ROUND((IF(MinBase1AMDay&gt;ROUND(((1-(OverNightDiscount_21_Up+FedExExrpessEarnedDiscount))*'1Day AM Base'!H122),2),ROUND(MinBase1AMDay*(1+ExpressFuelSurcharge),2),ROUND(((1-(OverNightDiscount_21_Up+FedExExrpessEarnedDiscount))*'1Day AM Base'!H122)*(1+ExpressFuelSurcharge),2)))*(1+FedEx_Markup),2)</f>
        <v>670.68</v>
      </c>
    </row>
    <row r="126" spans="1:26" ht="12.75" customHeight="1">
      <c r="A126" s="217">
        <v>121</v>
      </c>
      <c r="B126" s="218">
        <f>ROUND((IF(MinBase1AMDay&gt;ROUND(((1-(OverNightDiscount_21_Up+FedExExrpessEarnedDiscount))*'1Day AM Base'!B123),2),ROUND(MinBase1AMDay*(1+ExpressFuelSurcharge),2),ROUND(((1-(OverNightDiscount_21_Up+FedExExrpessEarnedDiscount))*'1Day AM Base'!B123)*(1+ExpressFuelSurcharge),2)))*(1+FedEx_Markup),2)</f>
        <v>168.11</v>
      </c>
      <c r="C126" s="218">
        <f>ROUND((IF(MinBase1AMDay&gt;ROUND(((1-(OverNightDiscount_21_Up+FedExExrpessEarnedDiscount))*'1Day AM Base'!C123),2),ROUND(MinBase1AMDay*(1+ExpressFuelSurcharge),2),ROUND(((1-(OverNightDiscount_21_Up+FedExExrpessEarnedDiscount))*'1Day AM Base'!C123)*(1+ExpressFuelSurcharge),2)))*(1+FedEx_Markup),2)</f>
        <v>234.7</v>
      </c>
      <c r="D126" s="218">
        <f>ROUND((IF(MinBase1AMDay&gt;ROUND(((1-(OverNightDiscount_21_Up+FedExExrpessEarnedDiscount))*'1Day AM Base'!D123),2),ROUND(MinBase1AMDay*(1+ExpressFuelSurcharge),2),ROUND(((1-(OverNightDiscount_21_Up+FedExExrpessEarnedDiscount))*'1Day AM Base'!D123)*(1+ExpressFuelSurcharge),2)))*(1+FedEx_Markup),2)</f>
        <v>426.82</v>
      </c>
      <c r="E126" s="218">
        <f>ROUND((IF(MinBase1AMDay&gt;ROUND(((1-(OverNightDiscount_21_Up+FedExExrpessEarnedDiscount))*'1Day AM Base'!E123),2),ROUND(MinBase1AMDay*(1+ExpressFuelSurcharge),2),ROUND(((1-(OverNightDiscount_21_Up+FedExExrpessEarnedDiscount))*'1Day AM Base'!E123)*(1+ExpressFuelSurcharge),2)))*(1+FedEx_Markup),2)</f>
        <v>508.15</v>
      </c>
      <c r="F126" s="218">
        <f>ROUND((IF(MinBase1AMDay&gt;ROUND(((1-(OverNightDiscount_21_Up+FedExExrpessEarnedDiscount))*'1Day AM Base'!F123),2),ROUND(MinBase1AMDay*(1+ExpressFuelSurcharge),2),ROUND(((1-(OverNightDiscount_21_Up+FedExExrpessEarnedDiscount))*'1Day AM Base'!F123)*(1+ExpressFuelSurcharge),2)))*(1+FedEx_Markup),2)</f>
        <v>519.08000000000004</v>
      </c>
      <c r="G126" s="218">
        <f>ROUND((IF(MinBase1AMDay&gt;ROUND(((1-(OverNightDiscount_21_Up+FedExExrpessEarnedDiscount))*'1Day AM Base'!G123),2),ROUND(MinBase1AMDay*(1+ExpressFuelSurcharge),2),ROUND(((1-(OverNightDiscount_21_Up+FedExExrpessEarnedDiscount))*'1Day AM Base'!G123)*(1+ExpressFuelSurcharge),2)))*(1+FedEx_Markup),2)</f>
        <v>634.79</v>
      </c>
      <c r="H126" s="218">
        <f>ROUND((IF(MinBase1AMDay&gt;ROUND(((1-(OverNightDiscount_21_Up+FedExExrpessEarnedDiscount))*'1Day AM Base'!H123),2),ROUND(MinBase1AMDay*(1+ExpressFuelSurcharge),2),ROUND(((1-(OverNightDiscount_21_Up+FedExExrpessEarnedDiscount))*'1Day AM Base'!H123)*(1+ExpressFuelSurcharge),2)))*(1+FedEx_Markup),2)</f>
        <v>676.27</v>
      </c>
    </row>
    <row r="127" spans="1:26" ht="12.75" customHeight="1">
      <c r="A127" s="217">
        <v>122</v>
      </c>
      <c r="B127" s="218">
        <f>ROUND((IF(MinBase1AMDay&gt;ROUND(((1-(OverNightDiscount_21_Up+FedExExrpessEarnedDiscount))*'1Day AM Base'!B124),2),ROUND(MinBase1AMDay*(1+ExpressFuelSurcharge),2),ROUND(((1-(OverNightDiscount_21_Up+FedExExrpessEarnedDiscount))*'1Day AM Base'!B124)*(1+ExpressFuelSurcharge),2)))*(1+FedEx_Markup),2)</f>
        <v>169.5</v>
      </c>
      <c r="C127" s="218">
        <f>ROUND((IF(MinBase1AMDay&gt;ROUND(((1-(OverNightDiscount_21_Up+FedExExrpessEarnedDiscount))*'1Day AM Base'!C124),2),ROUND(MinBase1AMDay*(1+ExpressFuelSurcharge),2),ROUND(((1-(OverNightDiscount_21_Up+FedExExrpessEarnedDiscount))*'1Day AM Base'!C124)*(1+ExpressFuelSurcharge),2)))*(1+FedEx_Markup),2)</f>
        <v>236.64</v>
      </c>
      <c r="D127" s="218">
        <f>ROUND((IF(MinBase1AMDay&gt;ROUND(((1-(OverNightDiscount_21_Up+FedExExrpessEarnedDiscount))*'1Day AM Base'!D124),2),ROUND(MinBase1AMDay*(1+ExpressFuelSurcharge),2),ROUND(((1-(OverNightDiscount_21_Up+FedExExrpessEarnedDiscount))*'1Day AM Base'!D124)*(1+ExpressFuelSurcharge),2)))*(1+FedEx_Markup),2)</f>
        <v>430.35</v>
      </c>
      <c r="E127" s="218">
        <f>ROUND((IF(MinBase1AMDay&gt;ROUND(((1-(OverNightDiscount_21_Up+FedExExrpessEarnedDiscount))*'1Day AM Base'!E124),2),ROUND(MinBase1AMDay*(1+ExpressFuelSurcharge),2),ROUND(((1-(OverNightDiscount_21_Up+FedExExrpessEarnedDiscount))*'1Day AM Base'!E124)*(1+ExpressFuelSurcharge),2)))*(1+FedEx_Markup),2)</f>
        <v>512.36</v>
      </c>
      <c r="F127" s="218">
        <f>ROUND((IF(MinBase1AMDay&gt;ROUND(((1-(OverNightDiscount_21_Up+FedExExrpessEarnedDiscount))*'1Day AM Base'!F124),2),ROUND(MinBase1AMDay*(1+ExpressFuelSurcharge),2),ROUND(((1-(OverNightDiscount_21_Up+FedExExrpessEarnedDiscount))*'1Day AM Base'!F124)*(1+ExpressFuelSurcharge),2)))*(1+FedEx_Markup),2)</f>
        <v>523.37</v>
      </c>
      <c r="G127" s="218">
        <f>ROUND((IF(MinBase1AMDay&gt;ROUND(((1-(OverNightDiscount_21_Up+FedExExrpessEarnedDiscount))*'1Day AM Base'!G124),2),ROUND(MinBase1AMDay*(1+ExpressFuelSurcharge),2),ROUND(((1-(OverNightDiscount_21_Up+FedExExrpessEarnedDiscount))*'1Day AM Base'!G124)*(1+ExpressFuelSurcharge),2)))*(1+FedEx_Markup),2)</f>
        <v>640.03</v>
      </c>
      <c r="H127" s="218">
        <f>ROUND((IF(MinBase1AMDay&gt;ROUND(((1-(OverNightDiscount_21_Up+FedExExrpessEarnedDiscount))*'1Day AM Base'!H124),2),ROUND(MinBase1AMDay*(1+ExpressFuelSurcharge),2),ROUND(((1-(OverNightDiscount_21_Up+FedExExrpessEarnedDiscount))*'1Day AM Base'!H124)*(1+ExpressFuelSurcharge),2)))*(1+FedEx_Markup),2)</f>
        <v>681.86</v>
      </c>
    </row>
    <row r="128" spans="1:26" ht="12.75" customHeight="1">
      <c r="A128" s="217">
        <v>123</v>
      </c>
      <c r="B128" s="218">
        <f>ROUND((IF(MinBase1AMDay&gt;ROUND(((1-(OverNightDiscount_21_Up+FedExExrpessEarnedDiscount))*'1Day AM Base'!B125),2),ROUND(MinBase1AMDay*(1+ExpressFuelSurcharge),2),ROUND(((1-(OverNightDiscount_21_Up+FedExExrpessEarnedDiscount))*'1Day AM Base'!B125)*(1+ExpressFuelSurcharge),2)))*(1+FedEx_Markup),2)</f>
        <v>170.89</v>
      </c>
      <c r="C128" s="218">
        <f>ROUND((IF(MinBase1AMDay&gt;ROUND(((1-(OverNightDiscount_21_Up+FedExExrpessEarnedDiscount))*'1Day AM Base'!C125),2),ROUND(MinBase1AMDay*(1+ExpressFuelSurcharge),2),ROUND(((1-(OverNightDiscount_21_Up+FedExExrpessEarnedDiscount))*'1Day AM Base'!C125)*(1+ExpressFuelSurcharge),2)))*(1+FedEx_Markup),2)</f>
        <v>238.58</v>
      </c>
      <c r="D128" s="218">
        <f>ROUND((IF(MinBase1AMDay&gt;ROUND(((1-(OverNightDiscount_21_Up+FedExExrpessEarnedDiscount))*'1Day AM Base'!D125),2),ROUND(MinBase1AMDay*(1+ExpressFuelSurcharge),2),ROUND(((1-(OverNightDiscount_21_Up+FedExExrpessEarnedDiscount))*'1Day AM Base'!D125)*(1+ExpressFuelSurcharge),2)))*(1+FedEx_Markup),2)</f>
        <v>433.88</v>
      </c>
      <c r="E128" s="218">
        <f>ROUND((IF(MinBase1AMDay&gt;ROUND(((1-(OverNightDiscount_21_Up+FedExExrpessEarnedDiscount))*'1Day AM Base'!E125),2),ROUND(MinBase1AMDay*(1+ExpressFuelSurcharge),2),ROUND(((1-(OverNightDiscount_21_Up+FedExExrpessEarnedDiscount))*'1Day AM Base'!E125)*(1+ExpressFuelSurcharge),2)))*(1+FedEx_Markup),2)</f>
        <v>516.55999999999995</v>
      </c>
      <c r="F128" s="218">
        <f>ROUND((IF(MinBase1AMDay&gt;ROUND(((1-(OverNightDiscount_21_Up+FedExExrpessEarnedDiscount))*'1Day AM Base'!F125),2),ROUND(MinBase1AMDay*(1+ExpressFuelSurcharge),2),ROUND(((1-(OverNightDiscount_21_Up+FedExExrpessEarnedDiscount))*'1Day AM Base'!F125)*(1+ExpressFuelSurcharge),2)))*(1+FedEx_Markup),2)</f>
        <v>527.65</v>
      </c>
      <c r="G128" s="218">
        <f>ROUND((IF(MinBase1AMDay&gt;ROUND(((1-(OverNightDiscount_21_Up+FedExExrpessEarnedDiscount))*'1Day AM Base'!G125),2),ROUND(MinBase1AMDay*(1+ExpressFuelSurcharge),2),ROUND(((1-(OverNightDiscount_21_Up+FedExExrpessEarnedDiscount))*'1Day AM Base'!G125)*(1+ExpressFuelSurcharge),2)))*(1+FedEx_Markup),2)</f>
        <v>645.28</v>
      </c>
      <c r="H128" s="218">
        <f>ROUND((IF(MinBase1AMDay&gt;ROUND(((1-(OverNightDiscount_21_Up+FedExExrpessEarnedDiscount))*'1Day AM Base'!H125),2),ROUND(MinBase1AMDay*(1+ExpressFuelSurcharge),2),ROUND(((1-(OverNightDiscount_21_Up+FedExExrpessEarnedDiscount))*'1Day AM Base'!H125)*(1+ExpressFuelSurcharge),2)))*(1+FedEx_Markup),2)</f>
        <v>687.45</v>
      </c>
    </row>
    <row r="129" spans="1:8" ht="12.75" customHeight="1">
      <c r="A129" s="217">
        <v>124</v>
      </c>
      <c r="B129" s="218">
        <f>ROUND((IF(MinBase1AMDay&gt;ROUND(((1-(OverNightDiscount_21_Up+FedExExrpessEarnedDiscount))*'1Day AM Base'!B126),2),ROUND(MinBase1AMDay*(1+ExpressFuelSurcharge),2),ROUND(((1-(OverNightDiscount_21_Up+FedExExrpessEarnedDiscount))*'1Day AM Base'!B126)*(1+ExpressFuelSurcharge),2)))*(1+FedEx_Markup),2)</f>
        <v>172.28</v>
      </c>
      <c r="C129" s="218">
        <f>ROUND((IF(MinBase1AMDay&gt;ROUND(((1-(OverNightDiscount_21_Up+FedExExrpessEarnedDiscount))*'1Day AM Base'!C126),2),ROUND(MinBase1AMDay*(1+ExpressFuelSurcharge),2),ROUND(((1-(OverNightDiscount_21_Up+FedExExrpessEarnedDiscount))*'1Day AM Base'!C126)*(1+ExpressFuelSurcharge),2)))*(1+FedEx_Markup),2)</f>
        <v>240.52</v>
      </c>
      <c r="D129" s="218">
        <f>ROUND((IF(MinBase1AMDay&gt;ROUND(((1-(OverNightDiscount_21_Up+FedExExrpessEarnedDiscount))*'1Day AM Base'!D126),2),ROUND(MinBase1AMDay*(1+ExpressFuelSurcharge),2),ROUND(((1-(OverNightDiscount_21_Up+FedExExrpessEarnedDiscount))*'1Day AM Base'!D126)*(1+ExpressFuelSurcharge),2)))*(1+FedEx_Markup),2)</f>
        <v>437.41</v>
      </c>
      <c r="E129" s="218">
        <f>ROUND((IF(MinBase1AMDay&gt;ROUND(((1-(OverNightDiscount_21_Up+FedExExrpessEarnedDiscount))*'1Day AM Base'!E126),2),ROUND(MinBase1AMDay*(1+ExpressFuelSurcharge),2),ROUND(((1-(OverNightDiscount_21_Up+FedExExrpessEarnedDiscount))*'1Day AM Base'!E126)*(1+ExpressFuelSurcharge),2)))*(1+FedEx_Markup),2)</f>
        <v>520.75</v>
      </c>
      <c r="F129" s="218">
        <f>ROUND((IF(MinBase1AMDay&gt;ROUND(((1-(OverNightDiscount_21_Up+FedExExrpessEarnedDiscount))*'1Day AM Base'!F126),2),ROUND(MinBase1AMDay*(1+ExpressFuelSurcharge),2),ROUND(((1-(OverNightDiscount_21_Up+FedExExrpessEarnedDiscount))*'1Day AM Base'!F126)*(1+ExpressFuelSurcharge),2)))*(1+FedEx_Markup),2)</f>
        <v>531.94000000000005</v>
      </c>
      <c r="G129" s="218">
        <f>ROUND((IF(MinBase1AMDay&gt;ROUND(((1-(OverNightDiscount_21_Up+FedExExrpessEarnedDiscount))*'1Day AM Base'!G126),2),ROUND(MinBase1AMDay*(1+ExpressFuelSurcharge),2),ROUND(((1-(OverNightDiscount_21_Up+FedExExrpessEarnedDiscount))*'1Day AM Base'!G126)*(1+ExpressFuelSurcharge),2)))*(1+FedEx_Markup),2)</f>
        <v>650.52</v>
      </c>
      <c r="H129" s="218">
        <f>ROUND((IF(MinBase1AMDay&gt;ROUND(((1-(OverNightDiscount_21_Up+FedExExrpessEarnedDiscount))*'1Day AM Base'!H126),2),ROUND(MinBase1AMDay*(1+ExpressFuelSurcharge),2),ROUND(((1-(OverNightDiscount_21_Up+FedExExrpessEarnedDiscount))*'1Day AM Base'!H126)*(1+ExpressFuelSurcharge),2)))*(1+FedEx_Markup),2)</f>
        <v>693.04</v>
      </c>
    </row>
    <row r="130" spans="1:8" ht="12.75" customHeight="1">
      <c r="A130" s="217">
        <v>125</v>
      </c>
      <c r="B130" s="218">
        <f>ROUND((IF(MinBase1AMDay&gt;ROUND(((1-(OverNightDiscount_21_Up+FedExExrpessEarnedDiscount))*'1Day AM Base'!B127),2),ROUND(MinBase1AMDay*(1+ExpressFuelSurcharge),2),ROUND(((1-(OverNightDiscount_21_Up+FedExExrpessEarnedDiscount))*'1Day AM Base'!B127)*(1+ExpressFuelSurcharge),2)))*(1+FedEx_Markup),2)</f>
        <v>173.67</v>
      </c>
      <c r="C130" s="218">
        <f>ROUND((IF(MinBase1AMDay&gt;ROUND(((1-(OverNightDiscount_21_Up+FedExExrpessEarnedDiscount))*'1Day AM Base'!C127),2),ROUND(MinBase1AMDay*(1+ExpressFuelSurcharge),2),ROUND(((1-(OverNightDiscount_21_Up+FedExExrpessEarnedDiscount))*'1Day AM Base'!C127)*(1+ExpressFuelSurcharge),2)))*(1+FedEx_Markup),2)</f>
        <v>242.45</v>
      </c>
      <c r="D130" s="218">
        <f>ROUND((IF(MinBase1AMDay&gt;ROUND(((1-(OverNightDiscount_21_Up+FedExExrpessEarnedDiscount))*'1Day AM Base'!D127),2),ROUND(MinBase1AMDay*(1+ExpressFuelSurcharge),2),ROUND(((1-(OverNightDiscount_21_Up+FedExExrpessEarnedDiscount))*'1Day AM Base'!D127)*(1+ExpressFuelSurcharge),2)))*(1+FedEx_Markup),2)</f>
        <v>440.93</v>
      </c>
      <c r="E130" s="218">
        <f>ROUND((IF(MinBase1AMDay&gt;ROUND(((1-(OverNightDiscount_21_Up+FedExExrpessEarnedDiscount))*'1Day AM Base'!E127),2),ROUND(MinBase1AMDay*(1+ExpressFuelSurcharge),2),ROUND(((1-(OverNightDiscount_21_Up+FedExExrpessEarnedDiscount))*'1Day AM Base'!E127)*(1+ExpressFuelSurcharge),2)))*(1+FedEx_Markup),2)</f>
        <v>524.95000000000005</v>
      </c>
      <c r="F130" s="218">
        <f>ROUND((IF(MinBase1AMDay&gt;ROUND(((1-(OverNightDiscount_21_Up+FedExExrpessEarnedDiscount))*'1Day AM Base'!F127),2),ROUND(MinBase1AMDay*(1+ExpressFuelSurcharge),2),ROUND(((1-(OverNightDiscount_21_Up+FedExExrpessEarnedDiscount))*'1Day AM Base'!F127)*(1+ExpressFuelSurcharge),2)))*(1+FedEx_Markup),2)</f>
        <v>536.23</v>
      </c>
      <c r="G130" s="218">
        <f>ROUND((IF(MinBase1AMDay&gt;ROUND(((1-(OverNightDiscount_21_Up+FedExExrpessEarnedDiscount))*'1Day AM Base'!G127),2),ROUND(MinBase1AMDay*(1+ExpressFuelSurcharge),2),ROUND(((1-(OverNightDiscount_21_Up+FedExExrpessEarnedDiscount))*'1Day AM Base'!G127)*(1+ExpressFuelSurcharge),2)))*(1+FedEx_Markup),2)</f>
        <v>655.76</v>
      </c>
      <c r="H130" s="218">
        <f>ROUND((IF(MinBase1AMDay&gt;ROUND(((1-(OverNightDiscount_21_Up+FedExExrpessEarnedDiscount))*'1Day AM Base'!H127),2),ROUND(MinBase1AMDay*(1+ExpressFuelSurcharge),2),ROUND(((1-(OverNightDiscount_21_Up+FedExExrpessEarnedDiscount))*'1Day AM Base'!H127)*(1+ExpressFuelSurcharge),2)))*(1+FedEx_Markup),2)</f>
        <v>698.63</v>
      </c>
    </row>
    <row r="131" spans="1:8" ht="12.75" customHeight="1">
      <c r="A131" s="217">
        <v>126</v>
      </c>
      <c r="B131" s="218">
        <f>ROUND((IF(MinBase1AMDay&gt;ROUND(((1-(OverNightDiscount_21_Up+FedExExrpessEarnedDiscount))*'1Day AM Base'!B128),2),ROUND(MinBase1AMDay*(1+ExpressFuelSurcharge),2),ROUND(((1-(OverNightDiscount_21_Up+FedExExrpessEarnedDiscount))*'1Day AM Base'!B128)*(1+ExpressFuelSurcharge),2)))*(1+FedEx_Markup),2)</f>
        <v>175.05</v>
      </c>
      <c r="C131" s="218">
        <f>ROUND((IF(MinBase1AMDay&gt;ROUND(((1-(OverNightDiscount_21_Up+FedExExrpessEarnedDiscount))*'1Day AM Base'!C128),2),ROUND(MinBase1AMDay*(1+ExpressFuelSurcharge),2),ROUND(((1-(OverNightDiscount_21_Up+FedExExrpessEarnedDiscount))*'1Day AM Base'!C128)*(1+ExpressFuelSurcharge),2)))*(1+FedEx_Markup),2)</f>
        <v>244.4</v>
      </c>
      <c r="D131" s="218">
        <f>ROUND((IF(MinBase1AMDay&gt;ROUND(((1-(OverNightDiscount_21_Up+FedExExrpessEarnedDiscount))*'1Day AM Base'!D128),2),ROUND(MinBase1AMDay*(1+ExpressFuelSurcharge),2),ROUND(((1-(OverNightDiscount_21_Up+FedExExrpessEarnedDiscount))*'1Day AM Base'!D128)*(1+ExpressFuelSurcharge),2)))*(1+FedEx_Markup),2)</f>
        <v>444.46</v>
      </c>
      <c r="E131" s="218">
        <f>ROUND((IF(MinBase1AMDay&gt;ROUND(((1-(OverNightDiscount_21_Up+FedExExrpessEarnedDiscount))*'1Day AM Base'!E128),2),ROUND(MinBase1AMDay*(1+ExpressFuelSurcharge),2),ROUND(((1-(OverNightDiscount_21_Up+FedExExrpessEarnedDiscount))*'1Day AM Base'!E128)*(1+ExpressFuelSurcharge),2)))*(1+FedEx_Markup),2)</f>
        <v>529.15</v>
      </c>
      <c r="F131" s="218">
        <f>ROUND((IF(MinBase1AMDay&gt;ROUND(((1-(OverNightDiscount_21_Up+FedExExrpessEarnedDiscount))*'1Day AM Base'!F128),2),ROUND(MinBase1AMDay*(1+ExpressFuelSurcharge),2),ROUND(((1-(OverNightDiscount_21_Up+FedExExrpessEarnedDiscount))*'1Day AM Base'!F128)*(1+ExpressFuelSurcharge),2)))*(1+FedEx_Markup),2)</f>
        <v>540.52</v>
      </c>
      <c r="G131" s="218">
        <f>ROUND((IF(MinBase1AMDay&gt;ROUND(((1-(OverNightDiscount_21_Up+FedExExrpessEarnedDiscount))*'1Day AM Base'!G128),2),ROUND(MinBase1AMDay*(1+ExpressFuelSurcharge),2),ROUND(((1-(OverNightDiscount_21_Up+FedExExrpessEarnedDiscount))*'1Day AM Base'!G128)*(1+ExpressFuelSurcharge),2)))*(1+FedEx_Markup),2)</f>
        <v>661.02</v>
      </c>
      <c r="H131" s="218">
        <f>ROUND((IF(MinBase1AMDay&gt;ROUND(((1-(OverNightDiscount_21_Up+FedExExrpessEarnedDiscount))*'1Day AM Base'!H128),2),ROUND(MinBase1AMDay*(1+ExpressFuelSurcharge),2),ROUND(((1-(OverNightDiscount_21_Up+FedExExrpessEarnedDiscount))*'1Day AM Base'!H128)*(1+ExpressFuelSurcharge),2)))*(1+FedEx_Markup),2)</f>
        <v>704.21</v>
      </c>
    </row>
    <row r="132" spans="1:8" ht="12.75" customHeight="1">
      <c r="A132" s="217">
        <v>127</v>
      </c>
      <c r="B132" s="218">
        <f>ROUND((IF(MinBase1AMDay&gt;ROUND(((1-(OverNightDiscount_21_Up+FedExExrpessEarnedDiscount))*'1Day AM Base'!B129),2),ROUND(MinBase1AMDay*(1+ExpressFuelSurcharge),2),ROUND(((1-(OverNightDiscount_21_Up+FedExExrpessEarnedDiscount))*'1Day AM Base'!B129)*(1+ExpressFuelSurcharge),2)))*(1+FedEx_Markup),2)</f>
        <v>176.44</v>
      </c>
      <c r="C132" s="218">
        <f>ROUND((IF(MinBase1AMDay&gt;ROUND(((1-(OverNightDiscount_21_Up+FedExExrpessEarnedDiscount))*'1Day AM Base'!C129),2),ROUND(MinBase1AMDay*(1+ExpressFuelSurcharge),2),ROUND(((1-(OverNightDiscount_21_Up+FedExExrpessEarnedDiscount))*'1Day AM Base'!C129)*(1+ExpressFuelSurcharge),2)))*(1+FedEx_Markup),2)</f>
        <v>246.34</v>
      </c>
      <c r="D132" s="218">
        <f>ROUND((IF(MinBase1AMDay&gt;ROUND(((1-(OverNightDiscount_21_Up+FedExExrpessEarnedDiscount))*'1Day AM Base'!D129),2),ROUND(MinBase1AMDay*(1+ExpressFuelSurcharge),2),ROUND(((1-(OverNightDiscount_21_Up+FedExExrpessEarnedDiscount))*'1Day AM Base'!D129)*(1+ExpressFuelSurcharge),2)))*(1+FedEx_Markup),2)</f>
        <v>447.99</v>
      </c>
      <c r="E132" s="218">
        <f>ROUND((IF(MinBase1AMDay&gt;ROUND(((1-(OverNightDiscount_21_Up+FedExExrpessEarnedDiscount))*'1Day AM Base'!E129),2),ROUND(MinBase1AMDay*(1+ExpressFuelSurcharge),2),ROUND(((1-(OverNightDiscount_21_Up+FedExExrpessEarnedDiscount))*'1Day AM Base'!E129)*(1+ExpressFuelSurcharge),2)))*(1+FedEx_Markup),2)</f>
        <v>533.35</v>
      </c>
      <c r="F132" s="218">
        <f>ROUND((IF(MinBase1AMDay&gt;ROUND(((1-(OverNightDiscount_21_Up+FedExExrpessEarnedDiscount))*'1Day AM Base'!F129),2),ROUND(MinBase1AMDay*(1+ExpressFuelSurcharge),2),ROUND(((1-(OverNightDiscount_21_Up+FedExExrpessEarnedDiscount))*'1Day AM Base'!F129)*(1+ExpressFuelSurcharge),2)))*(1+FedEx_Markup),2)</f>
        <v>544.80999999999995</v>
      </c>
      <c r="G132" s="218">
        <f>ROUND((IF(MinBase1AMDay&gt;ROUND(((1-(OverNightDiscount_21_Up+FedExExrpessEarnedDiscount))*'1Day AM Base'!G129),2),ROUND(MinBase1AMDay*(1+ExpressFuelSurcharge),2),ROUND(((1-(OverNightDiscount_21_Up+FedExExrpessEarnedDiscount))*'1Day AM Base'!G129)*(1+ExpressFuelSurcharge),2)))*(1+FedEx_Markup),2)</f>
        <v>666.26</v>
      </c>
      <c r="H132" s="218">
        <f>ROUND((IF(MinBase1AMDay&gt;ROUND(((1-(OverNightDiscount_21_Up+FedExExrpessEarnedDiscount))*'1Day AM Base'!H129),2),ROUND(MinBase1AMDay*(1+ExpressFuelSurcharge),2),ROUND(((1-(OverNightDiscount_21_Up+FedExExrpessEarnedDiscount))*'1Day AM Base'!H129)*(1+ExpressFuelSurcharge),2)))*(1+FedEx_Markup),2)</f>
        <v>709.8</v>
      </c>
    </row>
    <row r="133" spans="1:8" ht="12.75" customHeight="1">
      <c r="A133" s="217">
        <v>128</v>
      </c>
      <c r="B133" s="218">
        <f>ROUND((IF(MinBase1AMDay&gt;ROUND(((1-(OverNightDiscount_21_Up+FedExExrpessEarnedDiscount))*'1Day AM Base'!B130),2),ROUND(MinBase1AMDay*(1+ExpressFuelSurcharge),2),ROUND(((1-(OverNightDiscount_21_Up+FedExExrpessEarnedDiscount))*'1Day AM Base'!B130)*(1+ExpressFuelSurcharge),2)))*(1+FedEx_Markup),2)</f>
        <v>177.84</v>
      </c>
      <c r="C133" s="218">
        <f>ROUND((IF(MinBase1AMDay&gt;ROUND(((1-(OverNightDiscount_21_Up+FedExExrpessEarnedDiscount))*'1Day AM Base'!C130),2),ROUND(MinBase1AMDay*(1+ExpressFuelSurcharge),2),ROUND(((1-(OverNightDiscount_21_Up+FedExExrpessEarnedDiscount))*'1Day AM Base'!C130)*(1+ExpressFuelSurcharge),2)))*(1+FedEx_Markup),2)</f>
        <v>248.27</v>
      </c>
      <c r="D133" s="218">
        <f>ROUND((IF(MinBase1AMDay&gt;ROUND(((1-(OverNightDiscount_21_Up+FedExExrpessEarnedDiscount))*'1Day AM Base'!D130),2),ROUND(MinBase1AMDay*(1+ExpressFuelSurcharge),2),ROUND(((1-(OverNightDiscount_21_Up+FedExExrpessEarnedDiscount))*'1Day AM Base'!D130)*(1+ExpressFuelSurcharge),2)))*(1+FedEx_Markup),2)</f>
        <v>451.52</v>
      </c>
      <c r="E133" s="218">
        <f>ROUND((IF(MinBase1AMDay&gt;ROUND(((1-(OverNightDiscount_21_Up+FedExExrpessEarnedDiscount))*'1Day AM Base'!E130),2),ROUND(MinBase1AMDay*(1+ExpressFuelSurcharge),2),ROUND(((1-(OverNightDiscount_21_Up+FedExExrpessEarnedDiscount))*'1Day AM Base'!E130)*(1+ExpressFuelSurcharge),2)))*(1+FedEx_Markup),2)</f>
        <v>537.55999999999995</v>
      </c>
      <c r="F133" s="218">
        <f>ROUND((IF(MinBase1AMDay&gt;ROUND(((1-(OverNightDiscount_21_Up+FedExExrpessEarnedDiscount))*'1Day AM Base'!F130),2),ROUND(MinBase1AMDay*(1+ExpressFuelSurcharge),2),ROUND(((1-(OverNightDiscount_21_Up+FedExExrpessEarnedDiscount))*'1Day AM Base'!F130)*(1+ExpressFuelSurcharge),2)))*(1+FedEx_Markup),2)</f>
        <v>549.1</v>
      </c>
      <c r="G133" s="218">
        <f>ROUND((IF(MinBase1AMDay&gt;ROUND(((1-(OverNightDiscount_21_Up+FedExExrpessEarnedDiscount))*'1Day AM Base'!G130),2),ROUND(MinBase1AMDay*(1+ExpressFuelSurcharge),2),ROUND(((1-(OverNightDiscount_21_Up+FedExExrpessEarnedDiscount))*'1Day AM Base'!G130)*(1+ExpressFuelSurcharge),2)))*(1+FedEx_Markup),2)</f>
        <v>671.51</v>
      </c>
      <c r="H133" s="218">
        <f>ROUND((IF(MinBase1AMDay&gt;ROUND(((1-(OverNightDiscount_21_Up+FedExExrpessEarnedDiscount))*'1Day AM Base'!H130),2),ROUND(MinBase1AMDay*(1+ExpressFuelSurcharge),2),ROUND(((1-(OverNightDiscount_21_Up+FedExExrpessEarnedDiscount))*'1Day AM Base'!H130)*(1+ExpressFuelSurcharge),2)))*(1+FedEx_Markup),2)</f>
        <v>715.39</v>
      </c>
    </row>
    <row r="134" spans="1:8" ht="12.75" customHeight="1">
      <c r="A134" s="217">
        <v>129</v>
      </c>
      <c r="B134" s="218">
        <f>ROUND((IF(MinBase1AMDay&gt;ROUND(((1-(OverNightDiscount_21_Up+FedExExrpessEarnedDiscount))*'1Day AM Base'!B131),2),ROUND(MinBase1AMDay*(1+ExpressFuelSurcharge),2),ROUND(((1-(OverNightDiscount_21_Up+FedExExrpessEarnedDiscount))*'1Day AM Base'!B131)*(1+ExpressFuelSurcharge),2)))*(1+FedEx_Markup),2)</f>
        <v>179.23</v>
      </c>
      <c r="C134" s="218">
        <f>ROUND((IF(MinBase1AMDay&gt;ROUND(((1-(OverNightDiscount_21_Up+FedExExrpessEarnedDiscount))*'1Day AM Base'!C131),2),ROUND(MinBase1AMDay*(1+ExpressFuelSurcharge),2),ROUND(((1-(OverNightDiscount_21_Up+FedExExrpessEarnedDiscount))*'1Day AM Base'!C131)*(1+ExpressFuelSurcharge),2)))*(1+FedEx_Markup),2)</f>
        <v>250.22</v>
      </c>
      <c r="D134" s="218">
        <f>ROUND((IF(MinBase1AMDay&gt;ROUND(((1-(OverNightDiscount_21_Up+FedExExrpessEarnedDiscount))*'1Day AM Base'!D131),2),ROUND(MinBase1AMDay*(1+ExpressFuelSurcharge),2),ROUND(((1-(OverNightDiscount_21_Up+FedExExrpessEarnedDiscount))*'1Day AM Base'!D131)*(1+ExpressFuelSurcharge),2)))*(1+FedEx_Markup),2)</f>
        <v>455.04</v>
      </c>
      <c r="E134" s="218">
        <f>ROUND((IF(MinBase1AMDay&gt;ROUND(((1-(OverNightDiscount_21_Up+FedExExrpessEarnedDiscount))*'1Day AM Base'!E131),2),ROUND(MinBase1AMDay*(1+ExpressFuelSurcharge),2),ROUND(((1-(OverNightDiscount_21_Up+FedExExrpessEarnedDiscount))*'1Day AM Base'!E131)*(1+ExpressFuelSurcharge),2)))*(1+FedEx_Markup),2)</f>
        <v>541.75</v>
      </c>
      <c r="F134" s="218">
        <f>ROUND((IF(MinBase1AMDay&gt;ROUND(((1-(OverNightDiscount_21_Up+FedExExrpessEarnedDiscount))*'1Day AM Base'!F131),2),ROUND(MinBase1AMDay*(1+ExpressFuelSurcharge),2),ROUND(((1-(OverNightDiscount_21_Up+FedExExrpessEarnedDiscount))*'1Day AM Base'!F131)*(1+ExpressFuelSurcharge),2)))*(1+FedEx_Markup),2)</f>
        <v>553.39</v>
      </c>
      <c r="G134" s="218">
        <f>ROUND((IF(MinBase1AMDay&gt;ROUND(((1-(OverNightDiscount_21_Up+FedExExrpessEarnedDiscount))*'1Day AM Base'!G131),2),ROUND(MinBase1AMDay*(1+ExpressFuelSurcharge),2),ROUND(((1-(OverNightDiscount_21_Up+FedExExrpessEarnedDiscount))*'1Day AM Base'!G131)*(1+ExpressFuelSurcharge),2)))*(1+FedEx_Markup),2)</f>
        <v>676.75</v>
      </c>
      <c r="H134" s="218">
        <f>ROUND((IF(MinBase1AMDay&gt;ROUND(((1-(OverNightDiscount_21_Up+FedExExrpessEarnedDiscount))*'1Day AM Base'!H131),2),ROUND(MinBase1AMDay*(1+ExpressFuelSurcharge),2),ROUND(((1-(OverNightDiscount_21_Up+FedExExrpessEarnedDiscount))*'1Day AM Base'!H131)*(1+ExpressFuelSurcharge),2)))*(1+FedEx_Markup),2)</f>
        <v>720.98</v>
      </c>
    </row>
    <row r="135" spans="1:8" ht="12.75" customHeight="1">
      <c r="A135" s="217">
        <v>130</v>
      </c>
      <c r="B135" s="218">
        <f>ROUND((IF(MinBase1AMDay&gt;ROUND(((1-(OverNightDiscount_21_Up+FedExExrpessEarnedDiscount))*'1Day AM Base'!B132),2),ROUND(MinBase1AMDay*(1+ExpressFuelSurcharge),2),ROUND(((1-(OverNightDiscount_21_Up+FedExExrpessEarnedDiscount))*'1Day AM Base'!B132)*(1+ExpressFuelSurcharge),2)))*(1+FedEx_Markup),2)</f>
        <v>180.62</v>
      </c>
      <c r="C135" s="218">
        <f>ROUND((IF(MinBase1AMDay&gt;ROUND(((1-(OverNightDiscount_21_Up+FedExExrpessEarnedDiscount))*'1Day AM Base'!C132),2),ROUND(MinBase1AMDay*(1+ExpressFuelSurcharge),2),ROUND(((1-(OverNightDiscount_21_Up+FedExExrpessEarnedDiscount))*'1Day AM Base'!C132)*(1+ExpressFuelSurcharge),2)))*(1+FedEx_Markup),2)</f>
        <v>252.16</v>
      </c>
      <c r="D135" s="218">
        <f>ROUND((IF(MinBase1AMDay&gt;ROUND(((1-(OverNightDiscount_21_Up+FedExExrpessEarnedDiscount))*'1Day AM Base'!D132),2),ROUND(MinBase1AMDay*(1+ExpressFuelSurcharge),2),ROUND(((1-(OverNightDiscount_21_Up+FedExExrpessEarnedDiscount))*'1Day AM Base'!D132)*(1+ExpressFuelSurcharge),2)))*(1+FedEx_Markup),2)</f>
        <v>458.57</v>
      </c>
      <c r="E135" s="218">
        <f>ROUND((IF(MinBase1AMDay&gt;ROUND(((1-(OverNightDiscount_21_Up+FedExExrpessEarnedDiscount))*'1Day AM Base'!E132),2),ROUND(MinBase1AMDay*(1+ExpressFuelSurcharge),2),ROUND(((1-(OverNightDiscount_21_Up+FedExExrpessEarnedDiscount))*'1Day AM Base'!E132)*(1+ExpressFuelSurcharge),2)))*(1+FedEx_Markup),2)</f>
        <v>545.95000000000005</v>
      </c>
      <c r="F135" s="218">
        <f>ROUND((IF(MinBase1AMDay&gt;ROUND(((1-(OverNightDiscount_21_Up+FedExExrpessEarnedDiscount))*'1Day AM Base'!F132),2),ROUND(MinBase1AMDay*(1+ExpressFuelSurcharge),2),ROUND(((1-(OverNightDiscount_21_Up+FedExExrpessEarnedDiscount))*'1Day AM Base'!F132)*(1+ExpressFuelSurcharge),2)))*(1+FedEx_Markup),2)</f>
        <v>557.67999999999995</v>
      </c>
      <c r="G135" s="218">
        <f>ROUND((IF(MinBase1AMDay&gt;ROUND(((1-(OverNightDiscount_21_Up+FedExExrpessEarnedDiscount))*'1Day AM Base'!G132),2),ROUND(MinBase1AMDay*(1+ExpressFuelSurcharge),2),ROUND(((1-(OverNightDiscount_21_Up+FedExExrpessEarnedDiscount))*'1Day AM Base'!G132)*(1+ExpressFuelSurcharge),2)))*(1+FedEx_Markup),2)</f>
        <v>682</v>
      </c>
      <c r="H135" s="218">
        <f>ROUND((IF(MinBase1AMDay&gt;ROUND(((1-(OverNightDiscount_21_Up+FedExExrpessEarnedDiscount))*'1Day AM Base'!H132),2),ROUND(MinBase1AMDay*(1+ExpressFuelSurcharge),2),ROUND(((1-(OverNightDiscount_21_Up+FedExExrpessEarnedDiscount))*'1Day AM Base'!H132)*(1+ExpressFuelSurcharge),2)))*(1+FedEx_Markup),2)</f>
        <v>726.57</v>
      </c>
    </row>
    <row r="136" spans="1:8" ht="12.75" customHeight="1">
      <c r="A136" s="217">
        <v>131</v>
      </c>
      <c r="B136" s="218">
        <f>ROUND((IF(MinBase1AMDay&gt;ROUND(((1-(OverNightDiscount_21_Up+FedExExrpessEarnedDiscount))*'1Day AM Base'!B133),2),ROUND(MinBase1AMDay*(1+ExpressFuelSurcharge),2),ROUND(((1-(OverNightDiscount_21_Up+FedExExrpessEarnedDiscount))*'1Day AM Base'!B133)*(1+ExpressFuelSurcharge),2)))*(1+FedEx_Markup),2)</f>
        <v>182.01</v>
      </c>
      <c r="C136" s="218">
        <f>ROUND((IF(MinBase1AMDay&gt;ROUND(((1-(OverNightDiscount_21_Up+FedExExrpessEarnedDiscount))*'1Day AM Base'!C133),2),ROUND(MinBase1AMDay*(1+ExpressFuelSurcharge),2),ROUND(((1-(OverNightDiscount_21_Up+FedExExrpessEarnedDiscount))*'1Day AM Base'!C133)*(1+ExpressFuelSurcharge),2)))*(1+FedEx_Markup),2)</f>
        <v>254.09</v>
      </c>
      <c r="D136" s="218">
        <f>ROUND((IF(MinBase1AMDay&gt;ROUND(((1-(OverNightDiscount_21_Up+FedExExrpessEarnedDiscount))*'1Day AM Base'!D133),2),ROUND(MinBase1AMDay*(1+ExpressFuelSurcharge),2),ROUND(((1-(OverNightDiscount_21_Up+FedExExrpessEarnedDiscount))*'1Day AM Base'!D133)*(1+ExpressFuelSurcharge),2)))*(1+FedEx_Markup),2)</f>
        <v>462.1</v>
      </c>
      <c r="E136" s="218">
        <f>ROUND((IF(MinBase1AMDay&gt;ROUND(((1-(OverNightDiscount_21_Up+FedExExrpessEarnedDiscount))*'1Day AM Base'!E133),2),ROUND(MinBase1AMDay*(1+ExpressFuelSurcharge),2),ROUND(((1-(OverNightDiscount_21_Up+FedExExrpessEarnedDiscount))*'1Day AM Base'!E133)*(1+ExpressFuelSurcharge),2)))*(1+FedEx_Markup),2)</f>
        <v>550.15</v>
      </c>
      <c r="F136" s="218">
        <f>ROUND((IF(MinBase1AMDay&gt;ROUND(((1-(OverNightDiscount_21_Up+FedExExrpessEarnedDiscount))*'1Day AM Base'!F133),2),ROUND(MinBase1AMDay*(1+ExpressFuelSurcharge),2),ROUND(((1-(OverNightDiscount_21_Up+FedExExrpessEarnedDiscount))*'1Day AM Base'!F133)*(1+ExpressFuelSurcharge),2)))*(1+FedEx_Markup),2)</f>
        <v>561.97</v>
      </c>
      <c r="G136" s="218">
        <f>ROUND((IF(MinBase1AMDay&gt;ROUND(((1-(OverNightDiscount_21_Up+FedExExrpessEarnedDiscount))*'1Day AM Base'!G133),2),ROUND(MinBase1AMDay*(1+ExpressFuelSurcharge),2),ROUND(((1-(OverNightDiscount_21_Up+FedExExrpessEarnedDiscount))*'1Day AM Base'!G133)*(1+ExpressFuelSurcharge),2)))*(1+FedEx_Markup),2)</f>
        <v>687.24</v>
      </c>
      <c r="H136" s="218">
        <f>ROUND((IF(MinBase1AMDay&gt;ROUND(((1-(OverNightDiscount_21_Up+FedExExrpessEarnedDiscount))*'1Day AM Base'!H133),2),ROUND(MinBase1AMDay*(1+ExpressFuelSurcharge),2),ROUND(((1-(OverNightDiscount_21_Up+FedExExrpessEarnedDiscount))*'1Day AM Base'!H133)*(1+ExpressFuelSurcharge),2)))*(1+FedEx_Markup),2)</f>
        <v>732.16</v>
      </c>
    </row>
    <row r="137" spans="1:8" ht="12.75" customHeight="1">
      <c r="A137" s="217">
        <v>132</v>
      </c>
      <c r="B137" s="218">
        <f>ROUND((IF(MinBase1AMDay&gt;ROUND(((1-(OverNightDiscount_21_Up+FedExExrpessEarnedDiscount))*'1Day AM Base'!B134),2),ROUND(MinBase1AMDay*(1+ExpressFuelSurcharge),2),ROUND(((1-(OverNightDiscount_21_Up+FedExExrpessEarnedDiscount))*'1Day AM Base'!B134)*(1+ExpressFuelSurcharge),2)))*(1+FedEx_Markup),2)</f>
        <v>183.39</v>
      </c>
      <c r="C137" s="218">
        <f>ROUND((IF(MinBase1AMDay&gt;ROUND(((1-(OverNightDiscount_21_Up+FedExExrpessEarnedDiscount))*'1Day AM Base'!C134),2),ROUND(MinBase1AMDay*(1+ExpressFuelSurcharge),2),ROUND(((1-(OverNightDiscount_21_Up+FedExExrpessEarnedDiscount))*'1Day AM Base'!C134)*(1+ExpressFuelSurcharge),2)))*(1+FedEx_Markup),2)</f>
        <v>256.04000000000002</v>
      </c>
      <c r="D137" s="218">
        <f>ROUND((IF(MinBase1AMDay&gt;ROUND(((1-(OverNightDiscount_21_Up+FedExExrpessEarnedDiscount))*'1Day AM Base'!D134),2),ROUND(MinBase1AMDay*(1+ExpressFuelSurcharge),2),ROUND(((1-(OverNightDiscount_21_Up+FedExExrpessEarnedDiscount))*'1Day AM Base'!D134)*(1+ExpressFuelSurcharge),2)))*(1+FedEx_Markup),2)</f>
        <v>465.64</v>
      </c>
      <c r="E137" s="218">
        <f>ROUND((IF(MinBase1AMDay&gt;ROUND(((1-(OverNightDiscount_21_Up+FedExExrpessEarnedDiscount))*'1Day AM Base'!E134),2),ROUND(MinBase1AMDay*(1+ExpressFuelSurcharge),2),ROUND(((1-(OverNightDiscount_21_Up+FedExExrpessEarnedDiscount))*'1Day AM Base'!E134)*(1+ExpressFuelSurcharge),2)))*(1+FedEx_Markup),2)</f>
        <v>554.35</v>
      </c>
      <c r="F137" s="218">
        <f>ROUND((IF(MinBase1AMDay&gt;ROUND(((1-(OverNightDiscount_21_Up+FedExExrpessEarnedDiscount))*'1Day AM Base'!F134),2),ROUND(MinBase1AMDay*(1+ExpressFuelSurcharge),2),ROUND(((1-(OverNightDiscount_21_Up+FedExExrpessEarnedDiscount))*'1Day AM Base'!F134)*(1+ExpressFuelSurcharge),2)))*(1+FedEx_Markup),2)</f>
        <v>566.26</v>
      </c>
      <c r="G137" s="218">
        <f>ROUND((IF(MinBase1AMDay&gt;ROUND(((1-(OverNightDiscount_21_Up+FedExExrpessEarnedDiscount))*'1Day AM Base'!G134),2),ROUND(MinBase1AMDay*(1+ExpressFuelSurcharge),2),ROUND(((1-(OverNightDiscount_21_Up+FedExExrpessEarnedDiscount))*'1Day AM Base'!G134)*(1+ExpressFuelSurcharge),2)))*(1+FedEx_Markup),2)</f>
        <v>692.5</v>
      </c>
      <c r="H137" s="218">
        <f>ROUND((IF(MinBase1AMDay&gt;ROUND(((1-(OverNightDiscount_21_Up+FedExExrpessEarnedDiscount))*'1Day AM Base'!H134),2),ROUND(MinBase1AMDay*(1+ExpressFuelSurcharge),2),ROUND(((1-(OverNightDiscount_21_Up+FedExExrpessEarnedDiscount))*'1Day AM Base'!H134)*(1+ExpressFuelSurcharge),2)))*(1+FedEx_Markup),2)</f>
        <v>737.75</v>
      </c>
    </row>
    <row r="138" spans="1:8" ht="12.75" customHeight="1">
      <c r="A138" s="217">
        <v>133</v>
      </c>
      <c r="B138" s="218">
        <f>ROUND((IF(MinBase1AMDay&gt;ROUND(((1-(OverNightDiscount_21_Up+FedExExrpessEarnedDiscount))*'1Day AM Base'!B135),2),ROUND(MinBase1AMDay*(1+ExpressFuelSurcharge),2),ROUND(((1-(OverNightDiscount_21_Up+FedExExrpessEarnedDiscount))*'1Day AM Base'!B135)*(1+ExpressFuelSurcharge),2)))*(1+FedEx_Markup),2)</f>
        <v>184.78</v>
      </c>
      <c r="C138" s="218">
        <f>ROUND((IF(MinBase1AMDay&gt;ROUND(((1-(OverNightDiscount_21_Up+FedExExrpessEarnedDiscount))*'1Day AM Base'!C135),2),ROUND(MinBase1AMDay*(1+ExpressFuelSurcharge),2),ROUND(((1-(OverNightDiscount_21_Up+FedExExrpessEarnedDiscount))*'1Day AM Base'!C135)*(1+ExpressFuelSurcharge),2)))*(1+FedEx_Markup),2)</f>
        <v>257.98</v>
      </c>
      <c r="D138" s="218">
        <f>ROUND((IF(MinBase1AMDay&gt;ROUND(((1-(OverNightDiscount_21_Up+FedExExrpessEarnedDiscount))*'1Day AM Base'!D135),2),ROUND(MinBase1AMDay*(1+ExpressFuelSurcharge),2),ROUND(((1-(OverNightDiscount_21_Up+FedExExrpessEarnedDiscount))*'1Day AM Base'!D135)*(1+ExpressFuelSurcharge),2)))*(1+FedEx_Markup),2)</f>
        <v>469.15</v>
      </c>
      <c r="E138" s="218">
        <f>ROUND((IF(MinBase1AMDay&gt;ROUND(((1-(OverNightDiscount_21_Up+FedExExrpessEarnedDiscount))*'1Day AM Base'!E135),2),ROUND(MinBase1AMDay*(1+ExpressFuelSurcharge),2),ROUND(((1-(OverNightDiscount_21_Up+FedExExrpessEarnedDiscount))*'1Day AM Base'!E135)*(1+ExpressFuelSurcharge),2)))*(1+FedEx_Markup),2)</f>
        <v>558.55999999999995</v>
      </c>
      <c r="F138" s="218">
        <f>ROUND((IF(MinBase1AMDay&gt;ROUND(((1-(OverNightDiscount_21_Up+FedExExrpessEarnedDiscount))*'1Day AM Base'!F135),2),ROUND(MinBase1AMDay*(1+ExpressFuelSurcharge),2),ROUND(((1-(OverNightDiscount_21_Up+FedExExrpessEarnedDiscount))*'1Day AM Base'!F135)*(1+ExpressFuelSurcharge),2)))*(1+FedEx_Markup),2)</f>
        <v>570.54999999999995</v>
      </c>
      <c r="G138" s="218">
        <f>ROUND((IF(MinBase1AMDay&gt;ROUND(((1-(OverNightDiscount_21_Up+FedExExrpessEarnedDiscount))*'1Day AM Base'!G135),2),ROUND(MinBase1AMDay*(1+ExpressFuelSurcharge),2),ROUND(((1-(OverNightDiscount_21_Up+FedExExrpessEarnedDiscount))*'1Day AM Base'!G135)*(1+ExpressFuelSurcharge),2)))*(1+FedEx_Markup),2)</f>
        <v>697.74</v>
      </c>
      <c r="H138" s="218">
        <f>ROUND((IF(MinBase1AMDay&gt;ROUND(((1-(OverNightDiscount_21_Up+FedExExrpessEarnedDiscount))*'1Day AM Base'!H135),2),ROUND(MinBase1AMDay*(1+ExpressFuelSurcharge),2),ROUND(((1-(OverNightDiscount_21_Up+FedExExrpessEarnedDiscount))*'1Day AM Base'!H135)*(1+ExpressFuelSurcharge),2)))*(1+FedEx_Markup),2)</f>
        <v>743.34</v>
      </c>
    </row>
    <row r="139" spans="1:8" ht="12.75" customHeight="1">
      <c r="A139" s="217">
        <v>134</v>
      </c>
      <c r="B139" s="218">
        <f>ROUND((IF(MinBase1AMDay&gt;ROUND(((1-(OverNightDiscount_21_Up+FedExExrpessEarnedDiscount))*'1Day AM Base'!B136),2),ROUND(MinBase1AMDay*(1+ExpressFuelSurcharge),2),ROUND(((1-(OverNightDiscount_21_Up+FedExExrpessEarnedDiscount))*'1Day AM Base'!B136)*(1+ExpressFuelSurcharge),2)))*(1+FedEx_Markup),2)</f>
        <v>186.17</v>
      </c>
      <c r="C139" s="218">
        <f>ROUND((IF(MinBase1AMDay&gt;ROUND(((1-(OverNightDiscount_21_Up+FedExExrpessEarnedDiscount))*'1Day AM Base'!C136),2),ROUND(MinBase1AMDay*(1+ExpressFuelSurcharge),2),ROUND(((1-(OverNightDiscount_21_Up+FedExExrpessEarnedDiscount))*'1Day AM Base'!C136)*(1+ExpressFuelSurcharge),2)))*(1+FedEx_Markup),2)</f>
        <v>259.91000000000003</v>
      </c>
      <c r="D139" s="218">
        <f>ROUND((IF(MinBase1AMDay&gt;ROUND(((1-(OverNightDiscount_21_Up+FedExExrpessEarnedDiscount))*'1Day AM Base'!D136),2),ROUND(MinBase1AMDay*(1+ExpressFuelSurcharge),2),ROUND(((1-(OverNightDiscount_21_Up+FedExExrpessEarnedDiscount))*'1Day AM Base'!D136)*(1+ExpressFuelSurcharge),2)))*(1+FedEx_Markup),2)</f>
        <v>472.68</v>
      </c>
      <c r="E139" s="218">
        <f>ROUND((IF(MinBase1AMDay&gt;ROUND(((1-(OverNightDiscount_21_Up+FedExExrpessEarnedDiscount))*'1Day AM Base'!E136),2),ROUND(MinBase1AMDay*(1+ExpressFuelSurcharge),2),ROUND(((1-(OverNightDiscount_21_Up+FedExExrpessEarnedDiscount))*'1Day AM Base'!E136)*(1+ExpressFuelSurcharge),2)))*(1+FedEx_Markup),2)</f>
        <v>562.75</v>
      </c>
      <c r="F139" s="218">
        <f>ROUND((IF(MinBase1AMDay&gt;ROUND(((1-(OverNightDiscount_21_Up+FedExExrpessEarnedDiscount))*'1Day AM Base'!F136),2),ROUND(MinBase1AMDay*(1+ExpressFuelSurcharge),2),ROUND(((1-(OverNightDiscount_21_Up+FedExExrpessEarnedDiscount))*'1Day AM Base'!F136)*(1+ExpressFuelSurcharge),2)))*(1+FedEx_Markup),2)</f>
        <v>574.84</v>
      </c>
      <c r="G139" s="218">
        <f>ROUND((IF(MinBase1AMDay&gt;ROUND(((1-(OverNightDiscount_21_Up+FedExExrpessEarnedDiscount))*'1Day AM Base'!G136),2),ROUND(MinBase1AMDay*(1+ExpressFuelSurcharge),2),ROUND(((1-(OverNightDiscount_21_Up+FedExExrpessEarnedDiscount))*'1Day AM Base'!G136)*(1+ExpressFuelSurcharge),2)))*(1+FedEx_Markup),2)</f>
        <v>702.98</v>
      </c>
      <c r="H139" s="218">
        <f>ROUND((IF(MinBase1AMDay&gt;ROUND(((1-(OverNightDiscount_21_Up+FedExExrpessEarnedDiscount))*'1Day AM Base'!H136),2),ROUND(MinBase1AMDay*(1+ExpressFuelSurcharge),2),ROUND(((1-(OverNightDiscount_21_Up+FedExExrpessEarnedDiscount))*'1Day AM Base'!H136)*(1+ExpressFuelSurcharge),2)))*(1+FedEx_Markup),2)</f>
        <v>748.93</v>
      </c>
    </row>
    <row r="140" spans="1:8" ht="12.75" customHeight="1">
      <c r="A140" s="217">
        <v>135</v>
      </c>
      <c r="B140" s="218">
        <f>ROUND((IF(MinBase1AMDay&gt;ROUND(((1-(OverNightDiscount_21_Up+FedExExrpessEarnedDiscount))*'1Day AM Base'!B137),2),ROUND(MinBase1AMDay*(1+ExpressFuelSurcharge),2),ROUND(((1-(OverNightDiscount_21_Up+FedExExrpessEarnedDiscount))*'1Day AM Base'!B137)*(1+ExpressFuelSurcharge),2)))*(1+FedEx_Markup),2)</f>
        <v>187.57</v>
      </c>
      <c r="C140" s="218">
        <f>ROUND((IF(MinBase1AMDay&gt;ROUND(((1-(OverNightDiscount_21_Up+FedExExrpessEarnedDiscount))*'1Day AM Base'!C137),2),ROUND(MinBase1AMDay*(1+ExpressFuelSurcharge),2),ROUND(((1-(OverNightDiscount_21_Up+FedExExrpessEarnedDiscount))*'1Day AM Base'!C137)*(1+ExpressFuelSurcharge),2)))*(1+FedEx_Markup),2)</f>
        <v>261.86</v>
      </c>
      <c r="D140" s="218">
        <f>ROUND((IF(MinBase1AMDay&gt;ROUND(((1-(OverNightDiscount_21_Up+FedExExrpessEarnedDiscount))*'1Day AM Base'!D137),2),ROUND(MinBase1AMDay*(1+ExpressFuelSurcharge),2),ROUND(((1-(OverNightDiscount_21_Up+FedExExrpessEarnedDiscount))*'1Day AM Base'!D137)*(1+ExpressFuelSurcharge),2)))*(1+FedEx_Markup),2)</f>
        <v>476.22</v>
      </c>
      <c r="E140" s="218">
        <f>ROUND((IF(MinBase1AMDay&gt;ROUND(((1-(OverNightDiscount_21_Up+FedExExrpessEarnedDiscount))*'1Day AM Base'!E137),2),ROUND(MinBase1AMDay*(1+ExpressFuelSurcharge),2),ROUND(((1-(OverNightDiscount_21_Up+FedExExrpessEarnedDiscount))*'1Day AM Base'!E137)*(1+ExpressFuelSurcharge),2)))*(1+FedEx_Markup),2)</f>
        <v>566.95000000000005</v>
      </c>
      <c r="F140" s="218">
        <f>ROUND((IF(MinBase1AMDay&gt;ROUND(((1-(OverNightDiscount_21_Up+FedExExrpessEarnedDiscount))*'1Day AM Base'!F137),2),ROUND(MinBase1AMDay*(1+ExpressFuelSurcharge),2),ROUND(((1-(OverNightDiscount_21_Up+FedExExrpessEarnedDiscount))*'1Day AM Base'!F137)*(1+ExpressFuelSurcharge),2)))*(1+FedEx_Markup),2)</f>
        <v>579.13</v>
      </c>
      <c r="G140" s="218">
        <f>ROUND((IF(MinBase1AMDay&gt;ROUND(((1-(OverNightDiscount_21_Up+FedExExrpessEarnedDiscount))*'1Day AM Base'!G137),2),ROUND(MinBase1AMDay*(1+ExpressFuelSurcharge),2),ROUND(((1-(OverNightDiscount_21_Up+FedExExrpessEarnedDiscount))*'1Day AM Base'!G137)*(1+ExpressFuelSurcharge),2)))*(1+FedEx_Markup),2)</f>
        <v>708.23</v>
      </c>
      <c r="H140" s="218">
        <f>ROUND((IF(MinBase1AMDay&gt;ROUND(((1-(OverNightDiscount_21_Up+FedExExrpessEarnedDiscount))*'1Day AM Base'!H137),2),ROUND(MinBase1AMDay*(1+ExpressFuelSurcharge),2),ROUND(((1-(OverNightDiscount_21_Up+FedExExrpessEarnedDiscount))*'1Day AM Base'!H137)*(1+ExpressFuelSurcharge),2)))*(1+FedEx_Markup),2)</f>
        <v>754.52</v>
      </c>
    </row>
    <row r="141" spans="1:8" ht="12.75" customHeight="1">
      <c r="A141" s="217">
        <v>136</v>
      </c>
      <c r="B141" s="218">
        <f>ROUND((IF(MinBase1AMDay&gt;ROUND(((1-(OverNightDiscount_21_Up+FedExExrpessEarnedDiscount))*'1Day AM Base'!B138),2),ROUND(MinBase1AMDay*(1+ExpressFuelSurcharge),2),ROUND(((1-(OverNightDiscount_21_Up+FedExExrpessEarnedDiscount))*'1Day AM Base'!B138)*(1+ExpressFuelSurcharge),2)))*(1+FedEx_Markup),2)</f>
        <v>188.96</v>
      </c>
      <c r="C141" s="218">
        <f>ROUND((IF(MinBase1AMDay&gt;ROUND(((1-(OverNightDiscount_21_Up+FedExExrpessEarnedDiscount))*'1Day AM Base'!C138),2),ROUND(MinBase1AMDay*(1+ExpressFuelSurcharge),2),ROUND(((1-(OverNightDiscount_21_Up+FedExExrpessEarnedDiscount))*'1Day AM Base'!C138)*(1+ExpressFuelSurcharge),2)))*(1+FedEx_Markup),2)</f>
        <v>263.8</v>
      </c>
      <c r="D141" s="218">
        <f>ROUND((IF(MinBase1AMDay&gt;ROUND(((1-(OverNightDiscount_21_Up+FedExExrpessEarnedDiscount))*'1Day AM Base'!D138),2),ROUND(MinBase1AMDay*(1+ExpressFuelSurcharge),2),ROUND(((1-(OverNightDiscount_21_Up+FedExExrpessEarnedDiscount))*'1Day AM Base'!D138)*(1+ExpressFuelSurcharge),2)))*(1+FedEx_Markup),2)</f>
        <v>479.75</v>
      </c>
      <c r="E141" s="218">
        <f>ROUND((IF(MinBase1AMDay&gt;ROUND(((1-(OverNightDiscount_21_Up+FedExExrpessEarnedDiscount))*'1Day AM Base'!E138),2),ROUND(MinBase1AMDay*(1+ExpressFuelSurcharge),2),ROUND(((1-(OverNightDiscount_21_Up+FedExExrpessEarnedDiscount))*'1Day AM Base'!E138)*(1+ExpressFuelSurcharge),2)))*(1+FedEx_Markup),2)</f>
        <v>571.15</v>
      </c>
      <c r="F141" s="218">
        <f>ROUND((IF(MinBase1AMDay&gt;ROUND(((1-(OverNightDiscount_21_Up+FedExExrpessEarnedDiscount))*'1Day AM Base'!F138),2),ROUND(MinBase1AMDay*(1+ExpressFuelSurcharge),2),ROUND(((1-(OverNightDiscount_21_Up+FedExExrpessEarnedDiscount))*'1Day AM Base'!F138)*(1+ExpressFuelSurcharge),2)))*(1+FedEx_Markup),2)</f>
        <v>583.41999999999996</v>
      </c>
      <c r="G141" s="218">
        <f>ROUND((IF(MinBase1AMDay&gt;ROUND(((1-(OverNightDiscount_21_Up+FedExExrpessEarnedDiscount))*'1Day AM Base'!G138),2),ROUND(MinBase1AMDay*(1+ExpressFuelSurcharge),2),ROUND(((1-(OverNightDiscount_21_Up+FedExExrpessEarnedDiscount))*'1Day AM Base'!G138)*(1+ExpressFuelSurcharge),2)))*(1+FedEx_Markup),2)</f>
        <v>713.47</v>
      </c>
      <c r="H141" s="218">
        <f>ROUND((IF(MinBase1AMDay&gt;ROUND(((1-(OverNightDiscount_21_Up+FedExExrpessEarnedDiscount))*'1Day AM Base'!H138),2),ROUND(MinBase1AMDay*(1+ExpressFuelSurcharge),2),ROUND(((1-(OverNightDiscount_21_Up+FedExExrpessEarnedDiscount))*'1Day AM Base'!H138)*(1+ExpressFuelSurcharge),2)))*(1+FedEx_Markup),2)</f>
        <v>760.1</v>
      </c>
    </row>
    <row r="142" spans="1:8" ht="12.75" customHeight="1">
      <c r="A142" s="217">
        <v>137</v>
      </c>
      <c r="B142" s="218">
        <f>ROUND((IF(MinBase1AMDay&gt;ROUND(((1-(OverNightDiscount_21_Up+FedExExrpessEarnedDiscount))*'1Day AM Base'!B139),2),ROUND(MinBase1AMDay*(1+ExpressFuelSurcharge),2),ROUND(((1-(OverNightDiscount_21_Up+FedExExrpessEarnedDiscount))*'1Day AM Base'!B139)*(1+ExpressFuelSurcharge),2)))*(1+FedEx_Markup),2)</f>
        <v>190.34</v>
      </c>
      <c r="C142" s="218">
        <f>ROUND((IF(MinBase1AMDay&gt;ROUND(((1-(OverNightDiscount_21_Up+FedExExrpessEarnedDiscount))*'1Day AM Base'!C139),2),ROUND(MinBase1AMDay*(1+ExpressFuelSurcharge),2),ROUND(((1-(OverNightDiscount_21_Up+FedExExrpessEarnedDiscount))*'1Day AM Base'!C139)*(1+ExpressFuelSurcharge),2)))*(1+FedEx_Markup),2)</f>
        <v>265.73</v>
      </c>
      <c r="D142" s="218">
        <f>ROUND((IF(MinBase1AMDay&gt;ROUND(((1-(OverNightDiscount_21_Up+FedExExrpessEarnedDiscount))*'1Day AM Base'!D139),2),ROUND(MinBase1AMDay*(1+ExpressFuelSurcharge),2),ROUND(((1-(OverNightDiscount_21_Up+FedExExrpessEarnedDiscount))*'1Day AM Base'!D139)*(1+ExpressFuelSurcharge),2)))*(1+FedEx_Markup),2)</f>
        <v>483.26</v>
      </c>
      <c r="E142" s="218">
        <f>ROUND((IF(MinBase1AMDay&gt;ROUND(((1-(OverNightDiscount_21_Up+FedExExrpessEarnedDiscount))*'1Day AM Base'!E139),2),ROUND(MinBase1AMDay*(1+ExpressFuelSurcharge),2),ROUND(((1-(OverNightDiscount_21_Up+FedExExrpessEarnedDiscount))*'1Day AM Base'!E139)*(1+ExpressFuelSurcharge),2)))*(1+FedEx_Markup),2)</f>
        <v>575.35</v>
      </c>
      <c r="F142" s="218">
        <f>ROUND((IF(MinBase1AMDay&gt;ROUND(((1-(OverNightDiscount_21_Up+FedExExrpessEarnedDiscount))*'1Day AM Base'!F139),2),ROUND(MinBase1AMDay*(1+ExpressFuelSurcharge),2),ROUND(((1-(OverNightDiscount_21_Up+FedExExrpessEarnedDiscount))*'1Day AM Base'!F139)*(1+ExpressFuelSurcharge),2)))*(1+FedEx_Markup),2)</f>
        <v>587.71</v>
      </c>
      <c r="G142" s="218">
        <f>ROUND((IF(MinBase1AMDay&gt;ROUND(((1-(OverNightDiscount_21_Up+FedExExrpessEarnedDiscount))*'1Day AM Base'!G139),2),ROUND(MinBase1AMDay*(1+ExpressFuelSurcharge),2),ROUND(((1-(OverNightDiscount_21_Up+FedExExrpessEarnedDiscount))*'1Day AM Base'!G139)*(1+ExpressFuelSurcharge),2)))*(1+FedEx_Markup),2)</f>
        <v>718.73</v>
      </c>
      <c r="H142" s="218">
        <f>ROUND((IF(MinBase1AMDay&gt;ROUND(((1-(OverNightDiscount_21_Up+FedExExrpessEarnedDiscount))*'1Day AM Base'!H139),2),ROUND(MinBase1AMDay*(1+ExpressFuelSurcharge),2),ROUND(((1-(OverNightDiscount_21_Up+FedExExrpessEarnedDiscount))*'1Day AM Base'!H139)*(1+ExpressFuelSurcharge),2)))*(1+FedEx_Markup),2)</f>
        <v>765.69</v>
      </c>
    </row>
    <row r="143" spans="1:8" ht="12.75" customHeight="1">
      <c r="A143" s="217">
        <v>138</v>
      </c>
      <c r="B143" s="218">
        <f>ROUND((IF(MinBase1AMDay&gt;ROUND(((1-(OverNightDiscount_21_Up+FedExExrpessEarnedDiscount))*'1Day AM Base'!B140),2),ROUND(MinBase1AMDay*(1+ExpressFuelSurcharge),2),ROUND(((1-(OverNightDiscount_21_Up+FedExExrpessEarnedDiscount))*'1Day AM Base'!B140)*(1+ExpressFuelSurcharge),2)))*(1+FedEx_Markup),2)</f>
        <v>191.73</v>
      </c>
      <c r="C143" s="218">
        <f>ROUND((IF(MinBase1AMDay&gt;ROUND(((1-(OverNightDiscount_21_Up+FedExExrpessEarnedDiscount))*'1Day AM Base'!C140),2),ROUND(MinBase1AMDay*(1+ExpressFuelSurcharge),2),ROUND(((1-(OverNightDiscount_21_Up+FedExExrpessEarnedDiscount))*'1Day AM Base'!C140)*(1+ExpressFuelSurcharge),2)))*(1+FedEx_Markup),2)</f>
        <v>267.67</v>
      </c>
      <c r="D143" s="218">
        <f>ROUND((IF(MinBase1AMDay&gt;ROUND(((1-(OverNightDiscount_21_Up+FedExExrpessEarnedDiscount))*'1Day AM Base'!D140),2),ROUND(MinBase1AMDay*(1+ExpressFuelSurcharge),2),ROUND(((1-(OverNightDiscount_21_Up+FedExExrpessEarnedDiscount))*'1Day AM Base'!D140)*(1+ExpressFuelSurcharge),2)))*(1+FedEx_Markup),2)</f>
        <v>486.8</v>
      </c>
      <c r="E143" s="218">
        <f>ROUND((IF(MinBase1AMDay&gt;ROUND(((1-(OverNightDiscount_21_Up+FedExExrpessEarnedDiscount))*'1Day AM Base'!E140),2),ROUND(MinBase1AMDay*(1+ExpressFuelSurcharge),2),ROUND(((1-(OverNightDiscount_21_Up+FedExExrpessEarnedDiscount))*'1Day AM Base'!E140)*(1+ExpressFuelSurcharge),2)))*(1+FedEx_Markup),2)</f>
        <v>579.54</v>
      </c>
      <c r="F143" s="218">
        <f>ROUND((IF(MinBase1AMDay&gt;ROUND(((1-(OverNightDiscount_21_Up+FedExExrpessEarnedDiscount))*'1Day AM Base'!F140),2),ROUND(MinBase1AMDay*(1+ExpressFuelSurcharge),2),ROUND(((1-(OverNightDiscount_21_Up+FedExExrpessEarnedDiscount))*'1Day AM Base'!F140)*(1+ExpressFuelSurcharge),2)))*(1+FedEx_Markup),2)</f>
        <v>592</v>
      </c>
      <c r="G143" s="218">
        <f>ROUND((IF(MinBase1AMDay&gt;ROUND(((1-(OverNightDiscount_21_Up+FedExExrpessEarnedDiscount))*'1Day AM Base'!G140),2),ROUND(MinBase1AMDay*(1+ExpressFuelSurcharge),2),ROUND(((1-(OverNightDiscount_21_Up+FedExExrpessEarnedDiscount))*'1Day AM Base'!G140)*(1+ExpressFuelSurcharge),2)))*(1+FedEx_Markup),2)</f>
        <v>723.97</v>
      </c>
      <c r="H143" s="218">
        <f>ROUND((IF(MinBase1AMDay&gt;ROUND(((1-(OverNightDiscount_21_Up+FedExExrpessEarnedDiscount))*'1Day AM Base'!H140),2),ROUND(MinBase1AMDay*(1+ExpressFuelSurcharge),2),ROUND(((1-(OverNightDiscount_21_Up+FedExExrpessEarnedDiscount))*'1Day AM Base'!H140)*(1+ExpressFuelSurcharge),2)))*(1+FedEx_Markup),2)</f>
        <v>771.28</v>
      </c>
    </row>
    <row r="144" spans="1:8" ht="12.75" customHeight="1">
      <c r="A144" s="217">
        <v>139</v>
      </c>
      <c r="B144" s="218">
        <f>ROUND((IF(MinBase1AMDay&gt;ROUND(((1-(OverNightDiscount_21_Up+FedExExrpessEarnedDiscount))*'1Day AM Base'!B141),2),ROUND(MinBase1AMDay*(1+ExpressFuelSurcharge),2),ROUND(((1-(OverNightDiscount_21_Up+FedExExrpessEarnedDiscount))*'1Day AM Base'!B141)*(1+ExpressFuelSurcharge),2)))*(1+FedEx_Markup),2)</f>
        <v>193.12</v>
      </c>
      <c r="C144" s="218">
        <f>ROUND((IF(MinBase1AMDay&gt;ROUND(((1-(OverNightDiscount_21_Up+FedExExrpessEarnedDiscount))*'1Day AM Base'!C141),2),ROUND(MinBase1AMDay*(1+ExpressFuelSurcharge),2),ROUND(((1-(OverNightDiscount_21_Up+FedExExrpessEarnedDiscount))*'1Day AM Base'!C141)*(1+ExpressFuelSurcharge),2)))*(1+FedEx_Markup),2)</f>
        <v>269.62</v>
      </c>
      <c r="D144" s="218">
        <f>ROUND((IF(MinBase1AMDay&gt;ROUND(((1-(OverNightDiscount_21_Up+FedExExrpessEarnedDiscount))*'1Day AM Base'!D141),2),ROUND(MinBase1AMDay*(1+ExpressFuelSurcharge),2),ROUND(((1-(OverNightDiscount_21_Up+FedExExrpessEarnedDiscount))*'1Day AM Base'!D141)*(1+ExpressFuelSurcharge),2)))*(1+FedEx_Markup),2)</f>
        <v>490.33</v>
      </c>
      <c r="E144" s="218">
        <f>ROUND((IF(MinBase1AMDay&gt;ROUND(((1-(OverNightDiscount_21_Up+FedExExrpessEarnedDiscount))*'1Day AM Base'!E141),2),ROUND(MinBase1AMDay*(1+ExpressFuelSurcharge),2),ROUND(((1-(OverNightDiscount_21_Up+FedExExrpessEarnedDiscount))*'1Day AM Base'!E141)*(1+ExpressFuelSurcharge),2)))*(1+FedEx_Markup),2)</f>
        <v>583.75</v>
      </c>
      <c r="F144" s="218">
        <f>ROUND((IF(MinBase1AMDay&gt;ROUND(((1-(OverNightDiscount_21_Up+FedExExrpessEarnedDiscount))*'1Day AM Base'!F141),2),ROUND(MinBase1AMDay*(1+ExpressFuelSurcharge),2),ROUND(((1-(OverNightDiscount_21_Up+FedExExrpessEarnedDiscount))*'1Day AM Base'!F141)*(1+ExpressFuelSurcharge),2)))*(1+FedEx_Markup),2)</f>
        <v>596.29</v>
      </c>
      <c r="G144" s="218">
        <f>ROUND((IF(MinBase1AMDay&gt;ROUND(((1-(OverNightDiscount_21_Up+FedExExrpessEarnedDiscount))*'1Day AM Base'!G141),2),ROUND(MinBase1AMDay*(1+ExpressFuelSurcharge),2),ROUND(((1-(OverNightDiscount_21_Up+FedExExrpessEarnedDiscount))*'1Day AM Base'!G141)*(1+ExpressFuelSurcharge),2)))*(1+FedEx_Markup),2)</f>
        <v>729.22</v>
      </c>
      <c r="H144" s="218">
        <f>ROUND((IF(MinBase1AMDay&gt;ROUND(((1-(OverNightDiscount_21_Up+FedExExrpessEarnedDiscount))*'1Day AM Base'!H141),2),ROUND(MinBase1AMDay*(1+ExpressFuelSurcharge),2),ROUND(((1-(OverNightDiscount_21_Up+FedExExrpessEarnedDiscount))*'1Day AM Base'!H141)*(1+ExpressFuelSurcharge),2)))*(1+FedEx_Markup),2)</f>
        <v>776.87</v>
      </c>
    </row>
    <row r="145" spans="1:8" ht="12.75" customHeight="1">
      <c r="A145" s="217">
        <v>140</v>
      </c>
      <c r="B145" s="218">
        <f>ROUND((IF(MinBase1AMDay&gt;ROUND(((1-(OverNightDiscount_21_Up+FedExExrpessEarnedDiscount))*'1Day AM Base'!B142),2),ROUND(MinBase1AMDay*(1+ExpressFuelSurcharge),2),ROUND(((1-(OverNightDiscount_21_Up+FedExExrpessEarnedDiscount))*'1Day AM Base'!B142)*(1+ExpressFuelSurcharge),2)))*(1+FedEx_Markup),2)</f>
        <v>194.51</v>
      </c>
      <c r="C145" s="218">
        <f>ROUND((IF(MinBase1AMDay&gt;ROUND(((1-(OverNightDiscount_21_Up+FedExExrpessEarnedDiscount))*'1Day AM Base'!C142),2),ROUND(MinBase1AMDay*(1+ExpressFuelSurcharge),2),ROUND(((1-(OverNightDiscount_21_Up+FedExExrpessEarnedDiscount))*'1Day AM Base'!C142)*(1+ExpressFuelSurcharge),2)))*(1+FedEx_Markup),2)</f>
        <v>271.55</v>
      </c>
      <c r="D145" s="218">
        <f>ROUND((IF(MinBase1AMDay&gt;ROUND(((1-(OverNightDiscount_21_Up+FedExExrpessEarnedDiscount))*'1Day AM Base'!D142),2),ROUND(MinBase1AMDay*(1+ExpressFuelSurcharge),2),ROUND(((1-(OverNightDiscount_21_Up+FedExExrpessEarnedDiscount))*'1Day AM Base'!D142)*(1+ExpressFuelSurcharge),2)))*(1+FedEx_Markup),2)</f>
        <v>493.86</v>
      </c>
      <c r="E145" s="218">
        <f>ROUND((IF(MinBase1AMDay&gt;ROUND(((1-(OverNightDiscount_21_Up+FedExExrpessEarnedDiscount))*'1Day AM Base'!E142),2),ROUND(MinBase1AMDay*(1+ExpressFuelSurcharge),2),ROUND(((1-(OverNightDiscount_21_Up+FedExExrpessEarnedDiscount))*'1Day AM Base'!E142)*(1+ExpressFuelSurcharge),2)))*(1+FedEx_Markup),2)</f>
        <v>587.95000000000005</v>
      </c>
      <c r="F145" s="218">
        <f>ROUND((IF(MinBase1AMDay&gt;ROUND(((1-(OverNightDiscount_21_Up+FedExExrpessEarnedDiscount))*'1Day AM Base'!F142),2),ROUND(MinBase1AMDay*(1+ExpressFuelSurcharge),2),ROUND(((1-(OverNightDiscount_21_Up+FedExExrpessEarnedDiscount))*'1Day AM Base'!F142)*(1+ExpressFuelSurcharge),2)))*(1+FedEx_Markup),2)</f>
        <v>600.58000000000004</v>
      </c>
      <c r="G145" s="218">
        <f>ROUND((IF(MinBase1AMDay&gt;ROUND(((1-(OverNightDiscount_21_Up+FedExExrpessEarnedDiscount))*'1Day AM Base'!G142),2),ROUND(MinBase1AMDay*(1+ExpressFuelSurcharge),2),ROUND(((1-(OverNightDiscount_21_Up+FedExExrpessEarnedDiscount))*'1Day AM Base'!G142)*(1+ExpressFuelSurcharge),2)))*(1+FedEx_Markup),2)</f>
        <v>734.46</v>
      </c>
      <c r="H145" s="218">
        <f>ROUND((IF(MinBase1AMDay&gt;ROUND(((1-(OverNightDiscount_21_Up+FedExExrpessEarnedDiscount))*'1Day AM Base'!H142),2),ROUND(MinBase1AMDay*(1+ExpressFuelSurcharge),2),ROUND(((1-(OverNightDiscount_21_Up+FedExExrpessEarnedDiscount))*'1Day AM Base'!H142)*(1+ExpressFuelSurcharge),2)))*(1+FedEx_Markup),2)</f>
        <v>782.46</v>
      </c>
    </row>
    <row r="146" spans="1:8" ht="12.75" customHeight="1">
      <c r="A146" s="217">
        <v>141</v>
      </c>
      <c r="B146" s="218">
        <f>ROUND((IF(MinBase1AMDay&gt;ROUND(((1-(OverNightDiscount_21_Up+FedExExrpessEarnedDiscount))*'1Day AM Base'!B143),2),ROUND(MinBase1AMDay*(1+ExpressFuelSurcharge),2),ROUND(((1-(OverNightDiscount_21_Up+FedExExrpessEarnedDiscount))*'1Day AM Base'!B143)*(1+ExpressFuelSurcharge),2)))*(1+FedEx_Markup),2)</f>
        <v>195.9</v>
      </c>
      <c r="C146" s="218">
        <f>ROUND((IF(MinBase1AMDay&gt;ROUND(((1-(OverNightDiscount_21_Up+FedExExrpessEarnedDiscount))*'1Day AM Base'!C143),2),ROUND(MinBase1AMDay*(1+ExpressFuelSurcharge),2),ROUND(((1-(OverNightDiscount_21_Up+FedExExrpessEarnedDiscount))*'1Day AM Base'!C143)*(1+ExpressFuelSurcharge),2)))*(1+FedEx_Markup),2)</f>
        <v>273.49</v>
      </c>
      <c r="D146" s="218">
        <f>ROUND((IF(MinBase1AMDay&gt;ROUND(((1-(OverNightDiscount_21_Up+FedExExrpessEarnedDiscount))*'1Day AM Base'!D143),2),ROUND(MinBase1AMDay*(1+ExpressFuelSurcharge),2),ROUND(((1-(OverNightDiscount_21_Up+FedExExrpessEarnedDiscount))*'1Day AM Base'!D143)*(1+ExpressFuelSurcharge),2)))*(1+FedEx_Markup),2)</f>
        <v>497.38</v>
      </c>
      <c r="E146" s="218">
        <f>ROUND((IF(MinBase1AMDay&gt;ROUND(((1-(OverNightDiscount_21_Up+FedExExrpessEarnedDiscount))*'1Day AM Base'!E143),2),ROUND(MinBase1AMDay*(1+ExpressFuelSurcharge),2),ROUND(((1-(OverNightDiscount_21_Up+FedExExrpessEarnedDiscount))*'1Day AM Base'!E143)*(1+ExpressFuelSurcharge),2)))*(1+FedEx_Markup),2)</f>
        <v>592.15</v>
      </c>
      <c r="F146" s="218">
        <f>ROUND((IF(MinBase1AMDay&gt;ROUND(((1-(OverNightDiscount_21_Up+FedExExrpessEarnedDiscount))*'1Day AM Base'!F143),2),ROUND(MinBase1AMDay*(1+ExpressFuelSurcharge),2),ROUND(((1-(OverNightDiscount_21_Up+FedExExrpessEarnedDiscount))*'1Day AM Base'!F143)*(1+ExpressFuelSurcharge),2)))*(1+FedEx_Markup),2)</f>
        <v>604.87</v>
      </c>
      <c r="G146" s="218">
        <f>ROUND((IF(MinBase1AMDay&gt;ROUND(((1-(OverNightDiscount_21_Up+FedExExrpessEarnedDiscount))*'1Day AM Base'!G143),2),ROUND(MinBase1AMDay*(1+ExpressFuelSurcharge),2),ROUND(((1-(OverNightDiscount_21_Up+FedExExrpessEarnedDiscount))*'1Day AM Base'!G143)*(1+ExpressFuelSurcharge),2)))*(1+FedEx_Markup),2)</f>
        <v>739.7</v>
      </c>
      <c r="H146" s="218">
        <f>ROUND((IF(MinBase1AMDay&gt;ROUND(((1-(OverNightDiscount_21_Up+FedExExrpessEarnedDiscount))*'1Day AM Base'!H143),2),ROUND(MinBase1AMDay*(1+ExpressFuelSurcharge),2),ROUND(((1-(OverNightDiscount_21_Up+FedExExrpessEarnedDiscount))*'1Day AM Base'!H143)*(1+ExpressFuelSurcharge),2)))*(1+FedEx_Markup),2)</f>
        <v>788.05</v>
      </c>
    </row>
    <row r="147" spans="1:8" ht="12.75" customHeight="1">
      <c r="A147" s="217">
        <v>142</v>
      </c>
      <c r="B147" s="218">
        <f>ROUND((IF(MinBase1AMDay&gt;ROUND(((1-(OverNightDiscount_21_Up+FedExExrpessEarnedDiscount))*'1Day AM Base'!B144),2),ROUND(MinBase1AMDay*(1+ExpressFuelSurcharge),2),ROUND(((1-(OverNightDiscount_21_Up+FedExExrpessEarnedDiscount))*'1Day AM Base'!B144)*(1+ExpressFuelSurcharge),2)))*(1+FedEx_Markup),2)</f>
        <v>197.28</v>
      </c>
      <c r="C147" s="218">
        <f>ROUND((IF(MinBase1AMDay&gt;ROUND(((1-(OverNightDiscount_21_Up+FedExExrpessEarnedDiscount))*'1Day AM Base'!C144),2),ROUND(MinBase1AMDay*(1+ExpressFuelSurcharge),2),ROUND(((1-(OverNightDiscount_21_Up+FedExExrpessEarnedDiscount))*'1Day AM Base'!C144)*(1+ExpressFuelSurcharge),2)))*(1+FedEx_Markup),2)</f>
        <v>275.44</v>
      </c>
      <c r="D147" s="218">
        <f>ROUND((IF(MinBase1AMDay&gt;ROUND(((1-(OverNightDiscount_21_Up+FedExExrpessEarnedDiscount))*'1Day AM Base'!D144),2),ROUND(MinBase1AMDay*(1+ExpressFuelSurcharge),2),ROUND(((1-(OverNightDiscount_21_Up+FedExExrpessEarnedDiscount))*'1Day AM Base'!D144)*(1+ExpressFuelSurcharge),2)))*(1+FedEx_Markup),2)</f>
        <v>500.91</v>
      </c>
      <c r="E147" s="218">
        <f>ROUND((IF(MinBase1AMDay&gt;ROUND(((1-(OverNightDiscount_21_Up+FedExExrpessEarnedDiscount))*'1Day AM Base'!E144),2),ROUND(MinBase1AMDay*(1+ExpressFuelSurcharge),2),ROUND(((1-(OverNightDiscount_21_Up+FedExExrpessEarnedDiscount))*'1Day AM Base'!E144)*(1+ExpressFuelSurcharge),2)))*(1+FedEx_Markup),2)</f>
        <v>596.34</v>
      </c>
      <c r="F147" s="218">
        <f>ROUND((IF(MinBase1AMDay&gt;ROUND(((1-(OverNightDiscount_21_Up+FedExExrpessEarnedDiscount))*'1Day AM Base'!F144),2),ROUND(MinBase1AMDay*(1+ExpressFuelSurcharge),2),ROUND(((1-(OverNightDiscount_21_Up+FedExExrpessEarnedDiscount))*'1Day AM Base'!F144)*(1+ExpressFuelSurcharge),2)))*(1+FedEx_Markup),2)</f>
        <v>609.16</v>
      </c>
      <c r="G147" s="218">
        <f>ROUND((IF(MinBase1AMDay&gt;ROUND(((1-(OverNightDiscount_21_Up+FedExExrpessEarnedDiscount))*'1Day AM Base'!G144),2),ROUND(MinBase1AMDay*(1+ExpressFuelSurcharge),2),ROUND(((1-(OverNightDiscount_21_Up+FedExExrpessEarnedDiscount))*'1Day AM Base'!G144)*(1+ExpressFuelSurcharge),2)))*(1+FedEx_Markup),2)</f>
        <v>744.96</v>
      </c>
      <c r="H147" s="218">
        <f>ROUND((IF(MinBase1AMDay&gt;ROUND(((1-(OverNightDiscount_21_Up+FedExExrpessEarnedDiscount))*'1Day AM Base'!H144),2),ROUND(MinBase1AMDay*(1+ExpressFuelSurcharge),2),ROUND(((1-(OverNightDiscount_21_Up+FedExExrpessEarnedDiscount))*'1Day AM Base'!H144)*(1+ExpressFuelSurcharge),2)))*(1+FedEx_Markup),2)</f>
        <v>793.64</v>
      </c>
    </row>
    <row r="148" spans="1:8" ht="12.75" customHeight="1">
      <c r="A148" s="217">
        <v>143</v>
      </c>
      <c r="B148" s="218">
        <f>ROUND((IF(MinBase1AMDay&gt;ROUND(((1-(OverNightDiscount_21_Up+FedExExrpessEarnedDiscount))*'1Day AM Base'!B145),2),ROUND(MinBase1AMDay*(1+ExpressFuelSurcharge),2),ROUND(((1-(OverNightDiscount_21_Up+FedExExrpessEarnedDiscount))*'1Day AM Base'!B145)*(1+ExpressFuelSurcharge),2)))*(1+FedEx_Markup),2)</f>
        <v>198.67</v>
      </c>
      <c r="C148" s="218">
        <f>ROUND((IF(MinBase1AMDay&gt;ROUND(((1-(OverNightDiscount_21_Up+FedExExrpessEarnedDiscount))*'1Day AM Base'!C145),2),ROUND(MinBase1AMDay*(1+ExpressFuelSurcharge),2),ROUND(((1-(OverNightDiscount_21_Up+FedExExrpessEarnedDiscount))*'1Day AM Base'!C145)*(1+ExpressFuelSurcharge),2)))*(1+FedEx_Markup),2)</f>
        <v>277.37</v>
      </c>
      <c r="D148" s="218">
        <f>ROUND((IF(MinBase1AMDay&gt;ROUND(((1-(OverNightDiscount_21_Up+FedExExrpessEarnedDiscount))*'1Day AM Base'!D145),2),ROUND(MinBase1AMDay*(1+ExpressFuelSurcharge),2),ROUND(((1-(OverNightDiscount_21_Up+FedExExrpessEarnedDiscount))*'1Day AM Base'!D145)*(1+ExpressFuelSurcharge),2)))*(1+FedEx_Markup),2)</f>
        <v>504.44</v>
      </c>
      <c r="E148" s="218">
        <f>ROUND((IF(MinBase1AMDay&gt;ROUND(((1-(OverNightDiscount_21_Up+FedExExrpessEarnedDiscount))*'1Day AM Base'!E145),2),ROUND(MinBase1AMDay*(1+ExpressFuelSurcharge),2),ROUND(((1-(OverNightDiscount_21_Up+FedExExrpessEarnedDiscount))*'1Day AM Base'!E145)*(1+ExpressFuelSurcharge),2)))*(1+FedEx_Markup),2)</f>
        <v>600.54</v>
      </c>
      <c r="F148" s="218">
        <f>ROUND((IF(MinBase1AMDay&gt;ROUND(((1-(OverNightDiscount_21_Up+FedExExrpessEarnedDiscount))*'1Day AM Base'!F145),2),ROUND(MinBase1AMDay*(1+ExpressFuelSurcharge),2),ROUND(((1-(OverNightDiscount_21_Up+FedExExrpessEarnedDiscount))*'1Day AM Base'!F145)*(1+ExpressFuelSurcharge),2)))*(1+FedEx_Markup),2)</f>
        <v>613.44000000000005</v>
      </c>
      <c r="G148" s="218">
        <f>ROUND((IF(MinBase1AMDay&gt;ROUND(((1-(OverNightDiscount_21_Up+FedExExrpessEarnedDiscount))*'1Day AM Base'!G145),2),ROUND(MinBase1AMDay*(1+ExpressFuelSurcharge),2),ROUND(((1-(OverNightDiscount_21_Up+FedExExrpessEarnedDiscount))*'1Day AM Base'!G145)*(1+ExpressFuelSurcharge),2)))*(1+FedEx_Markup),2)</f>
        <v>750.2</v>
      </c>
      <c r="H148" s="218">
        <f>ROUND((IF(MinBase1AMDay&gt;ROUND(((1-(OverNightDiscount_21_Up+FedExExrpessEarnedDiscount))*'1Day AM Base'!H145),2),ROUND(MinBase1AMDay*(1+ExpressFuelSurcharge),2),ROUND(((1-(OverNightDiscount_21_Up+FedExExrpessEarnedDiscount))*'1Day AM Base'!H145)*(1+ExpressFuelSurcharge),2)))*(1+FedEx_Markup),2)</f>
        <v>799.23</v>
      </c>
    </row>
    <row r="149" spans="1:8" ht="12.75" customHeight="1">
      <c r="A149" s="217">
        <v>144</v>
      </c>
      <c r="B149" s="218">
        <f>ROUND((IF(MinBase1AMDay&gt;ROUND(((1-(OverNightDiscount_21_Up+FedExExrpessEarnedDiscount))*'1Day AM Base'!B146),2),ROUND(MinBase1AMDay*(1+ExpressFuelSurcharge),2),ROUND(((1-(OverNightDiscount_21_Up+FedExExrpessEarnedDiscount))*'1Day AM Base'!B146)*(1+ExpressFuelSurcharge),2)))*(1+FedEx_Markup),2)</f>
        <v>200.07</v>
      </c>
      <c r="C149" s="218">
        <f>ROUND((IF(MinBase1AMDay&gt;ROUND(((1-(OverNightDiscount_21_Up+FedExExrpessEarnedDiscount))*'1Day AM Base'!C146),2),ROUND(MinBase1AMDay*(1+ExpressFuelSurcharge),2),ROUND(((1-(OverNightDiscount_21_Up+FedExExrpessEarnedDiscount))*'1Day AM Base'!C146)*(1+ExpressFuelSurcharge),2)))*(1+FedEx_Markup),2)</f>
        <v>279.31</v>
      </c>
      <c r="D149" s="218">
        <f>ROUND((IF(MinBase1AMDay&gt;ROUND(((1-(OverNightDiscount_21_Up+FedExExrpessEarnedDiscount))*'1Day AM Base'!D146),2),ROUND(MinBase1AMDay*(1+ExpressFuelSurcharge),2),ROUND(((1-(OverNightDiscount_21_Up+FedExExrpessEarnedDiscount))*'1Day AM Base'!D146)*(1+ExpressFuelSurcharge),2)))*(1+FedEx_Markup),2)</f>
        <v>507.96</v>
      </c>
      <c r="E149" s="218">
        <f>ROUND((IF(MinBase1AMDay&gt;ROUND(((1-(OverNightDiscount_21_Up+FedExExrpessEarnedDiscount))*'1Day AM Base'!E146),2),ROUND(MinBase1AMDay*(1+ExpressFuelSurcharge),2),ROUND(((1-(OverNightDiscount_21_Up+FedExExrpessEarnedDiscount))*'1Day AM Base'!E146)*(1+ExpressFuelSurcharge),2)))*(1+FedEx_Markup),2)</f>
        <v>604.75</v>
      </c>
      <c r="F149" s="218">
        <f>ROUND((IF(MinBase1AMDay&gt;ROUND(((1-(OverNightDiscount_21_Up+FedExExrpessEarnedDiscount))*'1Day AM Base'!F146),2),ROUND(MinBase1AMDay*(1+ExpressFuelSurcharge),2),ROUND(((1-(OverNightDiscount_21_Up+FedExExrpessEarnedDiscount))*'1Day AM Base'!F146)*(1+ExpressFuelSurcharge),2)))*(1+FedEx_Markup),2)</f>
        <v>617.73</v>
      </c>
      <c r="G149" s="218">
        <f>ROUND((IF(MinBase1AMDay&gt;ROUND(((1-(OverNightDiscount_21_Up+FedExExrpessEarnedDiscount))*'1Day AM Base'!G146),2),ROUND(MinBase1AMDay*(1+ExpressFuelSurcharge),2),ROUND(((1-(OverNightDiscount_21_Up+FedExExrpessEarnedDiscount))*'1Day AM Base'!G146)*(1+ExpressFuelSurcharge),2)))*(1+FedEx_Markup),2)</f>
        <v>755.45</v>
      </c>
      <c r="H149" s="218">
        <f>ROUND((IF(MinBase1AMDay&gt;ROUND(((1-(OverNightDiscount_21_Up+FedExExrpessEarnedDiscount))*'1Day AM Base'!H146),2),ROUND(MinBase1AMDay*(1+ExpressFuelSurcharge),2),ROUND(((1-(OverNightDiscount_21_Up+FedExExrpessEarnedDiscount))*'1Day AM Base'!H146)*(1+ExpressFuelSurcharge),2)))*(1+FedEx_Markup),2)</f>
        <v>804.82</v>
      </c>
    </row>
    <row r="150" spans="1:8" ht="12.75" customHeight="1">
      <c r="A150" s="217">
        <v>145</v>
      </c>
      <c r="B150" s="218">
        <f>ROUND((IF(MinBase1AMDay&gt;ROUND(((1-(OverNightDiscount_21_Up+FedExExrpessEarnedDiscount))*'1Day AM Base'!B147),2),ROUND(MinBase1AMDay*(1+ExpressFuelSurcharge),2),ROUND(((1-(OverNightDiscount_21_Up+FedExExrpessEarnedDiscount))*'1Day AM Base'!B147)*(1+ExpressFuelSurcharge),2)))*(1+FedEx_Markup),2)</f>
        <v>201.46</v>
      </c>
      <c r="C150" s="218">
        <f>ROUND((IF(MinBase1AMDay&gt;ROUND(((1-(OverNightDiscount_21_Up+FedExExrpessEarnedDiscount))*'1Day AM Base'!C147),2),ROUND(MinBase1AMDay*(1+ExpressFuelSurcharge),2),ROUND(((1-(OverNightDiscount_21_Up+FedExExrpessEarnedDiscount))*'1Day AM Base'!C147)*(1+ExpressFuelSurcharge),2)))*(1+FedEx_Markup),2)</f>
        <v>281.26</v>
      </c>
      <c r="D150" s="218">
        <f>ROUND((IF(MinBase1AMDay&gt;ROUND(((1-(OverNightDiscount_21_Up+FedExExrpessEarnedDiscount))*'1Day AM Base'!D147),2),ROUND(MinBase1AMDay*(1+ExpressFuelSurcharge),2),ROUND(((1-(OverNightDiscount_21_Up+FedExExrpessEarnedDiscount))*'1Day AM Base'!D147)*(1+ExpressFuelSurcharge),2)))*(1+FedEx_Markup),2)</f>
        <v>511.49</v>
      </c>
      <c r="E150" s="218">
        <f>ROUND((IF(MinBase1AMDay&gt;ROUND(((1-(OverNightDiscount_21_Up+FedExExrpessEarnedDiscount))*'1Day AM Base'!E147),2),ROUND(MinBase1AMDay*(1+ExpressFuelSurcharge),2),ROUND(((1-(OverNightDiscount_21_Up+FedExExrpessEarnedDiscount))*'1Day AM Base'!E147)*(1+ExpressFuelSurcharge),2)))*(1+FedEx_Markup),2)</f>
        <v>608.95000000000005</v>
      </c>
      <c r="F150" s="218">
        <f>ROUND((IF(MinBase1AMDay&gt;ROUND(((1-(OverNightDiscount_21_Up+FedExExrpessEarnedDiscount))*'1Day AM Base'!F147),2),ROUND(MinBase1AMDay*(1+ExpressFuelSurcharge),2),ROUND(((1-(OverNightDiscount_21_Up+FedExExrpessEarnedDiscount))*'1Day AM Base'!F147)*(1+ExpressFuelSurcharge),2)))*(1+FedEx_Markup),2)</f>
        <v>622.02</v>
      </c>
      <c r="G150" s="218">
        <f>ROUND((IF(MinBase1AMDay&gt;ROUND(((1-(OverNightDiscount_21_Up+FedExExrpessEarnedDiscount))*'1Day AM Base'!G147),2),ROUND(MinBase1AMDay*(1+ExpressFuelSurcharge),2),ROUND(((1-(OverNightDiscount_21_Up+FedExExrpessEarnedDiscount))*'1Day AM Base'!G147)*(1+ExpressFuelSurcharge),2)))*(1+FedEx_Markup),2)</f>
        <v>760.69</v>
      </c>
      <c r="H150" s="218">
        <f>ROUND((IF(MinBase1AMDay&gt;ROUND(((1-(OverNightDiscount_21_Up+FedExExrpessEarnedDiscount))*'1Day AM Base'!H147),2),ROUND(MinBase1AMDay*(1+ExpressFuelSurcharge),2),ROUND(((1-(OverNightDiscount_21_Up+FedExExrpessEarnedDiscount))*'1Day AM Base'!H147)*(1+ExpressFuelSurcharge),2)))*(1+FedEx_Markup),2)</f>
        <v>810.41</v>
      </c>
    </row>
    <row r="151" spans="1:8" ht="12.75" customHeight="1">
      <c r="A151" s="217">
        <v>146</v>
      </c>
      <c r="B151" s="218">
        <f>ROUND((IF(MinBase1AMDay&gt;ROUND(((1-(OverNightDiscount_21_Up+FedExExrpessEarnedDiscount))*'1Day AM Base'!B148),2),ROUND(MinBase1AMDay*(1+ExpressFuelSurcharge),2),ROUND(((1-(OverNightDiscount_21_Up+FedExExrpessEarnedDiscount))*'1Day AM Base'!B148)*(1+ExpressFuelSurcharge),2)))*(1+FedEx_Markup),2)</f>
        <v>202.85</v>
      </c>
      <c r="C151" s="218">
        <f>ROUND((IF(MinBase1AMDay&gt;ROUND(((1-(OverNightDiscount_21_Up+FedExExrpessEarnedDiscount))*'1Day AM Base'!C148),2),ROUND(MinBase1AMDay*(1+ExpressFuelSurcharge),2),ROUND(((1-(OverNightDiscount_21_Up+FedExExrpessEarnedDiscount))*'1Day AM Base'!C148)*(1+ExpressFuelSurcharge),2)))*(1+FedEx_Markup),2)</f>
        <v>283.19</v>
      </c>
      <c r="D151" s="218">
        <f>ROUND((IF(MinBase1AMDay&gt;ROUND(((1-(OverNightDiscount_21_Up+FedExExrpessEarnedDiscount))*'1Day AM Base'!D148),2),ROUND(MinBase1AMDay*(1+ExpressFuelSurcharge),2),ROUND(((1-(OverNightDiscount_21_Up+FedExExrpessEarnedDiscount))*'1Day AM Base'!D148)*(1+ExpressFuelSurcharge),2)))*(1+FedEx_Markup),2)</f>
        <v>515.02</v>
      </c>
      <c r="E151" s="218">
        <f>ROUND((IF(MinBase1AMDay&gt;ROUND(((1-(OverNightDiscount_21_Up+FedExExrpessEarnedDiscount))*'1Day AM Base'!E148),2),ROUND(MinBase1AMDay*(1+ExpressFuelSurcharge),2),ROUND(((1-(OverNightDiscount_21_Up+FedExExrpessEarnedDiscount))*'1Day AM Base'!E148)*(1+ExpressFuelSurcharge),2)))*(1+FedEx_Markup),2)</f>
        <v>613.15</v>
      </c>
      <c r="F151" s="218">
        <f>ROUND((IF(MinBase1AMDay&gt;ROUND(((1-(OverNightDiscount_21_Up+FedExExrpessEarnedDiscount))*'1Day AM Base'!F148),2),ROUND(MinBase1AMDay*(1+ExpressFuelSurcharge),2),ROUND(((1-(OverNightDiscount_21_Up+FedExExrpessEarnedDiscount))*'1Day AM Base'!F148)*(1+ExpressFuelSurcharge),2)))*(1+FedEx_Markup),2)</f>
        <v>626.30999999999995</v>
      </c>
      <c r="G151" s="218">
        <f>ROUND((IF(MinBase1AMDay&gt;ROUND(((1-(OverNightDiscount_21_Up+FedExExrpessEarnedDiscount))*'1Day AM Base'!G148),2),ROUND(MinBase1AMDay*(1+ExpressFuelSurcharge),2),ROUND(((1-(OverNightDiscount_21_Up+FedExExrpessEarnedDiscount))*'1Day AM Base'!G148)*(1+ExpressFuelSurcharge),2)))*(1+FedEx_Markup),2)</f>
        <v>765.93</v>
      </c>
      <c r="H151" s="218">
        <f>ROUND((IF(MinBase1AMDay&gt;ROUND(((1-(OverNightDiscount_21_Up+FedExExrpessEarnedDiscount))*'1Day AM Base'!H148),2),ROUND(MinBase1AMDay*(1+ExpressFuelSurcharge),2),ROUND(((1-(OverNightDiscount_21_Up+FedExExrpessEarnedDiscount))*'1Day AM Base'!H148)*(1+ExpressFuelSurcharge),2)))*(1+FedEx_Markup),2)</f>
        <v>815.99</v>
      </c>
    </row>
    <row r="152" spans="1:8" ht="12.75" customHeight="1">
      <c r="A152" s="217">
        <v>147</v>
      </c>
      <c r="B152" s="218">
        <f>ROUND((IF(MinBase1AMDay&gt;ROUND(((1-(OverNightDiscount_21_Up+FedExExrpessEarnedDiscount))*'1Day AM Base'!B149),2),ROUND(MinBase1AMDay*(1+ExpressFuelSurcharge),2),ROUND(((1-(OverNightDiscount_21_Up+FedExExrpessEarnedDiscount))*'1Day AM Base'!B149)*(1+ExpressFuelSurcharge),2)))*(1+FedEx_Markup),2)</f>
        <v>204.24</v>
      </c>
      <c r="C152" s="218">
        <f>ROUND((IF(MinBase1AMDay&gt;ROUND(((1-(OverNightDiscount_21_Up+FedExExrpessEarnedDiscount))*'1Day AM Base'!C149),2),ROUND(MinBase1AMDay*(1+ExpressFuelSurcharge),2),ROUND(((1-(OverNightDiscount_21_Up+FedExExrpessEarnedDiscount))*'1Day AM Base'!C149)*(1+ExpressFuelSurcharge),2)))*(1+FedEx_Markup),2)</f>
        <v>285.13</v>
      </c>
      <c r="D152" s="218">
        <f>ROUND((IF(MinBase1AMDay&gt;ROUND(((1-(OverNightDiscount_21_Up+FedExExrpessEarnedDiscount))*'1Day AM Base'!D149),2),ROUND(MinBase1AMDay*(1+ExpressFuelSurcharge),2),ROUND(((1-(OverNightDiscount_21_Up+FedExExrpessEarnedDiscount))*'1Day AM Base'!D149)*(1+ExpressFuelSurcharge),2)))*(1+FedEx_Markup),2)</f>
        <v>518.54999999999995</v>
      </c>
      <c r="E152" s="218">
        <f>ROUND((IF(MinBase1AMDay&gt;ROUND(((1-(OverNightDiscount_21_Up+FedExExrpessEarnedDiscount))*'1Day AM Base'!E149),2),ROUND(MinBase1AMDay*(1+ExpressFuelSurcharge),2),ROUND(((1-(OverNightDiscount_21_Up+FedExExrpessEarnedDiscount))*'1Day AM Base'!E149)*(1+ExpressFuelSurcharge),2)))*(1+FedEx_Markup),2)</f>
        <v>617.34</v>
      </c>
      <c r="F152" s="218">
        <f>ROUND((IF(MinBase1AMDay&gt;ROUND(((1-(OverNightDiscount_21_Up+FedExExrpessEarnedDiscount))*'1Day AM Base'!F149),2),ROUND(MinBase1AMDay*(1+ExpressFuelSurcharge),2),ROUND(((1-(OverNightDiscount_21_Up+FedExExrpessEarnedDiscount))*'1Day AM Base'!F149)*(1+ExpressFuelSurcharge),2)))*(1+FedEx_Markup),2)</f>
        <v>630.6</v>
      </c>
      <c r="G152" s="218">
        <f>ROUND((IF(MinBase1AMDay&gt;ROUND(((1-(OverNightDiscount_21_Up+FedExExrpessEarnedDiscount))*'1Day AM Base'!G149),2),ROUND(MinBase1AMDay*(1+ExpressFuelSurcharge),2),ROUND(((1-(OverNightDiscount_21_Up+FedExExrpessEarnedDiscount))*'1Day AM Base'!G149)*(1+ExpressFuelSurcharge),2)))*(1+FedEx_Markup),2)</f>
        <v>771.18</v>
      </c>
      <c r="H152" s="218">
        <f>ROUND((IF(MinBase1AMDay&gt;ROUND(((1-(OverNightDiscount_21_Up+FedExExrpessEarnedDiscount))*'1Day AM Base'!H149),2),ROUND(MinBase1AMDay*(1+ExpressFuelSurcharge),2),ROUND(((1-(OverNightDiscount_21_Up+FedExExrpessEarnedDiscount))*'1Day AM Base'!H149)*(1+ExpressFuelSurcharge),2)))*(1+FedEx_Markup),2)</f>
        <v>821.58</v>
      </c>
    </row>
    <row r="153" spans="1:8" ht="12.75" customHeight="1">
      <c r="A153" s="217">
        <v>148</v>
      </c>
      <c r="B153" s="218">
        <f>ROUND((IF(MinBase1AMDay&gt;ROUND(((1-(OverNightDiscount_21_Up+FedExExrpessEarnedDiscount))*'1Day AM Base'!B150),2),ROUND(MinBase1AMDay*(1+ExpressFuelSurcharge),2),ROUND(((1-(OverNightDiscount_21_Up+FedExExrpessEarnedDiscount))*'1Day AM Base'!B150)*(1+ExpressFuelSurcharge),2)))*(1+FedEx_Markup),2)</f>
        <v>205.62</v>
      </c>
      <c r="C153" s="218">
        <f>ROUND((IF(MinBase1AMDay&gt;ROUND(((1-(OverNightDiscount_21_Up+FedExExrpessEarnedDiscount))*'1Day AM Base'!C150),2),ROUND(MinBase1AMDay*(1+ExpressFuelSurcharge),2),ROUND(((1-(OverNightDiscount_21_Up+FedExExrpessEarnedDiscount))*'1Day AM Base'!C150)*(1+ExpressFuelSurcharge),2)))*(1+FedEx_Markup),2)</f>
        <v>287.07</v>
      </c>
      <c r="D153" s="218">
        <f>ROUND((IF(MinBase1AMDay&gt;ROUND(((1-(OverNightDiscount_21_Up+FedExExrpessEarnedDiscount))*'1Day AM Base'!D150),2),ROUND(MinBase1AMDay*(1+ExpressFuelSurcharge),2),ROUND(((1-(OverNightDiscount_21_Up+FedExExrpessEarnedDiscount))*'1Day AM Base'!D150)*(1+ExpressFuelSurcharge),2)))*(1+FedEx_Markup),2)</f>
        <v>522.07000000000005</v>
      </c>
      <c r="E153" s="218">
        <f>ROUND((IF(MinBase1AMDay&gt;ROUND(((1-(OverNightDiscount_21_Up+FedExExrpessEarnedDiscount))*'1Day AM Base'!E150),2),ROUND(MinBase1AMDay*(1+ExpressFuelSurcharge),2),ROUND(((1-(OverNightDiscount_21_Up+FedExExrpessEarnedDiscount))*'1Day AM Base'!E150)*(1+ExpressFuelSurcharge),2)))*(1+FedEx_Markup),2)</f>
        <v>621.54</v>
      </c>
      <c r="F153" s="218">
        <f>ROUND((IF(MinBase1AMDay&gt;ROUND(((1-(OverNightDiscount_21_Up+FedExExrpessEarnedDiscount))*'1Day AM Base'!F150),2),ROUND(MinBase1AMDay*(1+ExpressFuelSurcharge),2),ROUND(((1-(OverNightDiscount_21_Up+FedExExrpessEarnedDiscount))*'1Day AM Base'!F150)*(1+ExpressFuelSurcharge),2)))*(1+FedEx_Markup),2)</f>
        <v>634.89</v>
      </c>
      <c r="G153" s="218">
        <f>ROUND((IF(MinBase1AMDay&gt;ROUND(((1-(OverNightDiscount_21_Up+FedExExrpessEarnedDiscount))*'1Day AM Base'!G150),2),ROUND(MinBase1AMDay*(1+ExpressFuelSurcharge),2),ROUND(((1-(OverNightDiscount_21_Up+FedExExrpessEarnedDiscount))*'1Day AM Base'!G150)*(1+ExpressFuelSurcharge),2)))*(1+FedEx_Markup),2)</f>
        <v>776.43</v>
      </c>
      <c r="H153" s="218">
        <f>ROUND((IF(MinBase1AMDay&gt;ROUND(((1-(OverNightDiscount_21_Up+FedExExrpessEarnedDiscount))*'1Day AM Base'!H150),2),ROUND(MinBase1AMDay*(1+ExpressFuelSurcharge),2),ROUND(((1-(OverNightDiscount_21_Up+FedExExrpessEarnedDiscount))*'1Day AM Base'!H150)*(1+ExpressFuelSurcharge),2)))*(1+FedEx_Markup),2)</f>
        <v>827.17</v>
      </c>
    </row>
    <row r="154" spans="1:8" ht="12.75" customHeight="1">
      <c r="A154" s="217">
        <v>149</v>
      </c>
      <c r="B154" s="218">
        <f>ROUND((IF(MinBase1AMDay&gt;ROUND(((1-(OverNightDiscount_21_Up+FedExExrpessEarnedDiscount))*'1Day AM Base'!B151),2),ROUND(MinBase1AMDay*(1+ExpressFuelSurcharge),2),ROUND(((1-(OverNightDiscount_21_Up+FedExExrpessEarnedDiscount))*'1Day AM Base'!B151)*(1+ExpressFuelSurcharge),2)))*(1+FedEx_Markup),2)</f>
        <v>207.01</v>
      </c>
      <c r="C154" s="218">
        <f>ROUND((IF(MinBase1AMDay&gt;ROUND(((1-(OverNightDiscount_21_Up+FedExExrpessEarnedDiscount))*'1Day AM Base'!C151),2),ROUND(MinBase1AMDay*(1+ExpressFuelSurcharge),2),ROUND(((1-(OverNightDiscount_21_Up+FedExExrpessEarnedDiscount))*'1Day AM Base'!C151)*(1+ExpressFuelSurcharge),2)))*(1+FedEx_Markup),2)</f>
        <v>289.01</v>
      </c>
      <c r="D154" s="218">
        <f>ROUND((IF(MinBase1AMDay&gt;ROUND(((1-(OverNightDiscount_21_Up+FedExExrpessEarnedDiscount))*'1Day AM Base'!D151),2),ROUND(MinBase1AMDay*(1+ExpressFuelSurcharge),2),ROUND(((1-(OverNightDiscount_21_Up+FedExExrpessEarnedDiscount))*'1Day AM Base'!D151)*(1+ExpressFuelSurcharge),2)))*(1+FedEx_Markup),2)</f>
        <v>525.6</v>
      </c>
      <c r="E154" s="218">
        <f>ROUND((IF(MinBase1AMDay&gt;ROUND(((1-(OverNightDiscount_21_Up+FedExExrpessEarnedDiscount))*'1Day AM Base'!E151),2),ROUND(MinBase1AMDay*(1+ExpressFuelSurcharge),2),ROUND(((1-(OverNightDiscount_21_Up+FedExExrpessEarnedDiscount))*'1Day AM Base'!E151)*(1+ExpressFuelSurcharge),2)))*(1+FedEx_Markup),2)</f>
        <v>625.75</v>
      </c>
      <c r="F154" s="218">
        <f>ROUND((IF(MinBase1AMDay&gt;ROUND(((1-(OverNightDiscount_21_Up+FedExExrpessEarnedDiscount))*'1Day AM Base'!F151),2),ROUND(MinBase1AMDay*(1+ExpressFuelSurcharge),2),ROUND(((1-(OverNightDiscount_21_Up+FedExExrpessEarnedDiscount))*'1Day AM Base'!F151)*(1+ExpressFuelSurcharge),2)))*(1+FedEx_Markup),2)</f>
        <v>639.17999999999995</v>
      </c>
      <c r="G154" s="218">
        <f>ROUND((IF(MinBase1AMDay&gt;ROUND(((1-(OverNightDiscount_21_Up+FedExExrpessEarnedDiscount))*'1Day AM Base'!G151),2),ROUND(MinBase1AMDay*(1+ExpressFuelSurcharge),2),ROUND(((1-(OverNightDiscount_21_Up+FedExExrpessEarnedDiscount))*'1Day AM Base'!G151)*(1+ExpressFuelSurcharge),2)))*(1+FedEx_Markup),2)</f>
        <v>781.68</v>
      </c>
      <c r="H154" s="218">
        <f>ROUND((IF(MinBase1AMDay&gt;ROUND(((1-(OverNightDiscount_21_Up+FedExExrpessEarnedDiscount))*'1Day AM Base'!H151),2),ROUND(MinBase1AMDay*(1+ExpressFuelSurcharge),2),ROUND(((1-(OverNightDiscount_21_Up+FedExExrpessEarnedDiscount))*'1Day AM Base'!H151)*(1+ExpressFuelSurcharge),2)))*(1+FedEx_Markup),2)</f>
        <v>832.76</v>
      </c>
    </row>
    <row r="155" spans="1:8" ht="12.75" customHeight="1">
      <c r="A155" s="217">
        <v>150</v>
      </c>
      <c r="B155" s="218">
        <f>ROUND((IF(MinBase1AMDay&gt;ROUND(((1-(OverNightDiscount_21_Up+FedExExrpessEarnedDiscount))*'1Day AM Base'!B152),2),ROUND(MinBase1AMDay*(1+ExpressFuelSurcharge),2),ROUND(((1-(OverNightDiscount_21_Up+FedExExrpessEarnedDiscount))*'1Day AM Base'!B152)*(1+ExpressFuelSurcharge),2)))*(1+FedEx_Markup),2)</f>
        <v>208.4</v>
      </c>
      <c r="C155" s="218">
        <f>ROUND((IF(MinBase1AMDay&gt;ROUND(((1-(OverNightDiscount_21_Up+FedExExrpessEarnedDiscount))*'1Day AM Base'!C152),2),ROUND(MinBase1AMDay*(1+ExpressFuelSurcharge),2),ROUND(((1-(OverNightDiscount_21_Up+FedExExrpessEarnedDiscount))*'1Day AM Base'!C152)*(1+ExpressFuelSurcharge),2)))*(1+FedEx_Markup),2)</f>
        <v>290.95</v>
      </c>
      <c r="D155" s="218">
        <f>ROUND((IF(MinBase1AMDay&gt;ROUND(((1-(OverNightDiscount_21_Up+FedExExrpessEarnedDiscount))*'1Day AM Base'!D152),2),ROUND(MinBase1AMDay*(1+ExpressFuelSurcharge),2),ROUND(((1-(OverNightDiscount_21_Up+FedExExrpessEarnedDiscount))*'1Day AM Base'!D152)*(1+ExpressFuelSurcharge),2)))*(1+FedEx_Markup),2)</f>
        <v>529.13</v>
      </c>
      <c r="E155" s="218">
        <f>ROUND((IF(MinBase1AMDay&gt;ROUND(((1-(OverNightDiscount_21_Up+FedExExrpessEarnedDiscount))*'1Day AM Base'!E152),2),ROUND(MinBase1AMDay*(1+ExpressFuelSurcharge),2),ROUND(((1-(OverNightDiscount_21_Up+FedExExrpessEarnedDiscount))*'1Day AM Base'!E152)*(1+ExpressFuelSurcharge),2)))*(1+FedEx_Markup),2)</f>
        <v>629.95000000000005</v>
      </c>
      <c r="F155" s="218">
        <f>ROUND((IF(MinBase1AMDay&gt;ROUND(((1-(OverNightDiscount_21_Up+FedExExrpessEarnedDiscount))*'1Day AM Base'!F152),2),ROUND(MinBase1AMDay*(1+ExpressFuelSurcharge),2),ROUND(((1-(OverNightDiscount_21_Up+FedExExrpessEarnedDiscount))*'1Day AM Base'!F152)*(1+ExpressFuelSurcharge),2)))*(1+FedEx_Markup),2)</f>
        <v>643.47</v>
      </c>
      <c r="G155" s="218">
        <f>ROUND((IF(MinBase1AMDay&gt;ROUND(((1-(OverNightDiscount_21_Up+FedExExrpessEarnedDiscount))*'1Day AM Base'!G152),2),ROUND(MinBase1AMDay*(1+ExpressFuelSurcharge),2),ROUND(((1-(OverNightDiscount_21_Up+FedExExrpessEarnedDiscount))*'1Day AM Base'!G152)*(1+ExpressFuelSurcharge),2)))*(1+FedEx_Markup),2)</f>
        <v>786.92</v>
      </c>
      <c r="H155" s="218">
        <f>ROUND((IF(MinBase1AMDay&gt;ROUND(((1-(OverNightDiscount_21_Up+FedExExrpessEarnedDiscount))*'1Day AM Base'!H152),2),ROUND(MinBase1AMDay*(1+ExpressFuelSurcharge),2),ROUND(((1-(OverNightDiscount_21_Up+FedExExrpessEarnedDiscount))*'1Day AM Base'!H152)*(1+ExpressFuelSurcharge),2)))*(1+FedEx_Markup),2)</f>
        <v>838.35</v>
      </c>
    </row>
    <row r="156" spans="1:8" ht="12.75" customHeight="1"/>
    <row r="157" spans="1:8" ht="12.75" customHeight="1"/>
    <row r="158" spans="1:8" ht="12.75" customHeight="1"/>
    <row r="159" spans="1:8" ht="12.75" customHeight="1"/>
    <row r="160" spans="1:8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H155">
    <cfRule type="expression" dxfId="18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4B083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1" width="6.5703125" customWidth="1"/>
    <col min="2" max="9" width="7.5703125" customWidth="1"/>
    <col min="10" max="10" width="24" customWidth="1"/>
    <col min="11" max="11" width="8.42578125" customWidth="1"/>
    <col min="12" max="12" width="3.5703125" customWidth="1"/>
    <col min="13" max="26" width="8.5703125" customWidth="1"/>
  </cols>
  <sheetData>
    <row r="1" spans="1:26" ht="12.75" customHeight="1">
      <c r="B1" s="209"/>
      <c r="C1" s="209"/>
      <c r="D1" s="210" t="s">
        <v>83</v>
      </c>
      <c r="E1" s="211">
        <f>ExpressResWithFS</f>
        <v>4.55</v>
      </c>
      <c r="H1" s="212" t="s">
        <v>84</v>
      </c>
    </row>
    <row r="2" spans="1:26" ht="12.75" customHeight="1">
      <c r="B2" s="213" t="s">
        <v>85</v>
      </c>
      <c r="C2" s="219"/>
      <c r="D2" s="219"/>
      <c r="E2" s="219"/>
      <c r="F2" s="219"/>
      <c r="G2" s="219"/>
      <c r="H2" s="212" t="s">
        <v>89</v>
      </c>
    </row>
    <row r="3" spans="1:26" ht="12.75" customHeight="1">
      <c r="B3" s="213" t="s">
        <v>87</v>
      </c>
      <c r="C3" s="219"/>
      <c r="D3" s="219"/>
      <c r="E3" s="219"/>
      <c r="F3" s="219"/>
      <c r="G3" s="219"/>
      <c r="H3" s="219"/>
    </row>
    <row r="4" spans="1:26" ht="12.75" customHeight="1">
      <c r="A4" s="214" t="s">
        <v>5</v>
      </c>
      <c r="B4" s="214" t="s">
        <v>0</v>
      </c>
      <c r="C4" s="214" t="s">
        <v>0</v>
      </c>
      <c r="D4" s="214" t="s">
        <v>0</v>
      </c>
      <c r="E4" s="214" t="s">
        <v>0</v>
      </c>
      <c r="F4" s="214" t="s">
        <v>0</v>
      </c>
      <c r="G4" s="214" t="s">
        <v>0</v>
      </c>
      <c r="H4" s="214" t="s">
        <v>0</v>
      </c>
    </row>
    <row r="5" spans="1:26" ht="12.75" customHeight="1">
      <c r="A5" s="215" t="s">
        <v>49</v>
      </c>
      <c r="B5" s="216">
        <v>2</v>
      </c>
      <c r="C5" s="216">
        <v>3</v>
      </c>
      <c r="D5" s="216">
        <v>4</v>
      </c>
      <c r="E5" s="216">
        <v>5</v>
      </c>
      <c r="F5" s="216">
        <v>6</v>
      </c>
      <c r="G5" s="216">
        <v>7</v>
      </c>
      <c r="H5" s="216">
        <v>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217" t="s">
        <v>88</v>
      </c>
      <c r="B6" s="218">
        <f>ROUND(IF(MinBase1Day&gt;ROUND(((1-(OvernightDiscount1_to_10+FedExExrpessEarnedDiscount))*'1Day Base'!B3),2),ROUND(MinBase1Day*(1+ExpressFuelSurcharge),2),ROUND(((1-(OvernightDiscount1_to_10+FedExExrpessEarnedDiscount))*'1Day Base'!B3)*(1+ExpressFuelSurcharge),2))*(1+FedEx_Markup),2)</f>
        <v>35.35</v>
      </c>
      <c r="C6" s="218">
        <f>ROUND(IF(MinBase1Day&gt;ROUND(((1-(OvernightDiscount1_to_10+FedExExrpessEarnedDiscount))*'1Day Base'!C3),2),ROUND(MinBase1Day*(1+ExpressFuelSurcharge),2),ROUND(((1-(OvernightDiscount1_to_10+FedExExrpessEarnedDiscount))*'1Day Base'!C3)*(1+ExpressFuelSurcharge),2))*(1+FedEx_Markup),2)</f>
        <v>35.35</v>
      </c>
      <c r="D6" s="218">
        <f>ROUND(IF(MinBase1Day&gt;ROUND(((1-(OvernightDiscount1_to_10+FedExExrpessEarnedDiscount))*'1Day Base'!D3),2),ROUND(MinBase1Day*(1+ExpressFuelSurcharge),2),ROUND(((1-(OvernightDiscount1_to_10+FedExExrpessEarnedDiscount))*'1Day Base'!D3)*(1+ExpressFuelSurcharge),2))*(1+FedEx_Markup),2)</f>
        <v>36.28</v>
      </c>
      <c r="E6" s="218">
        <f>ROUND(IF(MinBase1Day&gt;ROUND(((1-(OvernightDiscount1_to_10+FedExExrpessEarnedDiscount))*'1Day Base'!E3),2),ROUND(MinBase1Day*(1+ExpressFuelSurcharge),2),ROUND(((1-(OvernightDiscount1_to_10+FedExExrpessEarnedDiscount))*'1Day Base'!E3)*(1+ExpressFuelSurcharge),2))*(1+FedEx_Markup),2)</f>
        <v>40.19</v>
      </c>
      <c r="F6" s="218">
        <f>ROUND(IF(MinBase1Day&gt;ROUND(((1-(OvernightDiscount1_to_10+FedExExrpessEarnedDiscount))*'1Day Base'!F3),2),ROUND(MinBase1Day*(1+ExpressFuelSurcharge),2),ROUND(((1-(OvernightDiscount1_to_10+FedExExrpessEarnedDiscount))*'1Day Base'!F3)*(1+ExpressFuelSurcharge),2))*(1+FedEx_Markup),2)</f>
        <v>43.56</v>
      </c>
      <c r="G6" s="218">
        <f>ROUND(IF(MinBase1Day&gt;ROUND(((1-(OvernightDiscount1_to_10+FedExExrpessEarnedDiscount))*'1Day Base'!G3),2),ROUND(MinBase1Day*(1+ExpressFuelSurcharge),2),ROUND(((1-(OvernightDiscount1_to_10+FedExExrpessEarnedDiscount))*'1Day Base'!G3)*(1+ExpressFuelSurcharge),2))*(1+FedEx_Markup),2)</f>
        <v>47.35</v>
      </c>
      <c r="H6" s="218">
        <f>ROUND(IF(MinBase1Day&gt;ROUND(((1-(OvernightDiscount1_to_10+FedExExrpessEarnedDiscount))*'1Day Base'!H3),2),ROUND(MinBase1Day*(1+ExpressFuelSurcharge),2),ROUND(((1-(OvernightDiscount1_to_10+FedExExrpessEarnedDiscount))*'1Day Base'!H3)*(1+ExpressFuelSurcharge),2))*(1+FedEx_Markup),2)</f>
        <v>49.45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217">
        <v>2</v>
      </c>
      <c r="B7" s="218">
        <f>ROUND(IF(MinBase1Day&gt;ROUND(((1-(OvernightDiscount1_to_10+FedExExrpessEarnedDiscount))*'1Day Base'!B4),2),ROUND(MinBase1Day*(1+ExpressFuelSurcharge),2),ROUND(((1-(OvernightDiscount1_to_10+FedExExrpessEarnedDiscount))*'1Day Base'!B4)*(1+ExpressFuelSurcharge),2))*(1+FedEx_Markup),2)</f>
        <v>35.35</v>
      </c>
      <c r="C7" s="218">
        <f>ROUND(IF(MinBase1Day&gt;ROUND(((1-(OvernightDiscount1_to_10+FedExExrpessEarnedDiscount))*'1Day Base'!C4),2),ROUND(MinBase1Day*(1+ExpressFuelSurcharge),2),ROUND(((1-(OvernightDiscount1_to_10+FedExExrpessEarnedDiscount))*'1Day Base'!C4)*(1+ExpressFuelSurcharge),2))*(1+FedEx_Markup),2)</f>
        <v>35.35</v>
      </c>
      <c r="D7" s="218">
        <f>ROUND(IF(MinBase1Day&gt;ROUND(((1-(OvernightDiscount1_to_10+FedExExrpessEarnedDiscount))*'1Day Base'!D4),2),ROUND(MinBase1Day*(1+ExpressFuelSurcharge),2),ROUND(((1-(OvernightDiscount1_to_10+FedExExrpessEarnedDiscount))*'1Day Base'!D4)*(1+ExpressFuelSurcharge),2))*(1+FedEx_Markup),2)</f>
        <v>41.72</v>
      </c>
      <c r="E7" s="218">
        <f>ROUND(IF(MinBase1Day&gt;ROUND(((1-(OvernightDiscount1_to_10+FedExExrpessEarnedDiscount))*'1Day Base'!E4),2),ROUND(MinBase1Day*(1+ExpressFuelSurcharge),2),ROUND(((1-(OvernightDiscount1_to_10+FedExExrpessEarnedDiscount))*'1Day Base'!E4)*(1+ExpressFuelSurcharge),2))*(1+FedEx_Markup),2)</f>
        <v>45.34</v>
      </c>
      <c r="F7" s="218">
        <f>ROUND(IF(MinBase1Day&gt;ROUND(((1-(OvernightDiscount1_to_10+FedExExrpessEarnedDiscount))*'1Day Base'!F4),2),ROUND(MinBase1Day*(1+ExpressFuelSurcharge),2),ROUND(((1-(OvernightDiscount1_to_10+FedExExrpessEarnedDiscount))*'1Day Base'!F4)*(1+ExpressFuelSurcharge),2))*(1+FedEx_Markup),2)</f>
        <v>49.97</v>
      </c>
      <c r="G7" s="218">
        <f>ROUND(IF(MinBase1Day&gt;ROUND(((1-(OvernightDiscount1_to_10+FedExExrpessEarnedDiscount))*'1Day Base'!G4),2),ROUND(MinBase1Day*(1+ExpressFuelSurcharge),2),ROUND(((1-(OvernightDiscount1_to_10+FedExExrpessEarnedDiscount))*'1Day Base'!G4)*(1+ExpressFuelSurcharge),2))*(1+FedEx_Markup),2)</f>
        <v>54.23</v>
      </c>
      <c r="H7" s="218">
        <f>ROUND(IF(MinBase1Day&gt;ROUND(((1-(OvernightDiscount1_to_10+FedExExrpessEarnedDiscount))*'1Day Base'!H4),2),ROUND(MinBase1Day*(1+ExpressFuelSurcharge),2),ROUND(((1-(OvernightDiscount1_to_10+FedExExrpessEarnedDiscount))*'1Day Base'!H4)*(1+ExpressFuelSurcharge),2))*(1+FedEx_Markup),2)</f>
        <v>57.33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217">
        <v>3</v>
      </c>
      <c r="B8" s="218">
        <f>ROUND(IF(MinBase1Day&gt;ROUND(((1-(OvernightDiscount1_to_10+FedExExrpessEarnedDiscount))*'1Day Base'!B5),2),ROUND(MinBase1Day*(1+ExpressFuelSurcharge),2),ROUND(((1-(OvernightDiscount1_to_10+FedExExrpessEarnedDiscount))*'1Day Base'!B5)*(1+ExpressFuelSurcharge),2))*(1+FedEx_Markup),2)</f>
        <v>35.35</v>
      </c>
      <c r="C8" s="218">
        <f>ROUND(IF(MinBase1Day&gt;ROUND(((1-(OvernightDiscount1_to_10+FedExExrpessEarnedDiscount))*'1Day Base'!C5),2),ROUND(MinBase1Day*(1+ExpressFuelSurcharge),2),ROUND(((1-(OvernightDiscount1_to_10+FedExExrpessEarnedDiscount))*'1Day Base'!C5)*(1+ExpressFuelSurcharge),2))*(1+FedEx_Markup),2)</f>
        <v>35.35</v>
      </c>
      <c r="D8" s="218">
        <f>ROUND(IF(MinBase1Day&gt;ROUND(((1-(OvernightDiscount1_to_10+FedExExrpessEarnedDiscount))*'1Day Base'!D5),2),ROUND(MinBase1Day*(1+ExpressFuelSurcharge),2),ROUND(((1-(OvernightDiscount1_to_10+FedExExrpessEarnedDiscount))*'1Day Base'!D5)*(1+ExpressFuelSurcharge),2))*(1+FedEx_Markup),2)</f>
        <v>46.28</v>
      </c>
      <c r="E8" s="218">
        <f>ROUND(IF(MinBase1Day&gt;ROUND(((1-(OvernightDiscount1_to_10+FedExExrpessEarnedDiscount))*'1Day Base'!E5),2),ROUND(MinBase1Day*(1+ExpressFuelSurcharge),2),ROUND(((1-(OvernightDiscount1_to_10+FedExExrpessEarnedDiscount))*'1Day Base'!E5)*(1+ExpressFuelSurcharge),2))*(1+FedEx_Markup),2)</f>
        <v>50.23</v>
      </c>
      <c r="F8" s="218">
        <f>ROUND(IF(MinBase1Day&gt;ROUND(((1-(OvernightDiscount1_to_10+FedExExrpessEarnedDiscount))*'1Day Base'!F5),2),ROUND(MinBase1Day*(1+ExpressFuelSurcharge),2),ROUND(((1-(OvernightDiscount1_to_10+FedExExrpessEarnedDiscount))*'1Day Base'!F5)*(1+ExpressFuelSurcharge),2))*(1+FedEx_Markup),2)</f>
        <v>53.6</v>
      </c>
      <c r="G8" s="218">
        <f>ROUND(IF(MinBase1Day&gt;ROUND(((1-(OvernightDiscount1_to_10+FedExExrpessEarnedDiscount))*'1Day Base'!G5),2),ROUND(MinBase1Day*(1+ExpressFuelSurcharge),2),ROUND(((1-(OvernightDiscount1_to_10+FedExExrpessEarnedDiscount))*'1Day Base'!G5)*(1+ExpressFuelSurcharge),2))*(1+FedEx_Markup),2)</f>
        <v>59.12</v>
      </c>
      <c r="H8" s="218">
        <f>ROUND(IF(MinBase1Day&gt;ROUND(((1-(OvernightDiscount1_to_10+FedExExrpessEarnedDiscount))*'1Day Base'!H5),2),ROUND(MinBase1Day*(1+ExpressFuelSurcharge),2),ROUND(((1-(OvernightDiscount1_to_10+FedExExrpessEarnedDiscount))*'1Day Base'!H5)*(1+ExpressFuelSurcharge),2))*(1+FedEx_Markup),2)</f>
        <v>62.66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17">
        <v>4</v>
      </c>
      <c r="B9" s="218">
        <f>ROUND(IF(MinBase1Day&gt;ROUND(((1-(OvernightDiscount1_to_10+FedExExrpessEarnedDiscount))*'1Day Base'!B6),2),ROUND(MinBase1Day*(1+ExpressFuelSurcharge),2),ROUND(((1-(OvernightDiscount1_to_10+FedExExrpessEarnedDiscount))*'1Day Base'!B6)*(1+ExpressFuelSurcharge),2))*(1+FedEx_Markup),2)</f>
        <v>35.35</v>
      </c>
      <c r="C9" s="218">
        <f>ROUND(IF(MinBase1Day&gt;ROUND(((1-(OvernightDiscount1_to_10+FedExExrpessEarnedDiscount))*'1Day Base'!C6),2),ROUND(MinBase1Day*(1+ExpressFuelSurcharge),2),ROUND(((1-(OvernightDiscount1_to_10+FedExExrpessEarnedDiscount))*'1Day Base'!C6)*(1+ExpressFuelSurcharge),2))*(1+FedEx_Markup),2)</f>
        <v>35.35</v>
      </c>
      <c r="D9" s="218">
        <f>ROUND(IF(MinBase1Day&gt;ROUND(((1-(OvernightDiscount1_to_10+FedExExrpessEarnedDiscount))*'1Day Base'!D6),2),ROUND(MinBase1Day*(1+ExpressFuelSurcharge),2),ROUND(((1-(OvernightDiscount1_to_10+FedExExrpessEarnedDiscount))*'1Day Base'!D6)*(1+ExpressFuelSurcharge),2))*(1+FedEx_Markup),2)</f>
        <v>49.66</v>
      </c>
      <c r="E9" s="218">
        <f>ROUND(IF(MinBase1Day&gt;ROUND(((1-(OvernightDiscount1_to_10+FedExExrpessEarnedDiscount))*'1Day Base'!E6),2),ROUND(MinBase1Day*(1+ExpressFuelSurcharge),2),ROUND(((1-(OvernightDiscount1_to_10+FedExExrpessEarnedDiscount))*'1Day Base'!E6)*(1+ExpressFuelSurcharge),2))*(1+FedEx_Markup),2)</f>
        <v>54.54</v>
      </c>
      <c r="F9" s="218">
        <f>ROUND(IF(MinBase1Day&gt;ROUND(((1-(OvernightDiscount1_to_10+FedExExrpessEarnedDiscount))*'1Day Base'!F6),2),ROUND(MinBase1Day*(1+ExpressFuelSurcharge),2),ROUND(((1-(OvernightDiscount1_to_10+FedExExrpessEarnedDiscount))*'1Day Base'!F6)*(1+ExpressFuelSurcharge),2))*(1+FedEx_Markup),2)</f>
        <v>60.17</v>
      </c>
      <c r="G9" s="218">
        <f>ROUND(IF(MinBase1Day&gt;ROUND(((1-(OvernightDiscount1_to_10+FedExExrpessEarnedDiscount))*'1Day Base'!G6),2),ROUND(MinBase1Day*(1+ExpressFuelSurcharge),2),ROUND(((1-(OvernightDiscount1_to_10+FedExExrpessEarnedDiscount))*'1Day Base'!G6)*(1+ExpressFuelSurcharge),2))*(1+FedEx_Markup),2)</f>
        <v>64.34</v>
      </c>
      <c r="H9" s="218">
        <f>ROUND(IF(MinBase1Day&gt;ROUND(((1-(OvernightDiscount1_to_10+FedExExrpessEarnedDiscount))*'1Day Base'!H6),2),ROUND(MinBase1Day*(1+ExpressFuelSurcharge),2),ROUND(((1-(OvernightDiscount1_to_10+FedExExrpessEarnedDiscount))*'1Day Base'!H6)*(1+ExpressFuelSurcharge),2))*(1+FedEx_Markup),2)</f>
        <v>68.61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5</v>
      </c>
      <c r="B10" s="218">
        <f>ROUND(IF(MinBase1Day&gt;ROUND(((1-(OvernightDiscount1_to_10+FedExExrpessEarnedDiscount))*'1Day Base'!B7),2),ROUND(MinBase1Day*(1+ExpressFuelSurcharge),2),ROUND(((1-(OvernightDiscount1_to_10+FedExExrpessEarnedDiscount))*'1Day Base'!B7)*(1+ExpressFuelSurcharge),2))*(1+FedEx_Markup),2)</f>
        <v>35.35</v>
      </c>
      <c r="C10" s="218">
        <f>ROUND(IF(MinBase1Day&gt;ROUND(((1-(OvernightDiscount1_to_10+FedExExrpessEarnedDiscount))*'1Day Base'!C7),2),ROUND(MinBase1Day*(1+ExpressFuelSurcharge),2),ROUND(((1-(OvernightDiscount1_to_10+FedExExrpessEarnedDiscount))*'1Day Base'!C7)*(1+ExpressFuelSurcharge),2))*(1+FedEx_Markup),2)</f>
        <v>35.35</v>
      </c>
      <c r="D10" s="218">
        <f>ROUND(IF(MinBase1Day&gt;ROUND(((1-(OvernightDiscount1_to_10+FedExExrpessEarnedDiscount))*'1Day Base'!D7),2),ROUND(MinBase1Day*(1+ExpressFuelSurcharge),2),ROUND(((1-(OvernightDiscount1_to_10+FedExExrpessEarnedDiscount))*'1Day Base'!D7)*(1+ExpressFuelSurcharge),2))*(1+FedEx_Markup),2)</f>
        <v>53.33</v>
      </c>
      <c r="E10" s="218">
        <f>ROUND(IF(MinBase1Day&gt;ROUND(((1-(OvernightDiscount1_to_10+FedExExrpessEarnedDiscount))*'1Day Base'!E7),2),ROUND(MinBase1Day*(1+ExpressFuelSurcharge),2),ROUND(((1-(OvernightDiscount1_to_10+FedExExrpessEarnedDiscount))*'1Day Base'!E7)*(1+ExpressFuelSurcharge),2))*(1+FedEx_Markup),2)</f>
        <v>59.86</v>
      </c>
      <c r="F10" s="218">
        <f>ROUND(IF(MinBase1Day&gt;ROUND(((1-(OvernightDiscount1_to_10+FedExExrpessEarnedDiscount))*'1Day Base'!F7),2),ROUND(MinBase1Day*(1+ExpressFuelSurcharge),2),ROUND(((1-(OvernightDiscount1_to_10+FedExExrpessEarnedDiscount))*'1Day Base'!F7)*(1+ExpressFuelSurcharge),2))*(1+FedEx_Markup),2)</f>
        <v>62.09</v>
      </c>
      <c r="G10" s="218">
        <f>ROUND(IF(MinBase1Day&gt;ROUND(((1-(OvernightDiscount1_to_10+FedExExrpessEarnedDiscount))*'1Day Base'!G7),2),ROUND(MinBase1Day*(1+ExpressFuelSurcharge),2),ROUND(((1-(OvernightDiscount1_to_10+FedExExrpessEarnedDiscount))*'1Day Base'!G7)*(1+ExpressFuelSurcharge),2))*(1+FedEx_Markup),2)</f>
        <v>66.37</v>
      </c>
      <c r="H10" s="218">
        <f>ROUND(IF(MinBase1Day&gt;ROUND(((1-(OvernightDiscount1_to_10+FedExExrpessEarnedDiscount))*'1Day Base'!H7),2),ROUND(MinBase1Day*(1+ExpressFuelSurcharge),2),ROUND(((1-(OvernightDiscount1_to_10+FedExExrpessEarnedDiscount))*'1Day Base'!H7)*(1+ExpressFuelSurcharge),2))*(1+FedEx_Markup),2)</f>
        <v>70.12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6</v>
      </c>
      <c r="B11" s="218">
        <f>ROUND(IF(MinBase1Day&gt;ROUND(((1-(OvernightDiscount1_to_10+FedExExrpessEarnedDiscount))*'1Day Base'!B8),2),ROUND(MinBase1Day*(1+ExpressFuelSurcharge),2),ROUND(((1-(OvernightDiscount1_to_10+FedExExrpessEarnedDiscount))*'1Day Base'!B8)*(1+ExpressFuelSurcharge),2))*(1+FedEx_Markup),2)</f>
        <v>35.35</v>
      </c>
      <c r="C11" s="218">
        <f>ROUND(IF(MinBase1Day&gt;ROUND(((1-(OvernightDiscount1_to_10+FedExExrpessEarnedDiscount))*'1Day Base'!C8),2),ROUND(MinBase1Day*(1+ExpressFuelSurcharge),2),ROUND(((1-(OvernightDiscount1_to_10+FedExExrpessEarnedDiscount))*'1Day Base'!C8)*(1+ExpressFuelSurcharge),2))*(1+FedEx_Markup),2)</f>
        <v>38.79</v>
      </c>
      <c r="D11" s="218">
        <f>ROUND(IF(MinBase1Day&gt;ROUND(((1-(OvernightDiscount1_to_10+FedExExrpessEarnedDiscount))*'1Day Base'!D8),2),ROUND(MinBase1Day*(1+ExpressFuelSurcharge),2),ROUND(((1-(OvernightDiscount1_to_10+FedExExrpessEarnedDiscount))*'1Day Base'!D8)*(1+ExpressFuelSurcharge),2))*(1+FedEx_Markup),2)</f>
        <v>58.78</v>
      </c>
      <c r="E11" s="218">
        <f>ROUND(IF(MinBase1Day&gt;ROUND(((1-(OvernightDiscount1_to_10+FedExExrpessEarnedDiscount))*'1Day Base'!E8),2),ROUND(MinBase1Day*(1+ExpressFuelSurcharge),2),ROUND(((1-(OvernightDiscount1_to_10+FedExExrpessEarnedDiscount))*'1Day Base'!E8)*(1+ExpressFuelSurcharge),2))*(1+FedEx_Markup),2)</f>
        <v>63.22</v>
      </c>
      <c r="F11" s="218">
        <f>ROUND(IF(MinBase1Day&gt;ROUND(((1-(OvernightDiscount1_to_10+FedExExrpessEarnedDiscount))*'1Day Base'!F8),2),ROUND(MinBase1Day*(1+ExpressFuelSurcharge),2),ROUND(((1-(OvernightDiscount1_to_10+FedExExrpessEarnedDiscount))*'1Day Base'!F8)*(1+ExpressFuelSurcharge),2))*(1+FedEx_Markup),2)</f>
        <v>70.2</v>
      </c>
      <c r="G11" s="218">
        <f>ROUND(IF(MinBase1Day&gt;ROUND(((1-(OvernightDiscount1_to_10+FedExExrpessEarnedDiscount))*'1Day Base'!G8),2),ROUND(MinBase1Day*(1+ExpressFuelSurcharge),2),ROUND(((1-(OvernightDiscount1_to_10+FedExExrpessEarnedDiscount))*'1Day Base'!G8)*(1+ExpressFuelSurcharge),2))*(1+FedEx_Markup),2)</f>
        <v>73.45</v>
      </c>
      <c r="H11" s="218">
        <f>ROUND(IF(MinBase1Day&gt;ROUND(((1-(OvernightDiscount1_to_10+FedExExrpessEarnedDiscount))*'1Day Base'!H8),2),ROUND(MinBase1Day*(1+ExpressFuelSurcharge),2),ROUND(((1-(OvernightDiscount1_to_10+FedExExrpessEarnedDiscount))*'1Day Base'!H8)*(1+ExpressFuelSurcharge),2))*(1+FedEx_Markup),2)</f>
        <v>78.150000000000006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7</v>
      </c>
      <c r="B12" s="218">
        <f>ROUND(IF(MinBase1Day&gt;ROUND(((1-(OvernightDiscount1_to_10+FedExExrpessEarnedDiscount))*'1Day Base'!B9),2),ROUND(MinBase1Day*(1+ExpressFuelSurcharge),2),ROUND(((1-(OvernightDiscount1_to_10+FedExExrpessEarnedDiscount))*'1Day Base'!B9)*(1+ExpressFuelSurcharge),2))*(1+FedEx_Markup),2)</f>
        <v>35.35</v>
      </c>
      <c r="C12" s="218">
        <f>ROUND(IF(MinBase1Day&gt;ROUND(((1-(OvernightDiscount1_to_10+FedExExrpessEarnedDiscount))*'1Day Base'!C9),2),ROUND(MinBase1Day*(1+ExpressFuelSurcharge),2),ROUND(((1-(OvernightDiscount1_to_10+FedExExrpessEarnedDiscount))*'1Day Base'!C9)*(1+ExpressFuelSurcharge),2))*(1+FedEx_Markup),2)</f>
        <v>40.479999999999997</v>
      </c>
      <c r="D12" s="218">
        <f>ROUND(IF(MinBase1Day&gt;ROUND(((1-(OvernightDiscount1_to_10+FedExExrpessEarnedDiscount))*'1Day Base'!D9),2),ROUND(MinBase1Day*(1+ExpressFuelSurcharge),2),ROUND(((1-(OvernightDiscount1_to_10+FedExExrpessEarnedDiscount))*'1Day Base'!D9)*(1+ExpressFuelSurcharge),2))*(1+FedEx_Markup),2)</f>
        <v>62.89</v>
      </c>
      <c r="E12" s="218">
        <f>ROUND(IF(MinBase1Day&gt;ROUND(((1-(OvernightDiscount1_to_10+FedExExrpessEarnedDiscount))*'1Day Base'!E9),2),ROUND(MinBase1Day*(1+ExpressFuelSurcharge),2),ROUND(((1-(OvernightDiscount1_to_10+FedExExrpessEarnedDiscount))*'1Day Base'!E9)*(1+ExpressFuelSurcharge),2))*(1+FedEx_Markup),2)</f>
        <v>69.349999999999994</v>
      </c>
      <c r="F12" s="218">
        <f>ROUND(IF(MinBase1Day&gt;ROUND(((1-(OvernightDiscount1_to_10+FedExExrpessEarnedDiscount))*'1Day Base'!F9),2),ROUND(MinBase1Day*(1+ExpressFuelSurcharge),2),ROUND(((1-(OvernightDiscount1_to_10+FedExExrpessEarnedDiscount))*'1Day Base'!F9)*(1+ExpressFuelSurcharge),2))*(1+FedEx_Markup),2)</f>
        <v>75.19</v>
      </c>
      <c r="G12" s="218">
        <f>ROUND(IF(MinBase1Day&gt;ROUND(((1-(OvernightDiscount1_to_10+FedExExrpessEarnedDiscount))*'1Day Base'!G9),2),ROUND(MinBase1Day*(1+ExpressFuelSurcharge),2),ROUND(((1-(OvernightDiscount1_to_10+FedExExrpessEarnedDiscount))*'1Day Base'!G9)*(1+ExpressFuelSurcharge),2))*(1+FedEx_Markup),2)</f>
        <v>79.73</v>
      </c>
      <c r="H12" s="218">
        <f>ROUND(IF(MinBase1Day&gt;ROUND(((1-(OvernightDiscount1_to_10+FedExExrpessEarnedDiscount))*'1Day Base'!H9),2),ROUND(MinBase1Day*(1+ExpressFuelSurcharge),2),ROUND(((1-(OvernightDiscount1_to_10+FedExExrpessEarnedDiscount))*'1Day Base'!H9)*(1+ExpressFuelSurcharge),2))*(1+FedEx_Markup),2)</f>
        <v>84.3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8</v>
      </c>
      <c r="B13" s="218">
        <f>ROUND(IF(MinBase1Day&gt;ROUND(((1-(OvernightDiscount1_to_10+FedExExrpessEarnedDiscount))*'1Day Base'!B10),2),ROUND(MinBase1Day*(1+ExpressFuelSurcharge),2),ROUND(((1-(OvernightDiscount1_to_10+FedExExrpessEarnedDiscount))*'1Day Base'!B10)*(1+ExpressFuelSurcharge),2))*(1+FedEx_Markup),2)</f>
        <v>35.35</v>
      </c>
      <c r="C13" s="218">
        <f>ROUND(IF(MinBase1Day&gt;ROUND(((1-(OvernightDiscount1_to_10+FedExExrpessEarnedDiscount))*'1Day Base'!C10),2),ROUND(MinBase1Day*(1+ExpressFuelSurcharge),2),ROUND(((1-(OvernightDiscount1_to_10+FedExExrpessEarnedDiscount))*'1Day Base'!C10)*(1+ExpressFuelSurcharge),2))*(1+FedEx_Markup),2)</f>
        <v>41.64</v>
      </c>
      <c r="D13" s="218">
        <f>ROUND(IF(MinBase1Day&gt;ROUND(((1-(OvernightDiscount1_to_10+FedExExrpessEarnedDiscount))*'1Day Base'!D10),2),ROUND(MinBase1Day*(1+ExpressFuelSurcharge),2),ROUND(((1-(OvernightDiscount1_to_10+FedExExrpessEarnedDiscount))*'1Day Base'!D10)*(1+ExpressFuelSurcharge),2))*(1+FedEx_Markup),2)</f>
        <v>66.41</v>
      </c>
      <c r="E13" s="218">
        <f>ROUND(IF(MinBase1Day&gt;ROUND(((1-(OvernightDiscount1_to_10+FedExExrpessEarnedDiscount))*'1Day Base'!E10),2),ROUND(MinBase1Day*(1+ExpressFuelSurcharge),2),ROUND(((1-(OvernightDiscount1_to_10+FedExExrpessEarnedDiscount))*'1Day Base'!E10)*(1+ExpressFuelSurcharge),2))*(1+FedEx_Markup),2)</f>
        <v>73.14</v>
      </c>
      <c r="F13" s="218">
        <f>ROUND(IF(MinBase1Day&gt;ROUND(((1-(OvernightDiscount1_to_10+FedExExrpessEarnedDiscount))*'1Day Base'!F10),2),ROUND(MinBase1Day*(1+ExpressFuelSurcharge),2),ROUND(((1-(OvernightDiscount1_to_10+FedExExrpessEarnedDiscount))*'1Day Base'!F10)*(1+ExpressFuelSurcharge),2))*(1+FedEx_Markup),2)</f>
        <v>80.260000000000005</v>
      </c>
      <c r="G13" s="218">
        <f>ROUND(IF(MinBase1Day&gt;ROUND(((1-(OvernightDiscount1_to_10+FedExExrpessEarnedDiscount))*'1Day Base'!G10),2),ROUND(MinBase1Day*(1+ExpressFuelSurcharge),2),ROUND(((1-(OvernightDiscount1_to_10+FedExExrpessEarnedDiscount))*'1Day Base'!G10)*(1+ExpressFuelSurcharge),2))*(1+FedEx_Markup),2)</f>
        <v>84.57</v>
      </c>
      <c r="H13" s="218">
        <f>ROUND(IF(MinBase1Day&gt;ROUND(((1-(OvernightDiscount1_to_10+FedExExrpessEarnedDiscount))*'1Day Base'!H10),2),ROUND(MinBase1Day*(1+ExpressFuelSurcharge),2),ROUND(((1-(OvernightDiscount1_to_10+FedExExrpessEarnedDiscount))*'1Day Base'!H10)*(1+ExpressFuelSurcharge),2))*(1+FedEx_Markup),2)</f>
        <v>88.73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9</v>
      </c>
      <c r="B14" s="218">
        <f>ROUND(IF(MinBase1Day&gt;ROUND(((1-(OvernightDiscount1_to_10+FedExExrpessEarnedDiscount))*'1Day Base'!B11),2),ROUND(MinBase1Day*(1+ExpressFuelSurcharge),2),ROUND(((1-(OvernightDiscount1_to_10+FedExExrpessEarnedDiscount))*'1Day Base'!B11)*(1+ExpressFuelSurcharge),2))*(1+FedEx_Markup),2)</f>
        <v>35.35</v>
      </c>
      <c r="C14" s="218">
        <f>ROUND(IF(MinBase1Day&gt;ROUND(((1-(OvernightDiscount1_to_10+FedExExrpessEarnedDiscount))*'1Day Base'!C11),2),ROUND(MinBase1Day*(1+ExpressFuelSurcharge),2),ROUND(((1-(OvernightDiscount1_to_10+FedExExrpessEarnedDiscount))*'1Day Base'!C11)*(1+ExpressFuelSurcharge),2))*(1+FedEx_Markup),2)</f>
        <v>43.44</v>
      </c>
      <c r="D14" s="218">
        <f>ROUND(IF(MinBase1Day&gt;ROUND(((1-(OvernightDiscount1_to_10+FedExExrpessEarnedDiscount))*'1Day Base'!D11),2),ROUND(MinBase1Day*(1+ExpressFuelSurcharge),2),ROUND(((1-(OvernightDiscount1_to_10+FedExExrpessEarnedDiscount))*'1Day Base'!D11)*(1+ExpressFuelSurcharge),2))*(1+FedEx_Markup),2)</f>
        <v>71.459999999999994</v>
      </c>
      <c r="E14" s="218">
        <f>ROUND(IF(MinBase1Day&gt;ROUND(((1-(OvernightDiscount1_to_10+FedExExrpessEarnedDiscount))*'1Day Base'!E11),2),ROUND(MinBase1Day*(1+ExpressFuelSurcharge),2),ROUND(((1-(OvernightDiscount1_to_10+FedExExrpessEarnedDiscount))*'1Day Base'!E11)*(1+ExpressFuelSurcharge),2))*(1+FedEx_Markup),2)</f>
        <v>78.41</v>
      </c>
      <c r="F14" s="218">
        <f>ROUND(IF(MinBase1Day&gt;ROUND(((1-(OvernightDiscount1_to_10+FedExExrpessEarnedDiscount))*'1Day Base'!F11),2),ROUND(MinBase1Day*(1+ExpressFuelSurcharge),2),ROUND(((1-(OvernightDiscount1_to_10+FedExExrpessEarnedDiscount))*'1Day Base'!F11)*(1+ExpressFuelSurcharge),2))*(1+FedEx_Markup),2)</f>
        <v>82.1</v>
      </c>
      <c r="G14" s="218">
        <f>ROUND(IF(MinBase1Day&gt;ROUND(((1-(OvernightDiscount1_to_10+FedExExrpessEarnedDiscount))*'1Day Base'!G11),2),ROUND(MinBase1Day*(1+ExpressFuelSurcharge),2),ROUND(((1-(OvernightDiscount1_to_10+FedExExrpessEarnedDiscount))*'1Day Base'!G11)*(1+ExpressFuelSurcharge),2))*(1+FedEx_Markup),2)</f>
        <v>90.71</v>
      </c>
      <c r="H14" s="218">
        <f>ROUND(IF(MinBase1Day&gt;ROUND(((1-(OvernightDiscount1_to_10+FedExExrpessEarnedDiscount))*'1Day Base'!H11),2),ROUND(MinBase1Day*(1+ExpressFuelSurcharge),2),ROUND(((1-(OvernightDiscount1_to_10+FedExExrpessEarnedDiscount))*'1Day Base'!H11)*(1+ExpressFuelSurcharge),2))*(1+FedEx_Markup),2)</f>
        <v>95.32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10</v>
      </c>
      <c r="B15" s="218">
        <f>ROUND(IF(MinBase1Day&gt;ROUND(((1-(OvernightDiscount1_to_10+FedExExrpessEarnedDiscount))*'1Day Base'!B12),2),ROUND(MinBase1Day*(1+ExpressFuelSurcharge),2),ROUND(((1-(OvernightDiscount1_to_10+FedExExrpessEarnedDiscount))*'1Day Base'!B12)*(1+ExpressFuelSurcharge),2))*(1+FedEx_Markup),2)</f>
        <v>35.35</v>
      </c>
      <c r="C15" s="218">
        <f>ROUND(IF(MinBase1Day&gt;ROUND(((1-(OvernightDiscount1_to_10+FedExExrpessEarnedDiscount))*'1Day Base'!C12),2),ROUND(MinBase1Day*(1+ExpressFuelSurcharge),2),ROUND(((1-(OvernightDiscount1_to_10+FedExExrpessEarnedDiscount))*'1Day Base'!C12)*(1+ExpressFuelSurcharge),2))*(1+FedEx_Markup),2)</f>
        <v>44.67</v>
      </c>
      <c r="D15" s="218">
        <f>ROUND(IF(MinBase1Day&gt;ROUND(((1-(OvernightDiscount1_to_10+FedExExrpessEarnedDiscount))*'1Day Base'!D12),2),ROUND(MinBase1Day*(1+ExpressFuelSurcharge),2),ROUND(((1-(OvernightDiscount1_to_10+FedExExrpessEarnedDiscount))*'1Day Base'!D12)*(1+ExpressFuelSurcharge),2))*(1+FedEx_Markup),2)</f>
        <v>72.06</v>
      </c>
      <c r="E15" s="218">
        <f>ROUND(IF(MinBase1Day&gt;ROUND(((1-(OvernightDiscount1_to_10+FedExExrpessEarnedDiscount))*'1Day Base'!E12),2),ROUND(MinBase1Day*(1+ExpressFuelSurcharge),2),ROUND(((1-(OvernightDiscount1_to_10+FedExExrpessEarnedDiscount))*'1Day Base'!E12)*(1+ExpressFuelSurcharge),2))*(1+FedEx_Markup),2)</f>
        <v>79.5</v>
      </c>
      <c r="F15" s="218">
        <f>ROUND(IF(MinBase1Day&gt;ROUND(((1-(OvernightDiscount1_to_10+FedExExrpessEarnedDiscount))*'1Day Base'!F12),2),ROUND(MinBase1Day*(1+ExpressFuelSurcharge),2),ROUND(((1-(OvernightDiscount1_to_10+FedExExrpessEarnedDiscount))*'1Day Base'!F12)*(1+ExpressFuelSurcharge),2))*(1+FedEx_Markup),2)</f>
        <v>83.24</v>
      </c>
      <c r="G15" s="218">
        <f>ROUND(IF(MinBase1Day&gt;ROUND(((1-(OvernightDiscount1_to_10+FedExExrpessEarnedDiscount))*'1Day Base'!G12),2),ROUND(MinBase1Day*(1+ExpressFuelSurcharge),2),ROUND(((1-(OvernightDiscount1_to_10+FedExExrpessEarnedDiscount))*'1Day Base'!G12)*(1+ExpressFuelSurcharge),2))*(1+FedEx_Markup),2)</f>
        <v>91.33</v>
      </c>
      <c r="H15" s="218">
        <f>ROUND(IF(MinBase1Day&gt;ROUND(((1-(OvernightDiscount1_to_10+FedExExrpessEarnedDiscount))*'1Day Base'!H12),2),ROUND(MinBase1Day*(1+ExpressFuelSurcharge),2),ROUND(((1-(OvernightDiscount1_to_10+FedExExrpessEarnedDiscount))*'1Day Base'!H12)*(1+ExpressFuelSurcharge),2))*(1+FedEx_Markup),2)</f>
        <v>96.16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11</v>
      </c>
      <c r="B16" s="218">
        <f>ROUND(IF(MinBase1Day&gt;ROUND(((1-(OverNightDiscount_11_to_20+FedExExrpessEarnedDiscount))*'1Day Base'!B13),2),ROUND(MinBase1Day*(1+ExpressFuelSurcharge),2),ROUND(((1-(OverNightDiscount_11_to_20+FedExExrpessEarnedDiscount))*'1Day Base'!B13)*(1+ExpressFuelSurcharge),2))*(1+FedEx_Markup),2)</f>
        <v>35.35</v>
      </c>
      <c r="C16" s="218">
        <f>ROUND(IF(MinBase1Day&gt;ROUND(((1-(OverNightDiscount_11_to_20+FedExExrpessEarnedDiscount))*'1Day Base'!C13),2),ROUND(MinBase1Day*(1+ExpressFuelSurcharge),2),ROUND(((1-(OverNightDiscount_11_to_20+FedExExrpessEarnedDiscount))*'1Day Base'!C13)*(1+ExpressFuelSurcharge),2))*(1+FedEx_Markup),2)</f>
        <v>45.7</v>
      </c>
      <c r="D16" s="218">
        <f>ROUND(IF(MinBase1Day&gt;ROUND(((1-(OverNightDiscount_11_to_20+FedExExrpessEarnedDiscount))*'1Day Base'!D13),2),ROUND(MinBase1Day*(1+ExpressFuelSurcharge),2),ROUND(((1-(OverNightDiscount_11_to_20+FedExExrpessEarnedDiscount))*'1Day Base'!D13)*(1+ExpressFuelSurcharge),2))*(1+FedEx_Markup),2)</f>
        <v>76.959999999999994</v>
      </c>
      <c r="E16" s="218">
        <f>ROUND(IF(MinBase1Day&gt;ROUND(((1-(OverNightDiscount_11_to_20+FedExExrpessEarnedDiscount))*'1Day Base'!E13),2),ROUND(MinBase1Day*(1+ExpressFuelSurcharge),2),ROUND(((1-(OverNightDiscount_11_to_20+FedExExrpessEarnedDiscount))*'1Day Base'!E13)*(1+ExpressFuelSurcharge),2))*(1+FedEx_Markup),2)</f>
        <v>86.24</v>
      </c>
      <c r="F16" s="218">
        <f>ROUND(IF(MinBase1Day&gt;ROUND(((1-(OverNightDiscount_11_to_20+FedExExrpessEarnedDiscount))*'1Day Base'!F13),2),ROUND(MinBase1Day*(1+ExpressFuelSurcharge),2),ROUND(((1-(OverNightDiscount_11_to_20+FedExExrpessEarnedDiscount))*'1Day Base'!F13)*(1+ExpressFuelSurcharge),2))*(1+FedEx_Markup),2)</f>
        <v>93.35</v>
      </c>
      <c r="G16" s="218">
        <f>ROUND(IF(MinBase1Day&gt;ROUND(((1-(OverNightDiscount_11_to_20+FedExExrpessEarnedDiscount))*'1Day Base'!G13),2),ROUND(MinBase1Day*(1+ExpressFuelSurcharge),2),ROUND(((1-(OverNightDiscount_11_to_20+FedExExrpessEarnedDiscount))*'1Day Base'!G13)*(1+ExpressFuelSurcharge),2))*(1+FedEx_Markup),2)</f>
        <v>99.85</v>
      </c>
      <c r="H16" s="218">
        <f>ROUND(IF(MinBase1Day&gt;ROUND(((1-(OverNightDiscount_11_to_20+FedExExrpessEarnedDiscount))*'1Day Base'!H13),2),ROUND(MinBase1Day*(1+ExpressFuelSurcharge),2),ROUND(((1-(OverNightDiscount_11_to_20+FedExExrpessEarnedDiscount))*'1Day Base'!H13)*(1+ExpressFuelSurcharge),2))*(1+FedEx_Markup),2)</f>
        <v>102.87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12</v>
      </c>
      <c r="B17" s="218">
        <f>ROUND(IF(MinBase1Day&gt;ROUND(((1-(OverNightDiscount_11_to_20+FedExExrpessEarnedDiscount))*'1Day Base'!B14),2),ROUND(MinBase1Day*(1+ExpressFuelSurcharge),2),ROUND(((1-(OverNightDiscount_11_to_20+FedExExrpessEarnedDiscount))*'1Day Base'!B14)*(1+ExpressFuelSurcharge),2))*(1+FedEx_Markup),2)</f>
        <v>35.35</v>
      </c>
      <c r="C17" s="218">
        <f>ROUND(IF(MinBase1Day&gt;ROUND(((1-(OverNightDiscount_11_to_20+FedExExrpessEarnedDiscount))*'1Day Base'!C14),2),ROUND(MinBase1Day*(1+ExpressFuelSurcharge),2),ROUND(((1-(OverNightDiscount_11_to_20+FedExExrpessEarnedDiscount))*'1Day Base'!C14)*(1+ExpressFuelSurcharge),2))*(1+FedEx_Markup),2)</f>
        <v>48.04</v>
      </c>
      <c r="D17" s="218">
        <f>ROUND(IF(MinBase1Day&gt;ROUND(((1-(OverNightDiscount_11_to_20+FedExExrpessEarnedDiscount))*'1Day Base'!D14),2),ROUND(MinBase1Day*(1+ExpressFuelSurcharge),2),ROUND(((1-(OverNightDiscount_11_to_20+FedExExrpessEarnedDiscount))*'1Day Base'!D14)*(1+ExpressFuelSurcharge),2))*(1+FedEx_Markup),2)</f>
        <v>81.2</v>
      </c>
      <c r="E17" s="218">
        <f>ROUND(IF(MinBase1Day&gt;ROUND(((1-(OverNightDiscount_11_to_20+FedExExrpessEarnedDiscount))*'1Day Base'!E14),2),ROUND(MinBase1Day*(1+ExpressFuelSurcharge),2),ROUND(((1-(OverNightDiscount_11_to_20+FedExExrpessEarnedDiscount))*'1Day Base'!E14)*(1+ExpressFuelSurcharge),2))*(1+FedEx_Markup),2)</f>
        <v>90.18</v>
      </c>
      <c r="F17" s="218">
        <f>ROUND(IF(MinBase1Day&gt;ROUND(((1-(OverNightDiscount_11_to_20+FedExExrpessEarnedDiscount))*'1Day Base'!F14),2),ROUND(MinBase1Day*(1+ExpressFuelSurcharge),2),ROUND(((1-(OverNightDiscount_11_to_20+FedExExrpessEarnedDiscount))*'1Day Base'!F14)*(1+ExpressFuelSurcharge),2))*(1+FedEx_Markup),2)</f>
        <v>97.9</v>
      </c>
      <c r="G17" s="218">
        <f>ROUND(IF(MinBase1Day&gt;ROUND(((1-(OverNightDiscount_11_to_20+FedExExrpessEarnedDiscount))*'1Day Base'!G14),2),ROUND(MinBase1Day*(1+ExpressFuelSurcharge),2),ROUND(((1-(OverNightDiscount_11_to_20+FedExExrpessEarnedDiscount))*'1Day Base'!G14)*(1+ExpressFuelSurcharge),2))*(1+FedEx_Markup),2)</f>
        <v>105.29</v>
      </c>
      <c r="H17" s="218">
        <f>ROUND(IF(MinBase1Day&gt;ROUND(((1-(OverNightDiscount_11_to_20+FedExExrpessEarnedDiscount))*'1Day Base'!H14),2),ROUND(MinBase1Day*(1+ExpressFuelSurcharge),2),ROUND(((1-(OverNightDiscount_11_to_20+FedExExrpessEarnedDiscount))*'1Day Base'!H14)*(1+ExpressFuelSurcharge),2))*(1+FedEx_Markup),2)</f>
        <v>108.36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13</v>
      </c>
      <c r="B18" s="218">
        <f>ROUND(IF(MinBase1Day&gt;ROUND(((1-(OverNightDiscount_11_to_20+FedExExrpessEarnedDiscount))*'1Day Base'!B15),2),ROUND(MinBase1Day*(1+ExpressFuelSurcharge),2),ROUND(((1-(OverNightDiscount_11_to_20+FedExExrpessEarnedDiscount))*'1Day Base'!B15)*(1+ExpressFuelSurcharge),2))*(1+FedEx_Markup),2)</f>
        <v>35.35</v>
      </c>
      <c r="C18" s="218">
        <f>ROUND(IF(MinBase1Day&gt;ROUND(((1-(OverNightDiscount_11_to_20+FedExExrpessEarnedDiscount))*'1Day Base'!C15),2),ROUND(MinBase1Day*(1+ExpressFuelSurcharge),2),ROUND(((1-(OverNightDiscount_11_to_20+FedExExrpessEarnedDiscount))*'1Day Base'!C15)*(1+ExpressFuelSurcharge),2))*(1+FedEx_Markup),2)</f>
        <v>50.44</v>
      </c>
      <c r="D18" s="218">
        <f>ROUND(IF(MinBase1Day&gt;ROUND(((1-(OverNightDiscount_11_to_20+FedExExrpessEarnedDiscount))*'1Day Base'!D15),2),ROUND(MinBase1Day*(1+ExpressFuelSurcharge),2),ROUND(((1-(OverNightDiscount_11_to_20+FedExExrpessEarnedDiscount))*'1Day Base'!D15)*(1+ExpressFuelSurcharge),2))*(1+FedEx_Markup),2)</f>
        <v>85.87</v>
      </c>
      <c r="E18" s="218">
        <f>ROUND(IF(MinBase1Day&gt;ROUND(((1-(OverNightDiscount_11_to_20+FedExExrpessEarnedDiscount))*'1Day Base'!E15),2),ROUND(MinBase1Day*(1+ExpressFuelSurcharge),2),ROUND(((1-(OverNightDiscount_11_to_20+FedExExrpessEarnedDiscount))*'1Day Base'!E15)*(1+ExpressFuelSurcharge),2))*(1+FedEx_Markup),2)</f>
        <v>94.36</v>
      </c>
      <c r="F18" s="218">
        <f>ROUND(IF(MinBase1Day&gt;ROUND(((1-(OverNightDiscount_11_to_20+FedExExrpessEarnedDiscount))*'1Day Base'!F15),2),ROUND(MinBase1Day*(1+ExpressFuelSurcharge),2),ROUND(((1-(OverNightDiscount_11_to_20+FedExExrpessEarnedDiscount))*'1Day Base'!F15)*(1+ExpressFuelSurcharge),2))*(1+FedEx_Markup),2)</f>
        <v>101.88</v>
      </c>
      <c r="G18" s="218">
        <f>ROUND(IF(MinBase1Day&gt;ROUND(((1-(OverNightDiscount_11_to_20+FedExExrpessEarnedDiscount))*'1Day Base'!G15),2),ROUND(MinBase1Day*(1+ExpressFuelSurcharge),2),ROUND(((1-(OverNightDiscount_11_to_20+FedExExrpessEarnedDiscount))*'1Day Base'!G15)*(1+ExpressFuelSurcharge),2))*(1+FedEx_Markup),2)</f>
        <v>110.87</v>
      </c>
      <c r="H18" s="218">
        <f>ROUND(IF(MinBase1Day&gt;ROUND(((1-(OverNightDiscount_11_to_20+FedExExrpessEarnedDiscount))*'1Day Base'!H15),2),ROUND(MinBase1Day*(1+ExpressFuelSurcharge),2),ROUND(((1-(OverNightDiscount_11_to_20+FedExExrpessEarnedDiscount))*'1Day Base'!H15)*(1+ExpressFuelSurcharge),2))*(1+FedEx_Markup),2)</f>
        <v>113.6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14</v>
      </c>
      <c r="B19" s="218">
        <f>ROUND(IF(MinBase1Day&gt;ROUND(((1-(OverNightDiscount_11_to_20+FedExExrpessEarnedDiscount))*'1Day Base'!B16),2),ROUND(MinBase1Day*(1+ExpressFuelSurcharge),2),ROUND(((1-(OverNightDiscount_11_to_20+FedExExrpessEarnedDiscount))*'1Day Base'!B16)*(1+ExpressFuelSurcharge),2))*(1+FedEx_Markup),2)</f>
        <v>35.35</v>
      </c>
      <c r="C19" s="218">
        <f>ROUND(IF(MinBase1Day&gt;ROUND(((1-(OverNightDiscount_11_to_20+FedExExrpessEarnedDiscount))*'1Day Base'!C16),2),ROUND(MinBase1Day*(1+ExpressFuelSurcharge),2),ROUND(((1-(OverNightDiscount_11_to_20+FedExExrpessEarnedDiscount))*'1Day Base'!C16)*(1+ExpressFuelSurcharge),2))*(1+FedEx_Markup),2)</f>
        <v>52.41</v>
      </c>
      <c r="D19" s="218">
        <f>ROUND(IF(MinBase1Day&gt;ROUND(((1-(OverNightDiscount_11_to_20+FedExExrpessEarnedDiscount))*'1Day Base'!D16),2),ROUND(MinBase1Day*(1+ExpressFuelSurcharge),2),ROUND(((1-(OverNightDiscount_11_to_20+FedExExrpessEarnedDiscount))*'1Day Base'!D16)*(1+ExpressFuelSurcharge),2))*(1+FedEx_Markup),2)</f>
        <v>90.24</v>
      </c>
      <c r="E19" s="218">
        <f>ROUND(IF(MinBase1Day&gt;ROUND(((1-(OverNightDiscount_11_to_20+FedExExrpessEarnedDiscount))*'1Day Base'!E16),2),ROUND(MinBase1Day*(1+ExpressFuelSurcharge),2),ROUND(((1-(OverNightDiscount_11_to_20+FedExExrpessEarnedDiscount))*'1Day Base'!E16)*(1+ExpressFuelSurcharge),2))*(1+FedEx_Markup),2)</f>
        <v>98.36</v>
      </c>
      <c r="F19" s="218">
        <f>ROUND(IF(MinBase1Day&gt;ROUND(((1-(OverNightDiscount_11_to_20+FedExExrpessEarnedDiscount))*'1Day Base'!F16),2),ROUND(MinBase1Day*(1+ExpressFuelSurcharge),2),ROUND(((1-(OverNightDiscount_11_to_20+FedExExrpessEarnedDiscount))*'1Day Base'!F16)*(1+ExpressFuelSurcharge),2))*(1+FedEx_Markup),2)</f>
        <v>105.82</v>
      </c>
      <c r="G19" s="218">
        <f>ROUND(IF(MinBase1Day&gt;ROUND(((1-(OverNightDiscount_11_to_20+FedExExrpessEarnedDiscount))*'1Day Base'!G16),2),ROUND(MinBase1Day*(1+ExpressFuelSurcharge),2),ROUND(((1-(OverNightDiscount_11_to_20+FedExExrpessEarnedDiscount))*'1Day Base'!G16)*(1+ExpressFuelSurcharge),2))*(1+FedEx_Markup),2)</f>
        <v>115.71</v>
      </c>
      <c r="H19" s="218">
        <f>ROUND(IF(MinBase1Day&gt;ROUND(((1-(OverNightDiscount_11_to_20+FedExExrpessEarnedDiscount))*'1Day Base'!H16),2),ROUND(MinBase1Day*(1+ExpressFuelSurcharge),2),ROUND(((1-(OverNightDiscount_11_to_20+FedExExrpessEarnedDiscount))*'1Day Base'!H16)*(1+ExpressFuelSurcharge),2))*(1+FedEx_Markup),2)</f>
        <v>119.22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15</v>
      </c>
      <c r="B20" s="218">
        <f>ROUND(IF(MinBase1Day&gt;ROUND(((1-(OverNightDiscount_11_to_20+FedExExrpessEarnedDiscount))*'1Day Base'!B17),2),ROUND(MinBase1Day*(1+ExpressFuelSurcharge),2),ROUND(((1-(OverNightDiscount_11_to_20+FedExExrpessEarnedDiscount))*'1Day Base'!B17)*(1+ExpressFuelSurcharge),2))*(1+FedEx_Markup),2)</f>
        <v>35.520000000000003</v>
      </c>
      <c r="C20" s="218">
        <f>ROUND(IF(MinBase1Day&gt;ROUND(((1-(OverNightDiscount_11_to_20+FedExExrpessEarnedDiscount))*'1Day Base'!C17),2),ROUND(MinBase1Day*(1+ExpressFuelSurcharge),2),ROUND(((1-(OverNightDiscount_11_to_20+FedExExrpessEarnedDiscount))*'1Day Base'!C17)*(1+ExpressFuelSurcharge),2))*(1+FedEx_Markup),2)</f>
        <v>54.18</v>
      </c>
      <c r="D20" s="218">
        <f>ROUND(IF(MinBase1Day&gt;ROUND(((1-(OverNightDiscount_11_to_20+FedExExrpessEarnedDiscount))*'1Day Base'!D17),2),ROUND(MinBase1Day*(1+ExpressFuelSurcharge),2),ROUND(((1-(OverNightDiscount_11_to_20+FedExExrpessEarnedDiscount))*'1Day Base'!D17)*(1+ExpressFuelSurcharge),2))*(1+FedEx_Markup),2)</f>
        <v>92.58</v>
      </c>
      <c r="E20" s="218">
        <f>ROUND(IF(MinBase1Day&gt;ROUND(((1-(OverNightDiscount_11_to_20+FedExExrpessEarnedDiscount))*'1Day Base'!E17),2),ROUND(MinBase1Day*(1+ExpressFuelSurcharge),2),ROUND(((1-(OverNightDiscount_11_to_20+FedExExrpessEarnedDiscount))*'1Day Base'!E17)*(1+ExpressFuelSurcharge),2))*(1+FedEx_Markup),2)</f>
        <v>102.32</v>
      </c>
      <c r="F20" s="218">
        <f>ROUND(IF(MinBase1Day&gt;ROUND(((1-(OverNightDiscount_11_to_20+FedExExrpessEarnedDiscount))*'1Day Base'!F17),2),ROUND(MinBase1Day*(1+ExpressFuelSurcharge),2),ROUND(((1-(OverNightDiscount_11_to_20+FedExExrpessEarnedDiscount))*'1Day Base'!F17)*(1+ExpressFuelSurcharge),2))*(1+FedEx_Markup),2)</f>
        <v>107.77</v>
      </c>
      <c r="G20" s="218">
        <f>ROUND(IF(MinBase1Day&gt;ROUND(((1-(OverNightDiscount_11_to_20+FedExExrpessEarnedDiscount))*'1Day Base'!G17),2),ROUND(MinBase1Day*(1+ExpressFuelSurcharge),2),ROUND(((1-(OverNightDiscount_11_to_20+FedExExrpessEarnedDiscount))*'1Day Base'!G17)*(1+ExpressFuelSurcharge),2))*(1+FedEx_Markup),2)</f>
        <v>119.54</v>
      </c>
      <c r="H20" s="218">
        <f>ROUND(IF(MinBase1Day&gt;ROUND(((1-(OverNightDiscount_11_to_20+FedExExrpessEarnedDiscount))*'1Day Base'!H17),2),ROUND(MinBase1Day*(1+ExpressFuelSurcharge),2),ROUND(((1-(OverNightDiscount_11_to_20+FedExExrpessEarnedDiscount))*'1Day Base'!H17)*(1+ExpressFuelSurcharge),2))*(1+FedEx_Markup),2)</f>
        <v>123.21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16</v>
      </c>
      <c r="B21" s="218">
        <f>ROUND(IF(MinBase1Day&gt;ROUND(((1-(OverNightDiscount_11_to_20+FedExExrpessEarnedDiscount))*'1Day Base'!B18),2),ROUND(MinBase1Day*(1+ExpressFuelSurcharge),2),ROUND(((1-(OverNightDiscount_11_to_20+FedExExrpessEarnedDiscount))*'1Day Base'!B18)*(1+ExpressFuelSurcharge),2))*(1+FedEx_Markup),2)</f>
        <v>36.28</v>
      </c>
      <c r="C21" s="218">
        <f>ROUND(IF(MinBase1Day&gt;ROUND(((1-(OverNightDiscount_11_to_20+FedExExrpessEarnedDiscount))*'1Day Base'!C18),2),ROUND(MinBase1Day*(1+ExpressFuelSurcharge),2),ROUND(((1-(OverNightDiscount_11_to_20+FedExExrpessEarnedDiscount))*'1Day Base'!C18)*(1+ExpressFuelSurcharge),2))*(1+FedEx_Markup),2)</f>
        <v>54.73</v>
      </c>
      <c r="D21" s="218">
        <f>ROUND(IF(MinBase1Day&gt;ROUND(((1-(OverNightDiscount_11_to_20+FedExExrpessEarnedDiscount))*'1Day Base'!D18),2),ROUND(MinBase1Day*(1+ExpressFuelSurcharge),2),ROUND(((1-(OverNightDiscount_11_to_20+FedExExrpessEarnedDiscount))*'1Day Base'!D18)*(1+ExpressFuelSurcharge),2))*(1+FedEx_Markup),2)</f>
        <v>96.93</v>
      </c>
      <c r="E21" s="218">
        <f>ROUND(IF(MinBase1Day&gt;ROUND(((1-(OverNightDiscount_11_to_20+FedExExrpessEarnedDiscount))*'1Day Base'!E18),2),ROUND(MinBase1Day*(1+ExpressFuelSurcharge),2),ROUND(((1-(OverNightDiscount_11_to_20+FedExExrpessEarnedDiscount))*'1Day Base'!E18)*(1+ExpressFuelSurcharge),2))*(1+FedEx_Markup),2)</f>
        <v>105.1</v>
      </c>
      <c r="F21" s="218">
        <f>ROUND(IF(MinBase1Day&gt;ROUND(((1-(OverNightDiscount_11_to_20+FedExExrpessEarnedDiscount))*'1Day Base'!F18),2),ROUND(MinBase1Day*(1+ExpressFuelSurcharge),2),ROUND(((1-(OverNightDiscount_11_to_20+FedExExrpessEarnedDiscount))*'1Day Base'!F18)*(1+ExpressFuelSurcharge),2))*(1+FedEx_Markup),2)</f>
        <v>113.38</v>
      </c>
      <c r="G21" s="218">
        <f>ROUND(IF(MinBase1Day&gt;ROUND(((1-(OverNightDiscount_11_to_20+FedExExrpessEarnedDiscount))*'1Day Base'!G18),2),ROUND(MinBase1Day*(1+ExpressFuelSurcharge),2),ROUND(((1-(OverNightDiscount_11_to_20+FedExExrpessEarnedDiscount))*'1Day Base'!G18)*(1+ExpressFuelSurcharge),2))*(1+FedEx_Markup),2)</f>
        <v>121.5</v>
      </c>
      <c r="H21" s="218">
        <f>ROUND(IF(MinBase1Day&gt;ROUND(((1-(OverNightDiscount_11_to_20+FedExExrpessEarnedDiscount))*'1Day Base'!H18),2),ROUND(MinBase1Day*(1+ExpressFuelSurcharge),2),ROUND(((1-(OverNightDiscount_11_to_20+FedExExrpessEarnedDiscount))*'1Day Base'!H18)*(1+ExpressFuelSurcharge),2))*(1+FedEx_Markup),2)</f>
        <v>126.85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17</v>
      </c>
      <c r="B22" s="218">
        <f>ROUND(IF(MinBase1Day&gt;ROUND(((1-(OverNightDiscount_11_to_20+FedExExrpessEarnedDiscount))*'1Day Base'!B19),2),ROUND(MinBase1Day*(1+ExpressFuelSurcharge),2),ROUND(((1-(OverNightDiscount_11_to_20+FedExExrpessEarnedDiscount))*'1Day Base'!B19)*(1+ExpressFuelSurcharge),2))*(1+FedEx_Markup),2)</f>
        <v>37.06</v>
      </c>
      <c r="C22" s="218">
        <f>ROUND(IF(MinBase1Day&gt;ROUND(((1-(OverNightDiscount_11_to_20+FedExExrpessEarnedDiscount))*'1Day Base'!C19),2),ROUND(MinBase1Day*(1+ExpressFuelSurcharge),2),ROUND(((1-(OverNightDiscount_11_to_20+FedExExrpessEarnedDiscount))*'1Day Base'!C19)*(1+ExpressFuelSurcharge),2))*(1+FedEx_Markup),2)</f>
        <v>56.53</v>
      </c>
      <c r="D22" s="218">
        <f>ROUND(IF(MinBase1Day&gt;ROUND(((1-(OverNightDiscount_11_to_20+FedExExrpessEarnedDiscount))*'1Day Base'!D19),2),ROUND(MinBase1Day*(1+ExpressFuelSurcharge),2),ROUND(((1-(OverNightDiscount_11_to_20+FedExExrpessEarnedDiscount))*'1Day Base'!D19)*(1+ExpressFuelSurcharge),2))*(1+FedEx_Markup),2)</f>
        <v>100.64</v>
      </c>
      <c r="E22" s="218">
        <f>ROUND(IF(MinBase1Day&gt;ROUND(((1-(OverNightDiscount_11_to_20+FedExExrpessEarnedDiscount))*'1Day Base'!E19),2),ROUND(MinBase1Day*(1+ExpressFuelSurcharge),2),ROUND(((1-(OverNightDiscount_11_to_20+FedExExrpessEarnedDiscount))*'1Day Base'!E19)*(1+ExpressFuelSurcharge),2))*(1+FedEx_Markup),2)</f>
        <v>109.51</v>
      </c>
      <c r="F22" s="218">
        <f>ROUND(IF(MinBase1Day&gt;ROUND(((1-(OverNightDiscount_11_to_20+FedExExrpessEarnedDiscount))*'1Day Base'!F19),2),ROUND(MinBase1Day*(1+ExpressFuelSurcharge),2),ROUND(((1-(OverNightDiscount_11_to_20+FedExExrpessEarnedDiscount))*'1Day Base'!F19)*(1+ExpressFuelSurcharge),2))*(1+FedEx_Markup),2)</f>
        <v>116.01</v>
      </c>
      <c r="G22" s="218">
        <f>ROUND(IF(MinBase1Day&gt;ROUND(((1-(OverNightDiscount_11_to_20+FedExExrpessEarnedDiscount))*'1Day Base'!G19),2),ROUND(MinBase1Day*(1+ExpressFuelSurcharge),2),ROUND(((1-(OverNightDiscount_11_to_20+FedExExrpessEarnedDiscount))*'1Day Base'!G19)*(1+ExpressFuelSurcharge),2))*(1+FedEx_Markup),2)</f>
        <v>124.25</v>
      </c>
      <c r="H22" s="218">
        <f>ROUND(IF(MinBase1Day&gt;ROUND(((1-(OverNightDiscount_11_to_20+FedExExrpessEarnedDiscount))*'1Day Base'!H19),2),ROUND(MinBase1Day*(1+ExpressFuelSurcharge),2),ROUND(((1-(OverNightDiscount_11_to_20+FedExExrpessEarnedDiscount))*'1Day Base'!H19)*(1+ExpressFuelSurcharge),2))*(1+FedEx_Markup),2)</f>
        <v>129.55000000000001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18</v>
      </c>
      <c r="B23" s="218">
        <f>ROUND(IF(MinBase1Day&gt;ROUND(((1-(OverNightDiscount_11_to_20+FedExExrpessEarnedDiscount))*'1Day Base'!B20),2),ROUND(MinBase1Day*(1+ExpressFuelSurcharge),2),ROUND(((1-(OverNightDiscount_11_to_20+FedExExrpessEarnedDiscount))*'1Day Base'!B20)*(1+ExpressFuelSurcharge),2))*(1+FedEx_Markup),2)</f>
        <v>39.270000000000003</v>
      </c>
      <c r="C23" s="218">
        <f>ROUND(IF(MinBase1Day&gt;ROUND(((1-(OverNightDiscount_11_to_20+FedExExrpessEarnedDiscount))*'1Day Base'!C20),2),ROUND(MinBase1Day*(1+ExpressFuelSurcharge),2),ROUND(((1-(OverNightDiscount_11_to_20+FedExExrpessEarnedDiscount))*'1Day Base'!C20)*(1+ExpressFuelSurcharge),2))*(1+FedEx_Markup),2)</f>
        <v>57.17</v>
      </c>
      <c r="D23" s="218">
        <f>ROUND(IF(MinBase1Day&gt;ROUND(((1-(OverNightDiscount_11_to_20+FedExExrpessEarnedDiscount))*'1Day Base'!D20),2),ROUND(MinBase1Day*(1+ExpressFuelSurcharge),2),ROUND(((1-(OverNightDiscount_11_to_20+FedExExrpessEarnedDiscount))*'1Day Base'!D20)*(1+ExpressFuelSurcharge),2))*(1+FedEx_Markup),2)</f>
        <v>103.66</v>
      </c>
      <c r="E23" s="218">
        <f>ROUND(IF(MinBase1Day&gt;ROUND(((1-(OverNightDiscount_11_to_20+FedExExrpessEarnedDiscount))*'1Day Base'!E20),2),ROUND(MinBase1Day*(1+ExpressFuelSurcharge),2),ROUND(((1-(OverNightDiscount_11_to_20+FedExExrpessEarnedDiscount))*'1Day Base'!E20)*(1+ExpressFuelSurcharge),2))*(1+FedEx_Markup),2)</f>
        <v>111.78</v>
      </c>
      <c r="F23" s="218">
        <f>ROUND(IF(MinBase1Day&gt;ROUND(((1-(OverNightDiscount_11_to_20+FedExExrpessEarnedDiscount))*'1Day Base'!F20),2),ROUND(MinBase1Day*(1+ExpressFuelSurcharge),2),ROUND(((1-(OverNightDiscount_11_to_20+FedExExrpessEarnedDiscount))*'1Day Base'!F20)*(1+ExpressFuelSurcharge),2))*(1+FedEx_Markup),2)</f>
        <v>118.57</v>
      </c>
      <c r="G23" s="218">
        <f>ROUND(IF(MinBase1Day&gt;ROUND(((1-(OverNightDiscount_11_to_20+FedExExrpessEarnedDiscount))*'1Day Base'!G20),2),ROUND(MinBase1Day*(1+ExpressFuelSurcharge),2),ROUND(((1-(OverNightDiscount_11_to_20+FedExExrpessEarnedDiscount))*'1Day Base'!G20)*(1+ExpressFuelSurcharge),2))*(1+FedEx_Markup),2)</f>
        <v>126.93</v>
      </c>
      <c r="H23" s="218">
        <f>ROUND(IF(MinBase1Day&gt;ROUND(((1-(OverNightDiscount_11_to_20+FedExExrpessEarnedDiscount))*'1Day Base'!H20),2),ROUND(MinBase1Day*(1+ExpressFuelSurcharge),2),ROUND(((1-(OverNightDiscount_11_to_20+FedExExrpessEarnedDiscount))*'1Day Base'!H20)*(1+ExpressFuelSurcharge),2))*(1+FedEx_Markup),2)</f>
        <v>131.77000000000001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19</v>
      </c>
      <c r="B24" s="218">
        <f>ROUND(IF(MinBase1Day&gt;ROUND(((1-(OverNightDiscount_11_to_20+FedExExrpessEarnedDiscount))*'1Day Base'!B21),2),ROUND(MinBase1Day*(1+ExpressFuelSurcharge),2),ROUND(((1-(OverNightDiscount_11_to_20+FedExExrpessEarnedDiscount))*'1Day Base'!B21)*(1+ExpressFuelSurcharge),2))*(1+FedEx_Markup),2)</f>
        <v>40.32</v>
      </c>
      <c r="C24" s="218">
        <f>ROUND(IF(MinBase1Day&gt;ROUND(((1-(OverNightDiscount_11_to_20+FedExExrpessEarnedDiscount))*'1Day Base'!C21),2),ROUND(MinBase1Day*(1+ExpressFuelSurcharge),2),ROUND(((1-(OverNightDiscount_11_to_20+FedExExrpessEarnedDiscount))*'1Day Base'!C21)*(1+ExpressFuelSurcharge),2))*(1+FedEx_Markup),2)</f>
        <v>59.6</v>
      </c>
      <c r="D24" s="218">
        <f>ROUND(IF(MinBase1Day&gt;ROUND(((1-(OverNightDiscount_11_to_20+FedExExrpessEarnedDiscount))*'1Day Base'!D21),2),ROUND(MinBase1Day*(1+ExpressFuelSurcharge),2),ROUND(((1-(OverNightDiscount_11_to_20+FedExExrpessEarnedDiscount))*'1Day Base'!D21)*(1+ExpressFuelSurcharge),2))*(1+FedEx_Markup),2)</f>
        <v>106.12</v>
      </c>
      <c r="E24" s="218">
        <f>ROUND(IF(MinBase1Day&gt;ROUND(((1-(OverNightDiscount_11_to_20+FedExExrpessEarnedDiscount))*'1Day Base'!E21),2),ROUND(MinBase1Day*(1+ExpressFuelSurcharge),2),ROUND(((1-(OverNightDiscount_11_to_20+FedExExrpessEarnedDiscount))*'1Day Base'!E21)*(1+ExpressFuelSurcharge),2))*(1+FedEx_Markup),2)</f>
        <v>114.14</v>
      </c>
      <c r="F24" s="218">
        <f>ROUND(IF(MinBase1Day&gt;ROUND(((1-(OverNightDiscount_11_to_20+FedExExrpessEarnedDiscount))*'1Day Base'!F21),2),ROUND(MinBase1Day*(1+ExpressFuelSurcharge),2),ROUND(((1-(OverNightDiscount_11_to_20+FedExExrpessEarnedDiscount))*'1Day Base'!F21)*(1+ExpressFuelSurcharge),2))*(1+FedEx_Markup),2)</f>
        <v>121.24</v>
      </c>
      <c r="G24" s="218">
        <f>ROUND(IF(MinBase1Day&gt;ROUND(((1-(OverNightDiscount_11_to_20+FedExExrpessEarnedDiscount))*'1Day Base'!G21),2),ROUND(MinBase1Day*(1+ExpressFuelSurcharge),2),ROUND(((1-(OverNightDiscount_11_to_20+FedExExrpessEarnedDiscount))*'1Day Base'!G21)*(1+ExpressFuelSurcharge),2))*(1+FedEx_Markup),2)</f>
        <v>129.77000000000001</v>
      </c>
      <c r="H24" s="218">
        <f>ROUND(IF(MinBase1Day&gt;ROUND(((1-(OverNightDiscount_11_to_20+FedExExrpessEarnedDiscount))*'1Day Base'!H21),2),ROUND(MinBase1Day*(1+ExpressFuelSurcharge),2),ROUND(((1-(OverNightDiscount_11_to_20+FedExExrpessEarnedDiscount))*'1Day Base'!H21)*(1+ExpressFuelSurcharge),2))*(1+FedEx_Markup),2)</f>
        <v>136.44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20</v>
      </c>
      <c r="B25" s="218">
        <f>ROUND(IF(MinBase1Day&gt;ROUND(((1-(OverNightDiscount_11_to_20+FedExExrpessEarnedDiscount))*'1Day Base'!B22),2),ROUND(MinBase1Day*(1+ExpressFuelSurcharge),2),ROUND(((1-(OverNightDiscount_11_to_20+FedExExrpessEarnedDiscount))*'1Day Base'!B22)*(1+ExpressFuelSurcharge),2))*(1+FedEx_Markup),2)</f>
        <v>41.07</v>
      </c>
      <c r="C25" s="218">
        <f>ROUND(IF(MinBase1Day&gt;ROUND(((1-(OverNightDiscount_11_to_20+FedExExrpessEarnedDiscount))*'1Day Base'!C22),2),ROUND(MinBase1Day*(1+ExpressFuelSurcharge),2),ROUND(((1-(OverNightDiscount_11_to_20+FedExExrpessEarnedDiscount))*'1Day Base'!C22)*(1+ExpressFuelSurcharge),2))*(1+FedEx_Markup),2)</f>
        <v>61.36</v>
      </c>
      <c r="D25" s="218">
        <f>ROUND(IF(MinBase1Day&gt;ROUND(((1-(OverNightDiscount_11_to_20+FedExExrpessEarnedDiscount))*'1Day Base'!D22),2),ROUND(MinBase1Day*(1+ExpressFuelSurcharge),2),ROUND(((1-(OverNightDiscount_11_to_20+FedExExrpessEarnedDiscount))*'1Day Base'!D22)*(1+ExpressFuelSurcharge),2))*(1+FedEx_Markup),2)</f>
        <v>108.85</v>
      </c>
      <c r="E25" s="218">
        <f>ROUND(IF(MinBase1Day&gt;ROUND(((1-(OverNightDiscount_11_to_20+FedExExrpessEarnedDiscount))*'1Day Base'!E22),2),ROUND(MinBase1Day*(1+ExpressFuelSurcharge),2),ROUND(((1-(OverNightDiscount_11_to_20+FedExExrpessEarnedDiscount))*'1Day Base'!E22)*(1+ExpressFuelSurcharge),2))*(1+FedEx_Markup),2)</f>
        <v>118.54</v>
      </c>
      <c r="F25" s="218">
        <f>ROUND(IF(MinBase1Day&gt;ROUND(((1-(OverNightDiscount_11_to_20+FedExExrpessEarnedDiscount))*'1Day Base'!F22),2),ROUND(MinBase1Day*(1+ExpressFuelSurcharge),2),ROUND(((1-(OverNightDiscount_11_to_20+FedExExrpessEarnedDiscount))*'1Day Base'!F22)*(1+ExpressFuelSurcharge),2))*(1+FedEx_Markup),2)</f>
        <v>121.99</v>
      </c>
      <c r="G25" s="218">
        <f>ROUND(IF(MinBase1Day&gt;ROUND(((1-(OverNightDiscount_11_to_20+FedExExrpessEarnedDiscount))*'1Day Base'!G22),2),ROUND(MinBase1Day*(1+ExpressFuelSurcharge),2),ROUND(((1-(OverNightDiscount_11_to_20+FedExExrpessEarnedDiscount))*'1Day Base'!G22)*(1+ExpressFuelSurcharge),2))*(1+FedEx_Markup),2)</f>
        <v>133.94</v>
      </c>
      <c r="H25" s="218">
        <f>ROUND(IF(MinBase1Day&gt;ROUND(((1-(OverNightDiscount_11_to_20+FedExExrpessEarnedDiscount))*'1Day Base'!H22),2),ROUND(MinBase1Day*(1+ExpressFuelSurcharge),2),ROUND(((1-(OverNightDiscount_11_to_20+FedExExrpessEarnedDiscount))*'1Day Base'!H22)*(1+ExpressFuelSurcharge),2))*(1+FedEx_Markup),2)</f>
        <v>137.01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21</v>
      </c>
      <c r="B26" s="218">
        <f>ROUND(IF(MinBase1Day&gt;ROUND(((1-(OverNightDiscount_21_Up+FedExExrpessEarnedDiscount))*'1Day Base'!B23),2),ROUND(MinBase1Day*(1+ExpressFuelSurcharge),2),ROUND(((1-(OverNightDiscount_21_Up+FedExExrpessEarnedDiscount))*'1Day Base'!B23)*(1+ExpressFuelSurcharge),2))*(1+FedEx_Markup),2)</f>
        <v>39.54</v>
      </c>
      <c r="C26" s="218">
        <f>ROUND(IF(MinBase1Day&gt;ROUND(((1-(OverNightDiscount_21_Up+FedExExrpessEarnedDiscount))*'1Day Base'!C23),2),ROUND(MinBase1Day*(1+ExpressFuelSurcharge),2),ROUND(((1-(OverNightDiscount_21_Up+FedExExrpessEarnedDiscount))*'1Day Base'!C23)*(1+ExpressFuelSurcharge),2))*(1+FedEx_Markup),2)</f>
        <v>58.64</v>
      </c>
      <c r="D26" s="218">
        <f>ROUND(IF(MinBase1Day&gt;ROUND(((1-(OverNightDiscount_21_Up+FedExExrpessEarnedDiscount))*'1Day Base'!D23),2),ROUND(MinBase1Day*(1+ExpressFuelSurcharge),2),ROUND(((1-(OverNightDiscount_21_Up+FedExExrpessEarnedDiscount))*'1Day Base'!D23)*(1+ExpressFuelSurcharge),2))*(1+FedEx_Markup),2)</f>
        <v>108.3</v>
      </c>
      <c r="E26" s="218">
        <f>ROUND(IF(MinBase1Day&gt;ROUND(((1-(OverNightDiscount_21_Up+FedExExrpessEarnedDiscount))*'1Day Base'!E23),2),ROUND(MinBase1Day*(1+ExpressFuelSurcharge),2),ROUND(((1-(OverNightDiscount_21_Up+FedExExrpessEarnedDiscount))*'1Day Base'!E23)*(1+ExpressFuelSurcharge),2))*(1+FedEx_Markup),2)</f>
        <v>114.79</v>
      </c>
      <c r="F26" s="218">
        <f>ROUND(IF(MinBase1Day&gt;ROUND(((1-(OverNightDiscount_21_Up+FedExExrpessEarnedDiscount))*'1Day Base'!F23),2),ROUND(MinBase1Day*(1+ExpressFuelSurcharge),2),ROUND(((1-(OverNightDiscount_21_Up+FedExExrpessEarnedDiscount))*'1Day Base'!F23)*(1+ExpressFuelSurcharge),2))*(1+FedEx_Markup),2)</f>
        <v>123.11</v>
      </c>
      <c r="G26" s="218">
        <f>ROUND(IF(MinBase1Day&gt;ROUND(((1-(OverNightDiscount_21_Up+FedExExrpessEarnedDiscount))*'1Day Base'!G23),2),ROUND(MinBase1Day*(1+ExpressFuelSurcharge),2),ROUND(((1-(OverNightDiscount_21_Up+FedExExrpessEarnedDiscount))*'1Day Base'!G23)*(1+ExpressFuelSurcharge),2))*(1+FedEx_Markup),2)</f>
        <v>130.19</v>
      </c>
      <c r="H26" s="218">
        <f>ROUND(IF(MinBase1Day&gt;ROUND(((1-(OverNightDiscount_21_Up+FedExExrpessEarnedDiscount))*'1Day Base'!H23),2),ROUND(MinBase1Day*(1+ExpressFuelSurcharge),2),ROUND(((1-(OverNightDiscount_21_Up+FedExExrpessEarnedDiscount))*'1Day Base'!H23)*(1+ExpressFuelSurcharge),2))*(1+FedEx_Markup),2)</f>
        <v>137.44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22</v>
      </c>
      <c r="B27" s="218">
        <f>ROUND(IF(MinBase1Day&gt;ROUND(((1-(OverNightDiscount_21_Up+FedExExrpessEarnedDiscount))*'1Day Base'!B24),2),ROUND(MinBase1Day*(1+ExpressFuelSurcharge),2),ROUND(((1-(OverNightDiscount_21_Up+FedExExrpessEarnedDiscount))*'1Day Base'!B24)*(1+ExpressFuelSurcharge),2))*(1+FedEx_Markup),2)</f>
        <v>40.93</v>
      </c>
      <c r="C27" s="218">
        <f>ROUND(IF(MinBase1Day&gt;ROUND(((1-(OverNightDiscount_21_Up+FedExExrpessEarnedDiscount))*'1Day Base'!C24),2),ROUND(MinBase1Day*(1+ExpressFuelSurcharge),2),ROUND(((1-(OverNightDiscount_21_Up+FedExExrpessEarnedDiscount))*'1Day Base'!C24)*(1+ExpressFuelSurcharge),2))*(1+FedEx_Markup),2)</f>
        <v>59.88</v>
      </c>
      <c r="D27" s="218">
        <f>ROUND(IF(MinBase1Day&gt;ROUND(((1-(OverNightDiscount_21_Up+FedExExrpessEarnedDiscount))*'1Day Base'!D24),2),ROUND(MinBase1Day*(1+ExpressFuelSurcharge),2),ROUND(((1-(OverNightDiscount_21_Up+FedExExrpessEarnedDiscount))*'1Day Base'!D24)*(1+ExpressFuelSurcharge),2))*(1+FedEx_Markup),2)</f>
        <v>111.09</v>
      </c>
      <c r="E27" s="218">
        <f>ROUND(IF(MinBase1Day&gt;ROUND(((1-(OverNightDiscount_21_Up+FedExExrpessEarnedDiscount))*'1Day Base'!E24),2),ROUND(MinBase1Day*(1+ExpressFuelSurcharge),2),ROUND(((1-(OverNightDiscount_21_Up+FedExExrpessEarnedDiscount))*'1Day Base'!E24)*(1+ExpressFuelSurcharge),2))*(1+FedEx_Markup),2)</f>
        <v>120.85</v>
      </c>
      <c r="F27" s="218">
        <f>ROUND(IF(MinBase1Day&gt;ROUND(((1-(OverNightDiscount_21_Up+FedExExrpessEarnedDiscount))*'1Day Base'!F24),2),ROUND(MinBase1Day*(1+ExpressFuelSurcharge),2),ROUND(((1-(OverNightDiscount_21_Up+FedExExrpessEarnedDiscount))*'1Day Base'!F24)*(1+ExpressFuelSurcharge),2))*(1+FedEx_Markup),2)</f>
        <v>123.98</v>
      </c>
      <c r="G27" s="218">
        <f>ROUND(IF(MinBase1Day&gt;ROUND(((1-(OverNightDiscount_21_Up+FedExExrpessEarnedDiscount))*'1Day Base'!G24),2),ROUND(MinBase1Day*(1+ExpressFuelSurcharge),2),ROUND(((1-(OverNightDiscount_21_Up+FedExExrpessEarnedDiscount))*'1Day Base'!G24)*(1+ExpressFuelSurcharge),2))*(1+FedEx_Markup),2)</f>
        <v>139.5</v>
      </c>
      <c r="H27" s="218">
        <f>ROUND(IF(MinBase1Day&gt;ROUND(((1-(OverNightDiscount_21_Up+FedExExrpessEarnedDiscount))*'1Day Base'!H24),2),ROUND(MinBase1Day*(1+ExpressFuelSurcharge),2),ROUND(((1-(OverNightDiscount_21_Up+FedExExrpessEarnedDiscount))*'1Day Base'!H24)*(1+ExpressFuelSurcharge),2))*(1+FedEx_Markup),2)</f>
        <v>143.26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23</v>
      </c>
      <c r="B28" s="218">
        <f>ROUND(IF(MinBase1Day&gt;ROUND(((1-(OverNightDiscount_21_Up+FedExExrpessEarnedDiscount))*'1Day Base'!B25),2),ROUND(MinBase1Day*(1+ExpressFuelSurcharge),2),ROUND(((1-(OverNightDiscount_21_Up+FedExExrpessEarnedDiscount))*'1Day Base'!B25)*(1+ExpressFuelSurcharge),2))*(1+FedEx_Markup),2)</f>
        <v>42.17</v>
      </c>
      <c r="C28" s="218">
        <f>ROUND(IF(MinBase1Day&gt;ROUND(((1-(OverNightDiscount_21_Up+FedExExrpessEarnedDiscount))*'1Day Base'!C25),2),ROUND(MinBase1Day*(1+ExpressFuelSurcharge),2),ROUND(((1-(OverNightDiscount_21_Up+FedExExrpessEarnedDiscount))*'1Day Base'!C25)*(1+ExpressFuelSurcharge),2))*(1+FedEx_Markup),2)</f>
        <v>61.03</v>
      </c>
      <c r="D28" s="218">
        <f>ROUND(IF(MinBase1Day&gt;ROUND(((1-(OverNightDiscount_21_Up+FedExExrpessEarnedDiscount))*'1Day Base'!D25),2),ROUND(MinBase1Day*(1+ExpressFuelSurcharge),2),ROUND(((1-(OverNightDiscount_21_Up+FedExExrpessEarnedDiscount))*'1Day Base'!D25)*(1+ExpressFuelSurcharge),2))*(1+FedEx_Markup),2)</f>
        <v>114.1</v>
      </c>
      <c r="E28" s="218">
        <f>ROUND(IF(MinBase1Day&gt;ROUND(((1-(OverNightDiscount_21_Up+FedExExrpessEarnedDiscount))*'1Day Base'!E25),2),ROUND(MinBase1Day*(1+ExpressFuelSurcharge),2),ROUND(((1-(OverNightDiscount_21_Up+FedExExrpessEarnedDiscount))*'1Day Base'!E25)*(1+ExpressFuelSurcharge),2))*(1+FedEx_Markup),2)</f>
        <v>124.95</v>
      </c>
      <c r="F28" s="218">
        <f>ROUND(IF(MinBase1Day&gt;ROUND(((1-(OverNightDiscount_21_Up+FedExExrpessEarnedDiscount))*'1Day Base'!F25),2),ROUND(MinBase1Day*(1+ExpressFuelSurcharge),2),ROUND(((1-(OverNightDiscount_21_Up+FedExExrpessEarnedDiscount))*'1Day Base'!F25)*(1+ExpressFuelSurcharge),2))*(1+FedEx_Markup),2)</f>
        <v>128.83000000000001</v>
      </c>
      <c r="G28" s="218">
        <f>ROUND(IF(MinBase1Day&gt;ROUND(((1-(OverNightDiscount_21_Up+FedExExrpessEarnedDiscount))*'1Day Base'!G25),2),ROUND(MinBase1Day*(1+ExpressFuelSurcharge),2),ROUND(((1-(OverNightDiscount_21_Up+FedExExrpessEarnedDiscount))*'1Day Base'!G25)*(1+ExpressFuelSurcharge),2))*(1+FedEx_Markup),2)</f>
        <v>141.02000000000001</v>
      </c>
      <c r="H28" s="218">
        <f>ROUND(IF(MinBase1Day&gt;ROUND(((1-(OverNightDiscount_21_Up+FedExExrpessEarnedDiscount))*'1Day Base'!H25),2),ROUND(MinBase1Day*(1+ExpressFuelSurcharge),2),ROUND(((1-(OverNightDiscount_21_Up+FedExExrpessEarnedDiscount))*'1Day Base'!H25)*(1+ExpressFuelSurcharge),2))*(1+FedEx_Markup),2)</f>
        <v>143.84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24</v>
      </c>
      <c r="B29" s="218">
        <f>ROUND(IF(MinBase1Day&gt;ROUND(((1-(OverNightDiscount_21_Up+FedExExrpessEarnedDiscount))*'1Day Base'!B26),2),ROUND(MinBase1Day*(1+ExpressFuelSurcharge),2),ROUND(((1-(OverNightDiscount_21_Up+FedExExrpessEarnedDiscount))*'1Day Base'!B26)*(1+ExpressFuelSurcharge),2))*(1+FedEx_Markup),2)</f>
        <v>42.67</v>
      </c>
      <c r="C29" s="218">
        <f>ROUND(IF(MinBase1Day&gt;ROUND(((1-(OverNightDiscount_21_Up+FedExExrpessEarnedDiscount))*'1Day Base'!C26),2),ROUND(MinBase1Day*(1+ExpressFuelSurcharge),2),ROUND(((1-(OverNightDiscount_21_Up+FedExExrpessEarnedDiscount))*'1Day Base'!C26)*(1+ExpressFuelSurcharge),2))*(1+FedEx_Markup),2)</f>
        <v>61.15</v>
      </c>
      <c r="D29" s="218">
        <f>ROUND(IF(MinBase1Day&gt;ROUND(((1-(OverNightDiscount_21_Up+FedExExrpessEarnedDiscount))*'1Day Base'!D26),2),ROUND(MinBase1Day*(1+ExpressFuelSurcharge),2),ROUND(((1-(OverNightDiscount_21_Up+FedExExrpessEarnedDiscount))*'1Day Base'!D26)*(1+ExpressFuelSurcharge),2))*(1+FedEx_Markup),2)</f>
        <v>114.41</v>
      </c>
      <c r="E29" s="218">
        <f>ROUND(IF(MinBase1Day&gt;ROUND(((1-(OverNightDiscount_21_Up+FedExExrpessEarnedDiscount))*'1Day Base'!E26),2),ROUND(MinBase1Day*(1+ExpressFuelSurcharge),2),ROUND(((1-(OverNightDiscount_21_Up+FedExExrpessEarnedDiscount))*'1Day Base'!E26)*(1+ExpressFuelSurcharge),2))*(1+FedEx_Markup),2)</f>
        <v>125.36</v>
      </c>
      <c r="F29" s="218">
        <f>ROUND(IF(MinBase1Day&gt;ROUND(((1-(OverNightDiscount_21_Up+FedExExrpessEarnedDiscount))*'1Day Base'!F26),2),ROUND(MinBase1Day*(1+ExpressFuelSurcharge),2),ROUND(((1-(OverNightDiscount_21_Up+FedExExrpessEarnedDiscount))*'1Day Base'!F26)*(1+ExpressFuelSurcharge),2))*(1+FedEx_Markup),2)</f>
        <v>130.03</v>
      </c>
      <c r="G29" s="218">
        <f>ROUND(IF(MinBase1Day&gt;ROUND(((1-(OverNightDiscount_21_Up+FedExExrpessEarnedDiscount))*'1Day Base'!G26),2),ROUND(MinBase1Day*(1+ExpressFuelSurcharge),2),ROUND(((1-(OverNightDiscount_21_Up+FedExExrpessEarnedDiscount))*'1Day Base'!G26)*(1+ExpressFuelSurcharge),2))*(1+FedEx_Markup),2)</f>
        <v>142.86000000000001</v>
      </c>
      <c r="H29" s="218">
        <f>ROUND(IF(MinBase1Day&gt;ROUND(((1-(OverNightDiscount_21_Up+FedExExrpessEarnedDiscount))*'1Day Base'!H26),2),ROUND(MinBase1Day*(1+ExpressFuelSurcharge),2),ROUND(((1-(OverNightDiscount_21_Up+FedExExrpessEarnedDiscount))*'1Day Base'!H26)*(1+ExpressFuelSurcharge),2))*(1+FedEx_Markup),2)</f>
        <v>147.03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25</v>
      </c>
      <c r="B30" s="218">
        <f>ROUND(IF(MinBase1Day&gt;ROUND(((1-(OverNightDiscount_21_Up+FedExExrpessEarnedDiscount))*'1Day Base'!B27),2),ROUND(MinBase1Day*(1+ExpressFuelSurcharge),2),ROUND(((1-(OverNightDiscount_21_Up+FedExExrpessEarnedDiscount))*'1Day Base'!B27)*(1+ExpressFuelSurcharge),2))*(1+FedEx_Markup),2)</f>
        <v>43.24</v>
      </c>
      <c r="C30" s="218">
        <f>ROUND(IF(MinBase1Day&gt;ROUND(((1-(OverNightDiscount_21_Up+FedExExrpessEarnedDiscount))*'1Day Base'!C27),2),ROUND(MinBase1Day*(1+ExpressFuelSurcharge),2),ROUND(((1-(OverNightDiscount_21_Up+FedExExrpessEarnedDiscount))*'1Day Base'!C27)*(1+ExpressFuelSurcharge),2))*(1+FedEx_Markup),2)</f>
        <v>63.34</v>
      </c>
      <c r="D30" s="218">
        <f>ROUND(IF(MinBase1Day&gt;ROUND(((1-(OverNightDiscount_21_Up+FedExExrpessEarnedDiscount))*'1Day Base'!D27),2),ROUND(MinBase1Day*(1+ExpressFuelSurcharge),2),ROUND(((1-(OverNightDiscount_21_Up+FedExExrpessEarnedDiscount))*'1Day Base'!D27)*(1+ExpressFuelSurcharge),2))*(1+FedEx_Markup),2)</f>
        <v>116.78</v>
      </c>
      <c r="E30" s="218">
        <f>ROUND(IF(MinBase1Day&gt;ROUND(((1-(OverNightDiscount_21_Up+FedExExrpessEarnedDiscount))*'1Day Base'!E27),2),ROUND(MinBase1Day*(1+ExpressFuelSurcharge),2),ROUND(((1-(OverNightDiscount_21_Up+FedExExrpessEarnedDiscount))*'1Day Base'!E27)*(1+ExpressFuelSurcharge),2))*(1+FedEx_Markup),2)</f>
        <v>126.95</v>
      </c>
      <c r="F30" s="218">
        <f>ROUND(IF(MinBase1Day&gt;ROUND(((1-(OverNightDiscount_21_Up+FedExExrpessEarnedDiscount))*'1Day Base'!F27),2),ROUND(MinBase1Day*(1+ExpressFuelSurcharge),2),ROUND(((1-(OverNightDiscount_21_Up+FedExExrpessEarnedDiscount))*'1Day Base'!F27)*(1+ExpressFuelSurcharge),2))*(1+FedEx_Markup),2)</f>
        <v>131.84</v>
      </c>
      <c r="G30" s="218">
        <f>ROUND(IF(MinBase1Day&gt;ROUND(((1-(OverNightDiscount_21_Up+FedExExrpessEarnedDiscount))*'1Day Base'!G27),2),ROUND(MinBase1Day*(1+ExpressFuelSurcharge),2),ROUND(((1-(OverNightDiscount_21_Up+FedExExrpessEarnedDiscount))*'1Day Base'!G27)*(1+ExpressFuelSurcharge),2))*(1+FedEx_Markup),2)</f>
        <v>144.52000000000001</v>
      </c>
      <c r="H30" s="218">
        <f>ROUND(IF(MinBase1Day&gt;ROUND(((1-(OverNightDiscount_21_Up+FedExExrpessEarnedDiscount))*'1Day Base'!H27),2),ROUND(MinBase1Day*(1+ExpressFuelSurcharge),2),ROUND(((1-(OverNightDiscount_21_Up+FedExExrpessEarnedDiscount))*'1Day Base'!H27)*(1+ExpressFuelSurcharge),2))*(1+FedEx_Markup),2)</f>
        <v>148.99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26</v>
      </c>
      <c r="B31" s="218">
        <f>ROUND(IF(MinBase1Day&gt;ROUND(((1-(OverNightDiscount_21_Up+FedExExrpessEarnedDiscount))*'1Day Base'!B28),2),ROUND(MinBase1Day*(1+ExpressFuelSurcharge),2),ROUND(((1-(OverNightDiscount_21_Up+FedExExrpessEarnedDiscount))*'1Day Base'!B28)*(1+ExpressFuelSurcharge),2))*(1+FedEx_Markup),2)</f>
        <v>43.94</v>
      </c>
      <c r="C31" s="218">
        <f>ROUND(IF(MinBase1Day&gt;ROUND(((1-(OverNightDiscount_21_Up+FedExExrpessEarnedDiscount))*'1Day Base'!C28),2),ROUND(MinBase1Day*(1+ExpressFuelSurcharge),2),ROUND(((1-(OverNightDiscount_21_Up+FedExExrpessEarnedDiscount))*'1Day Base'!C28)*(1+ExpressFuelSurcharge),2))*(1+FedEx_Markup),2)</f>
        <v>65.12</v>
      </c>
      <c r="D31" s="218">
        <f>ROUND(IF(MinBase1Day&gt;ROUND(((1-(OverNightDiscount_21_Up+FedExExrpessEarnedDiscount))*'1Day Base'!D28),2),ROUND(MinBase1Day*(1+ExpressFuelSurcharge),2),ROUND(((1-(OverNightDiscount_21_Up+FedExExrpessEarnedDiscount))*'1Day Base'!D28)*(1+ExpressFuelSurcharge),2))*(1+FedEx_Markup),2)</f>
        <v>124.09</v>
      </c>
      <c r="E31" s="218">
        <f>ROUND(IF(MinBase1Day&gt;ROUND(((1-(OverNightDiscount_21_Up+FedExExrpessEarnedDiscount))*'1Day Base'!E28),2),ROUND(MinBase1Day*(1+ExpressFuelSurcharge),2),ROUND(((1-(OverNightDiscount_21_Up+FedExExrpessEarnedDiscount))*'1Day Base'!E28)*(1+ExpressFuelSurcharge),2))*(1+FedEx_Markup),2)</f>
        <v>134.96</v>
      </c>
      <c r="F31" s="218">
        <f>ROUND(IF(MinBase1Day&gt;ROUND(((1-(OverNightDiscount_21_Up+FedExExrpessEarnedDiscount))*'1Day Base'!F28),2),ROUND(MinBase1Day*(1+ExpressFuelSurcharge),2),ROUND(((1-(OverNightDiscount_21_Up+FedExExrpessEarnedDiscount))*'1Day Base'!F28)*(1+ExpressFuelSurcharge),2))*(1+FedEx_Markup),2)</f>
        <v>143.01</v>
      </c>
      <c r="G31" s="218">
        <f>ROUND(IF(MinBase1Day&gt;ROUND(((1-(OverNightDiscount_21_Up+FedExExrpessEarnedDiscount))*'1Day Base'!G28),2),ROUND(MinBase1Day*(1+ExpressFuelSurcharge),2),ROUND(((1-(OverNightDiscount_21_Up+FedExExrpessEarnedDiscount))*'1Day Base'!G28)*(1+ExpressFuelSurcharge),2))*(1+FedEx_Markup),2)</f>
        <v>149.78</v>
      </c>
      <c r="H31" s="218">
        <f>ROUND(IF(MinBase1Day&gt;ROUND(((1-(OverNightDiscount_21_Up+FedExExrpessEarnedDiscount))*'1Day Base'!H28),2),ROUND(MinBase1Day*(1+ExpressFuelSurcharge),2),ROUND(((1-(OverNightDiscount_21_Up+FedExExrpessEarnedDiscount))*'1Day Base'!H28)*(1+ExpressFuelSurcharge),2))*(1+FedEx_Markup),2)</f>
        <v>155.38999999999999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27</v>
      </c>
      <c r="B32" s="218">
        <f>ROUND(IF(MinBase1Day&gt;ROUND(((1-(OverNightDiscount_21_Up+FedExExrpessEarnedDiscount))*'1Day Base'!B29),2),ROUND(MinBase1Day*(1+ExpressFuelSurcharge),2),ROUND(((1-(OverNightDiscount_21_Up+FedExExrpessEarnedDiscount))*'1Day Base'!B29)*(1+ExpressFuelSurcharge),2))*(1+FedEx_Markup),2)</f>
        <v>45.33</v>
      </c>
      <c r="C32" s="218">
        <f>ROUND(IF(MinBase1Day&gt;ROUND(((1-(OverNightDiscount_21_Up+FedExExrpessEarnedDiscount))*'1Day Base'!C29),2),ROUND(MinBase1Day*(1+ExpressFuelSurcharge),2),ROUND(((1-(OverNightDiscount_21_Up+FedExExrpessEarnedDiscount))*'1Day Base'!C29)*(1+ExpressFuelSurcharge),2))*(1+FedEx_Markup),2)</f>
        <v>66.92</v>
      </c>
      <c r="D32" s="218">
        <f>ROUND(IF(MinBase1Day&gt;ROUND(((1-(OverNightDiscount_21_Up+FedExExrpessEarnedDiscount))*'1Day Base'!D29),2),ROUND(MinBase1Day*(1+ExpressFuelSurcharge),2),ROUND(((1-(OverNightDiscount_21_Up+FedExExrpessEarnedDiscount))*'1Day Base'!D29)*(1+ExpressFuelSurcharge),2))*(1+FedEx_Markup),2)</f>
        <v>126.17</v>
      </c>
      <c r="E32" s="218">
        <f>ROUND(IF(MinBase1Day&gt;ROUND(((1-(OverNightDiscount_21_Up+FedExExrpessEarnedDiscount))*'1Day Base'!E29),2),ROUND(MinBase1Day*(1+ExpressFuelSurcharge),2),ROUND(((1-(OverNightDiscount_21_Up+FedExExrpessEarnedDiscount))*'1Day Base'!E29)*(1+ExpressFuelSurcharge),2))*(1+FedEx_Markup),2)</f>
        <v>136</v>
      </c>
      <c r="F32" s="218">
        <f>ROUND(IF(MinBase1Day&gt;ROUND(((1-(OverNightDiscount_21_Up+FedExExrpessEarnedDiscount))*'1Day Base'!F29),2),ROUND(MinBase1Day*(1+ExpressFuelSurcharge),2),ROUND(((1-(OverNightDiscount_21_Up+FedExExrpessEarnedDiscount))*'1Day Base'!F29)*(1+ExpressFuelSurcharge),2))*(1+FedEx_Markup),2)</f>
        <v>144.66999999999999</v>
      </c>
      <c r="G32" s="218">
        <f>ROUND(IF(MinBase1Day&gt;ROUND(((1-(OverNightDiscount_21_Up+FedExExrpessEarnedDiscount))*'1Day Base'!G29),2),ROUND(MinBase1Day*(1+ExpressFuelSurcharge),2),ROUND(((1-(OverNightDiscount_21_Up+FedExExrpessEarnedDiscount))*'1Day Base'!G29)*(1+ExpressFuelSurcharge),2))*(1+FedEx_Markup),2)</f>
        <v>152.21</v>
      </c>
      <c r="H32" s="218">
        <f>ROUND(IF(MinBase1Day&gt;ROUND(((1-(OverNightDiscount_21_Up+FedExExrpessEarnedDiscount))*'1Day Base'!H29),2),ROUND(MinBase1Day*(1+ExpressFuelSurcharge),2),ROUND(((1-(OverNightDiscount_21_Up+FedExExrpessEarnedDiscount))*'1Day Base'!H29)*(1+ExpressFuelSurcharge),2))*(1+FedEx_Markup),2)</f>
        <v>162.75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28</v>
      </c>
      <c r="B33" s="218">
        <f>ROUND(IF(MinBase1Day&gt;ROUND(((1-(OverNightDiscount_21_Up+FedExExrpessEarnedDiscount))*'1Day Base'!B30),2),ROUND(MinBase1Day*(1+ExpressFuelSurcharge),2),ROUND(((1-(OverNightDiscount_21_Up+FedExExrpessEarnedDiscount))*'1Day Base'!B30)*(1+ExpressFuelSurcharge),2))*(1+FedEx_Markup),2)</f>
        <v>46.14</v>
      </c>
      <c r="C33" s="218">
        <f>ROUND(IF(MinBase1Day&gt;ROUND(((1-(OverNightDiscount_21_Up+FedExExrpessEarnedDiscount))*'1Day Base'!C30),2),ROUND(MinBase1Day*(1+ExpressFuelSurcharge),2),ROUND(((1-(OverNightDiscount_21_Up+FedExExrpessEarnedDiscount))*'1Day Base'!C30)*(1+ExpressFuelSurcharge),2))*(1+FedEx_Markup),2)</f>
        <v>68.67</v>
      </c>
      <c r="D33" s="218">
        <f>ROUND(IF(MinBase1Day&gt;ROUND(((1-(OverNightDiscount_21_Up+FedExExrpessEarnedDiscount))*'1Day Base'!D30),2),ROUND(MinBase1Day*(1+ExpressFuelSurcharge),2),ROUND(((1-(OverNightDiscount_21_Up+FedExExrpessEarnedDiscount))*'1Day Base'!D30)*(1+ExpressFuelSurcharge),2))*(1+FedEx_Markup),2)</f>
        <v>129.81</v>
      </c>
      <c r="E33" s="218">
        <f>ROUND(IF(MinBase1Day&gt;ROUND(((1-(OverNightDiscount_21_Up+FedExExrpessEarnedDiscount))*'1Day Base'!E30),2),ROUND(MinBase1Day*(1+ExpressFuelSurcharge),2),ROUND(((1-(OverNightDiscount_21_Up+FedExExrpessEarnedDiscount))*'1Day Base'!E30)*(1+ExpressFuelSurcharge),2))*(1+FedEx_Markup),2)</f>
        <v>139.87</v>
      </c>
      <c r="F33" s="218">
        <f>ROUND(IF(MinBase1Day&gt;ROUND(((1-(OverNightDiscount_21_Up+FedExExrpessEarnedDiscount))*'1Day Base'!F30),2),ROUND(MinBase1Day*(1+ExpressFuelSurcharge),2),ROUND(((1-(OverNightDiscount_21_Up+FedExExrpessEarnedDiscount))*'1Day Base'!F30)*(1+ExpressFuelSurcharge),2))*(1+FedEx_Markup),2)</f>
        <v>145.72999999999999</v>
      </c>
      <c r="G33" s="218">
        <f>ROUND(IF(MinBase1Day&gt;ROUND(((1-(OverNightDiscount_21_Up+FedExExrpessEarnedDiscount))*'1Day Base'!G30),2),ROUND(MinBase1Day*(1+ExpressFuelSurcharge),2),ROUND(((1-(OverNightDiscount_21_Up+FedExExrpessEarnedDiscount))*'1Day Base'!G30)*(1+ExpressFuelSurcharge),2))*(1+FedEx_Markup),2)</f>
        <v>155.79</v>
      </c>
      <c r="H33" s="218">
        <f>ROUND(IF(MinBase1Day&gt;ROUND(((1-(OverNightDiscount_21_Up+FedExExrpessEarnedDiscount))*'1Day Base'!H30),2),ROUND(MinBase1Day*(1+ExpressFuelSurcharge),2),ROUND(((1-(OverNightDiscount_21_Up+FedExExrpessEarnedDiscount))*'1Day Base'!H30)*(1+ExpressFuelSurcharge),2))*(1+FedEx_Markup),2)</f>
        <v>167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29</v>
      </c>
      <c r="B34" s="218">
        <f>ROUND(IF(MinBase1Day&gt;ROUND(((1-(OverNightDiscount_21_Up+FedExExrpessEarnedDiscount))*'1Day Base'!B31),2),ROUND(MinBase1Day*(1+ExpressFuelSurcharge),2),ROUND(((1-(OverNightDiscount_21_Up+FedExExrpessEarnedDiscount))*'1Day Base'!B31)*(1+ExpressFuelSurcharge),2))*(1+FedEx_Markup),2)</f>
        <v>46.41</v>
      </c>
      <c r="C34" s="218">
        <f>ROUND(IF(MinBase1Day&gt;ROUND(((1-(OverNightDiscount_21_Up+FedExExrpessEarnedDiscount))*'1Day Base'!C31),2),ROUND(MinBase1Day*(1+ExpressFuelSurcharge),2),ROUND(((1-(OverNightDiscount_21_Up+FedExExrpessEarnedDiscount))*'1Day Base'!C31)*(1+ExpressFuelSurcharge),2))*(1+FedEx_Markup),2)</f>
        <v>68.84</v>
      </c>
      <c r="D34" s="218">
        <f>ROUND(IF(MinBase1Day&gt;ROUND(((1-(OverNightDiscount_21_Up+FedExExrpessEarnedDiscount))*'1Day Base'!D31),2),ROUND(MinBase1Day*(1+ExpressFuelSurcharge),2),ROUND(((1-(OverNightDiscount_21_Up+FedExExrpessEarnedDiscount))*'1Day Base'!D31)*(1+ExpressFuelSurcharge),2))*(1+FedEx_Markup),2)</f>
        <v>132.97</v>
      </c>
      <c r="E34" s="218">
        <f>ROUND(IF(MinBase1Day&gt;ROUND(((1-(OverNightDiscount_21_Up+FedExExrpessEarnedDiscount))*'1Day Base'!E31),2),ROUND(MinBase1Day*(1+ExpressFuelSurcharge),2),ROUND(((1-(OverNightDiscount_21_Up+FedExExrpessEarnedDiscount))*'1Day Base'!E31)*(1+ExpressFuelSurcharge),2))*(1+FedEx_Markup),2)</f>
        <v>140.69</v>
      </c>
      <c r="F34" s="218">
        <f>ROUND(IF(MinBase1Day&gt;ROUND(((1-(OverNightDiscount_21_Up+FedExExrpessEarnedDiscount))*'1Day Base'!F31),2),ROUND(MinBase1Day*(1+ExpressFuelSurcharge),2),ROUND(((1-(OverNightDiscount_21_Up+FedExExrpessEarnedDiscount))*'1Day Base'!F31)*(1+ExpressFuelSurcharge),2))*(1+FedEx_Markup),2)</f>
        <v>145.85</v>
      </c>
      <c r="G34" s="218">
        <f>ROUND(IF(MinBase1Day&gt;ROUND(((1-(OverNightDiscount_21_Up+FedExExrpessEarnedDiscount))*'1Day Base'!G31),2),ROUND(MinBase1Day*(1+ExpressFuelSurcharge),2),ROUND(((1-(OverNightDiscount_21_Up+FedExExrpessEarnedDiscount))*'1Day Base'!G31)*(1+ExpressFuelSurcharge),2))*(1+FedEx_Markup),2)</f>
        <v>160.54</v>
      </c>
      <c r="H34" s="218">
        <f>ROUND(IF(MinBase1Day&gt;ROUND(((1-(OverNightDiscount_21_Up+FedExExrpessEarnedDiscount))*'1Day Base'!H31),2),ROUND(MinBase1Day*(1+ExpressFuelSurcharge),2),ROUND(((1-(OverNightDiscount_21_Up+FedExExrpessEarnedDiscount))*'1Day Base'!H31)*(1+ExpressFuelSurcharge),2))*(1+FedEx_Markup),2)</f>
        <v>167.93</v>
      </c>
    </row>
    <row r="35" spans="1:26" ht="12.75" customHeight="1">
      <c r="A35" s="217">
        <v>30</v>
      </c>
      <c r="B35" s="218">
        <f>ROUND(IF(MinBase1Day&gt;ROUND(((1-(OverNightDiscount_21_Up+FedExExrpessEarnedDiscount))*'1Day Base'!B32),2),ROUND(MinBase1Day*(1+ExpressFuelSurcharge),2),ROUND(((1-(OverNightDiscount_21_Up+FedExExrpessEarnedDiscount))*'1Day Base'!B32)*(1+ExpressFuelSurcharge),2))*(1+FedEx_Markup),2)</f>
        <v>48.53</v>
      </c>
      <c r="C35" s="218">
        <f>ROUND(IF(MinBase1Day&gt;ROUND(((1-(OverNightDiscount_21_Up+FedExExrpessEarnedDiscount))*'1Day Base'!C32),2),ROUND(MinBase1Day*(1+ExpressFuelSurcharge),2),ROUND(((1-(OverNightDiscount_21_Up+FedExExrpessEarnedDiscount))*'1Day Base'!C32)*(1+ExpressFuelSurcharge),2))*(1+FedEx_Markup),2)</f>
        <v>70.709999999999994</v>
      </c>
      <c r="D35" s="218">
        <f>ROUND(IF(MinBase1Day&gt;ROUND(((1-(OverNightDiscount_21_Up+FedExExrpessEarnedDiscount))*'1Day Base'!D32),2),ROUND(MinBase1Day*(1+ExpressFuelSurcharge),2),ROUND(((1-(OverNightDiscount_21_Up+FedExExrpessEarnedDiscount))*'1Day Base'!D32)*(1+ExpressFuelSurcharge),2))*(1+FedEx_Markup),2)</f>
        <v>134.56</v>
      </c>
      <c r="E35" s="218">
        <f>ROUND(IF(MinBase1Day&gt;ROUND(((1-(OverNightDiscount_21_Up+FedExExrpessEarnedDiscount))*'1Day Base'!E32),2),ROUND(MinBase1Day*(1+ExpressFuelSurcharge),2),ROUND(((1-(OverNightDiscount_21_Up+FedExExrpessEarnedDiscount))*'1Day Base'!E32)*(1+ExpressFuelSurcharge),2))*(1+FedEx_Markup),2)</f>
        <v>142</v>
      </c>
      <c r="F35" s="218">
        <f>ROUND(IF(MinBase1Day&gt;ROUND(((1-(OverNightDiscount_21_Up+FedExExrpessEarnedDiscount))*'1Day Base'!F32),2),ROUND(MinBase1Day*(1+ExpressFuelSurcharge),2),ROUND(((1-(OverNightDiscount_21_Up+FedExExrpessEarnedDiscount))*'1Day Base'!F32)*(1+ExpressFuelSurcharge),2))*(1+FedEx_Markup),2)</f>
        <v>147.91999999999999</v>
      </c>
      <c r="G35" s="218">
        <f>ROUND(IF(MinBase1Day&gt;ROUND(((1-(OverNightDiscount_21_Up+FedExExrpessEarnedDiscount))*'1Day Base'!G32),2),ROUND(MinBase1Day*(1+ExpressFuelSurcharge),2),ROUND(((1-(OverNightDiscount_21_Up+FedExExrpessEarnedDiscount))*'1Day Base'!G32)*(1+ExpressFuelSurcharge),2))*(1+FedEx_Markup),2)</f>
        <v>161.26</v>
      </c>
      <c r="H35" s="218">
        <f>ROUND(IF(MinBase1Day&gt;ROUND(((1-(OverNightDiscount_21_Up+FedExExrpessEarnedDiscount))*'1Day Base'!H32),2),ROUND(MinBase1Day*(1+ExpressFuelSurcharge),2),ROUND(((1-(OverNightDiscount_21_Up+FedExExrpessEarnedDiscount))*'1Day Base'!H32)*(1+ExpressFuelSurcharge),2))*(1+FedEx_Markup),2)</f>
        <v>169.87</v>
      </c>
    </row>
    <row r="36" spans="1:26" ht="12.75" customHeight="1">
      <c r="A36" s="217">
        <v>31</v>
      </c>
      <c r="B36" s="218">
        <f>ROUND(IF(MinBase1Day&gt;ROUND(((1-(OverNightDiscount_21_Up+FedExExrpessEarnedDiscount))*'1Day Base'!B33),2),ROUND(MinBase1Day*(1+ExpressFuelSurcharge),2),ROUND(((1-(OverNightDiscount_21_Up+FedExExrpessEarnedDiscount))*'1Day Base'!B33)*(1+ExpressFuelSurcharge),2))*(1+FedEx_Markup),2)</f>
        <v>49.43</v>
      </c>
      <c r="C36" s="218">
        <f>ROUND(IF(MinBase1Day&gt;ROUND(((1-(OverNightDiscount_21_Up+FedExExrpessEarnedDiscount))*'1Day Base'!C33),2),ROUND(MinBase1Day*(1+ExpressFuelSurcharge),2),ROUND(((1-(OverNightDiscount_21_Up+FedExExrpessEarnedDiscount))*'1Day Base'!C33)*(1+ExpressFuelSurcharge),2))*(1+FedEx_Markup),2)</f>
        <v>71.53</v>
      </c>
      <c r="D36" s="218">
        <f>ROUND(IF(MinBase1Day&gt;ROUND(((1-(OverNightDiscount_21_Up+FedExExrpessEarnedDiscount))*'1Day Base'!D33),2),ROUND(MinBase1Day*(1+ExpressFuelSurcharge),2),ROUND(((1-(OverNightDiscount_21_Up+FedExExrpessEarnedDiscount))*'1Day Base'!D33)*(1+ExpressFuelSurcharge),2))*(1+FedEx_Markup),2)</f>
        <v>139.04</v>
      </c>
      <c r="E36" s="218">
        <f>ROUND(IF(MinBase1Day&gt;ROUND(((1-(OverNightDiscount_21_Up+FedExExrpessEarnedDiscount))*'1Day Base'!E33),2),ROUND(MinBase1Day*(1+ExpressFuelSurcharge),2),ROUND(((1-(OverNightDiscount_21_Up+FedExExrpessEarnedDiscount))*'1Day Base'!E33)*(1+ExpressFuelSurcharge),2))*(1+FedEx_Markup),2)</f>
        <v>148.74</v>
      </c>
      <c r="F36" s="218">
        <f>ROUND(IF(MinBase1Day&gt;ROUND(((1-(OverNightDiscount_21_Up+FedExExrpessEarnedDiscount))*'1Day Base'!F33),2),ROUND(MinBase1Day*(1+ExpressFuelSurcharge),2),ROUND(((1-(OverNightDiscount_21_Up+FedExExrpessEarnedDiscount))*'1Day Base'!F33)*(1+ExpressFuelSurcharge),2))*(1+FedEx_Markup),2)</f>
        <v>159.52000000000001</v>
      </c>
      <c r="G36" s="218">
        <f>ROUND(IF(MinBase1Day&gt;ROUND(((1-(OverNightDiscount_21_Up+FedExExrpessEarnedDiscount))*'1Day Base'!G33),2),ROUND(MinBase1Day*(1+ExpressFuelSurcharge),2),ROUND(((1-(OverNightDiscount_21_Up+FedExExrpessEarnedDiscount))*'1Day Base'!G33)*(1+ExpressFuelSurcharge),2))*(1+FedEx_Markup),2)</f>
        <v>167.1</v>
      </c>
      <c r="H36" s="218">
        <f>ROUND(IF(MinBase1Day&gt;ROUND(((1-(OverNightDiscount_21_Up+FedExExrpessEarnedDiscount))*'1Day Base'!H33),2),ROUND(MinBase1Day*(1+ExpressFuelSurcharge),2),ROUND(((1-(OverNightDiscount_21_Up+FedExExrpessEarnedDiscount))*'1Day Base'!H33)*(1+ExpressFuelSurcharge),2))*(1+FedEx_Markup),2)</f>
        <v>174.86</v>
      </c>
    </row>
    <row r="37" spans="1:26" ht="12.75" customHeight="1">
      <c r="A37" s="217">
        <v>32</v>
      </c>
      <c r="B37" s="218">
        <f>ROUND(IF(MinBase1Day&gt;ROUND(((1-(OverNightDiscount_21_Up+FedExExrpessEarnedDiscount))*'1Day Base'!B34),2),ROUND(MinBase1Day*(1+ExpressFuelSurcharge),2),ROUND(((1-(OverNightDiscount_21_Up+FedExExrpessEarnedDiscount))*'1Day Base'!B34)*(1+ExpressFuelSurcharge),2))*(1+FedEx_Markup),2)</f>
        <v>50.45</v>
      </c>
      <c r="C37" s="218">
        <f>ROUND(IF(MinBase1Day&gt;ROUND(((1-(OverNightDiscount_21_Up+FedExExrpessEarnedDiscount))*'1Day Base'!C34),2),ROUND(MinBase1Day*(1+ExpressFuelSurcharge),2),ROUND(((1-(OverNightDiscount_21_Up+FedExExrpessEarnedDiscount))*'1Day Base'!C34)*(1+ExpressFuelSurcharge),2))*(1+FedEx_Markup),2)</f>
        <v>72.760000000000005</v>
      </c>
      <c r="D37" s="218">
        <f>ROUND(IF(MinBase1Day&gt;ROUND(((1-(OverNightDiscount_21_Up+FedExExrpessEarnedDiscount))*'1Day Base'!D34),2),ROUND(MinBase1Day*(1+ExpressFuelSurcharge),2),ROUND(((1-(OverNightDiscount_21_Up+FedExExrpessEarnedDiscount))*'1Day Base'!D34)*(1+ExpressFuelSurcharge),2))*(1+FedEx_Markup),2)</f>
        <v>142.06</v>
      </c>
      <c r="E37" s="218">
        <f>ROUND(IF(MinBase1Day&gt;ROUND(((1-(OverNightDiscount_21_Up+FedExExrpessEarnedDiscount))*'1Day Base'!E34),2),ROUND(MinBase1Day*(1+ExpressFuelSurcharge),2),ROUND(((1-(OverNightDiscount_21_Up+FedExExrpessEarnedDiscount))*'1Day Base'!E34)*(1+ExpressFuelSurcharge),2))*(1+FedEx_Markup),2)</f>
        <v>150.85</v>
      </c>
      <c r="F37" s="218">
        <f>ROUND(IF(MinBase1Day&gt;ROUND(((1-(OverNightDiscount_21_Up+FedExExrpessEarnedDiscount))*'1Day Base'!F34),2),ROUND(MinBase1Day*(1+ExpressFuelSurcharge),2),ROUND(((1-(OverNightDiscount_21_Up+FedExExrpessEarnedDiscount))*'1Day Base'!F34)*(1+ExpressFuelSurcharge),2))*(1+FedEx_Markup),2)</f>
        <v>162.68</v>
      </c>
      <c r="G37" s="218">
        <f>ROUND(IF(MinBase1Day&gt;ROUND(((1-(OverNightDiscount_21_Up+FedExExrpessEarnedDiscount))*'1Day Base'!G34),2),ROUND(MinBase1Day*(1+ExpressFuelSurcharge),2),ROUND(((1-(OverNightDiscount_21_Up+FedExExrpessEarnedDiscount))*'1Day Base'!G34)*(1+ExpressFuelSurcharge),2))*(1+FedEx_Markup),2)</f>
        <v>167.93</v>
      </c>
      <c r="H37" s="218">
        <f>ROUND(IF(MinBase1Day&gt;ROUND(((1-(OverNightDiscount_21_Up+FedExExrpessEarnedDiscount))*'1Day Base'!H34),2),ROUND(MinBase1Day*(1+ExpressFuelSurcharge),2),ROUND(((1-(OverNightDiscount_21_Up+FedExExrpessEarnedDiscount))*'1Day Base'!H34)*(1+ExpressFuelSurcharge),2))*(1+FedEx_Markup),2)</f>
        <v>179.52</v>
      </c>
    </row>
    <row r="38" spans="1:26" ht="12.75" customHeight="1">
      <c r="A38" s="217">
        <v>33</v>
      </c>
      <c r="B38" s="218">
        <f>ROUND(IF(MinBase1Day&gt;ROUND(((1-(OverNightDiscount_21_Up+FedExExrpessEarnedDiscount))*'1Day Base'!B35),2),ROUND(MinBase1Day*(1+ExpressFuelSurcharge),2),ROUND(((1-(OverNightDiscount_21_Up+FedExExrpessEarnedDiscount))*'1Day Base'!B35)*(1+ExpressFuelSurcharge),2))*(1+FedEx_Markup),2)</f>
        <v>51.57</v>
      </c>
      <c r="C38" s="218">
        <f>ROUND(IF(MinBase1Day&gt;ROUND(((1-(OverNightDiscount_21_Up+FedExExrpessEarnedDiscount))*'1Day Base'!C35),2),ROUND(MinBase1Day*(1+ExpressFuelSurcharge),2),ROUND(((1-(OverNightDiscount_21_Up+FedExExrpessEarnedDiscount))*'1Day Base'!C35)*(1+ExpressFuelSurcharge),2))*(1+FedEx_Markup),2)</f>
        <v>74.22</v>
      </c>
      <c r="D38" s="218">
        <f>ROUND(IF(MinBase1Day&gt;ROUND(((1-(OverNightDiscount_21_Up+FedExExrpessEarnedDiscount))*'1Day Base'!D35),2),ROUND(MinBase1Day*(1+ExpressFuelSurcharge),2),ROUND(((1-(OverNightDiscount_21_Up+FedExExrpessEarnedDiscount))*'1Day Base'!D35)*(1+ExpressFuelSurcharge),2))*(1+FedEx_Markup),2)</f>
        <v>146.35</v>
      </c>
      <c r="E38" s="218">
        <f>ROUND(IF(MinBase1Day&gt;ROUND(((1-(OverNightDiscount_21_Up+FedExExrpessEarnedDiscount))*'1Day Base'!E35),2),ROUND(MinBase1Day*(1+ExpressFuelSurcharge),2),ROUND(((1-(OverNightDiscount_21_Up+FedExExrpessEarnedDiscount))*'1Day Base'!E35)*(1+ExpressFuelSurcharge),2))*(1+FedEx_Markup),2)</f>
        <v>155.88999999999999</v>
      </c>
      <c r="F38" s="218">
        <f>ROUND(IF(MinBase1Day&gt;ROUND(((1-(OverNightDiscount_21_Up+FedExExrpessEarnedDiscount))*'1Day Base'!F35),2),ROUND(MinBase1Day*(1+ExpressFuelSurcharge),2),ROUND(((1-(OverNightDiscount_21_Up+FedExExrpessEarnedDiscount))*'1Day Base'!F35)*(1+ExpressFuelSurcharge),2))*(1+FedEx_Markup),2)</f>
        <v>164.17</v>
      </c>
      <c r="G38" s="218">
        <f>ROUND(IF(MinBase1Day&gt;ROUND(((1-(OverNightDiscount_21_Up+FedExExrpessEarnedDiscount))*'1Day Base'!G35),2),ROUND(MinBase1Day*(1+ExpressFuelSurcharge),2),ROUND(((1-(OverNightDiscount_21_Up+FedExExrpessEarnedDiscount))*'1Day Base'!G35)*(1+ExpressFuelSurcharge),2))*(1+FedEx_Markup),2)</f>
        <v>176.77</v>
      </c>
      <c r="H38" s="218">
        <f>ROUND(IF(MinBase1Day&gt;ROUND(((1-(OverNightDiscount_21_Up+FedExExrpessEarnedDiscount))*'1Day Base'!H35),2),ROUND(MinBase1Day*(1+ExpressFuelSurcharge),2),ROUND(((1-(OverNightDiscount_21_Up+FedExExrpessEarnedDiscount))*'1Day Base'!H35)*(1+ExpressFuelSurcharge),2))*(1+FedEx_Markup),2)</f>
        <v>185.25</v>
      </c>
    </row>
    <row r="39" spans="1:26" ht="12.75" customHeight="1">
      <c r="A39" s="217">
        <v>34</v>
      </c>
      <c r="B39" s="218">
        <f>ROUND(IF(MinBase1Day&gt;ROUND(((1-(OverNightDiscount_21_Up+FedExExrpessEarnedDiscount))*'1Day Base'!B36),2),ROUND(MinBase1Day*(1+ExpressFuelSurcharge),2),ROUND(((1-(OverNightDiscount_21_Up+FedExExrpessEarnedDiscount))*'1Day Base'!B36)*(1+ExpressFuelSurcharge),2))*(1+FedEx_Markup),2)</f>
        <v>52.46</v>
      </c>
      <c r="C39" s="218">
        <f>ROUND(IF(MinBase1Day&gt;ROUND(((1-(OverNightDiscount_21_Up+FedExExrpessEarnedDiscount))*'1Day Base'!C36),2),ROUND(MinBase1Day*(1+ExpressFuelSurcharge),2),ROUND(((1-(OverNightDiscount_21_Up+FedExExrpessEarnedDiscount))*'1Day Base'!C36)*(1+ExpressFuelSurcharge),2))*(1+FedEx_Markup),2)</f>
        <v>75.88</v>
      </c>
      <c r="D39" s="218">
        <f>ROUND(IF(MinBase1Day&gt;ROUND(((1-(OverNightDiscount_21_Up+FedExExrpessEarnedDiscount))*'1Day Base'!D36),2),ROUND(MinBase1Day*(1+ExpressFuelSurcharge),2),ROUND(((1-(OverNightDiscount_21_Up+FedExExrpessEarnedDiscount))*'1Day Base'!D36)*(1+ExpressFuelSurcharge),2))*(1+FedEx_Markup),2)</f>
        <v>149.66</v>
      </c>
      <c r="E39" s="218">
        <f>ROUND(IF(MinBase1Day&gt;ROUND(((1-(OverNightDiscount_21_Up+FedExExrpessEarnedDiscount))*'1Day Base'!E36),2),ROUND(MinBase1Day*(1+ExpressFuelSurcharge),2),ROUND(((1-(OverNightDiscount_21_Up+FedExExrpessEarnedDiscount))*'1Day Base'!E36)*(1+ExpressFuelSurcharge),2))*(1+FedEx_Markup),2)</f>
        <v>160.22</v>
      </c>
      <c r="F39" s="218">
        <f>ROUND(IF(MinBase1Day&gt;ROUND(((1-(OverNightDiscount_21_Up+FedExExrpessEarnedDiscount))*'1Day Base'!F36),2),ROUND(MinBase1Day*(1+ExpressFuelSurcharge),2),ROUND(((1-(OverNightDiscount_21_Up+FedExExrpessEarnedDiscount))*'1Day Base'!F36)*(1+ExpressFuelSurcharge),2))*(1+FedEx_Markup),2)</f>
        <v>166.05</v>
      </c>
      <c r="G39" s="218">
        <f>ROUND(IF(MinBase1Day&gt;ROUND(((1-(OverNightDiscount_21_Up+FedExExrpessEarnedDiscount))*'1Day Base'!G36),2),ROUND(MinBase1Day*(1+ExpressFuelSurcharge),2),ROUND(((1-(OverNightDiscount_21_Up+FedExExrpessEarnedDiscount))*'1Day Base'!G36)*(1+ExpressFuelSurcharge),2))*(1+FedEx_Markup),2)</f>
        <v>182.34</v>
      </c>
      <c r="H39" s="218">
        <f>ROUND(IF(MinBase1Day&gt;ROUND(((1-(OverNightDiscount_21_Up+FedExExrpessEarnedDiscount))*'1Day Base'!H36),2),ROUND(MinBase1Day*(1+ExpressFuelSurcharge),2),ROUND(((1-(OverNightDiscount_21_Up+FedExExrpessEarnedDiscount))*'1Day Base'!H36)*(1+ExpressFuelSurcharge),2))*(1+FedEx_Markup),2)</f>
        <v>187.9</v>
      </c>
    </row>
    <row r="40" spans="1:26" ht="12.75" customHeight="1">
      <c r="A40" s="217">
        <v>35</v>
      </c>
      <c r="B40" s="218">
        <f>ROUND(IF(MinBase1Day&gt;ROUND(((1-(OverNightDiscount_21_Up+FedExExrpessEarnedDiscount))*'1Day Base'!B37),2),ROUND(MinBase1Day*(1+ExpressFuelSurcharge),2),ROUND(((1-(OverNightDiscount_21_Up+FedExExrpessEarnedDiscount))*'1Day Base'!B37)*(1+ExpressFuelSurcharge),2))*(1+FedEx_Markup),2)</f>
        <v>53.96</v>
      </c>
      <c r="C40" s="218">
        <f>ROUND(IF(MinBase1Day&gt;ROUND(((1-(OverNightDiscount_21_Up+FedExExrpessEarnedDiscount))*'1Day Base'!C37),2),ROUND(MinBase1Day*(1+ExpressFuelSurcharge),2),ROUND(((1-(OverNightDiscount_21_Up+FedExExrpessEarnedDiscount))*'1Day Base'!C37)*(1+ExpressFuelSurcharge),2))*(1+FedEx_Markup),2)</f>
        <v>77.38</v>
      </c>
      <c r="D40" s="218">
        <f>ROUND(IF(MinBase1Day&gt;ROUND(((1-(OverNightDiscount_21_Up+FedExExrpessEarnedDiscount))*'1Day Base'!D37),2),ROUND(MinBase1Day*(1+ExpressFuelSurcharge),2),ROUND(((1-(OverNightDiscount_21_Up+FedExExrpessEarnedDiscount))*'1Day Base'!D37)*(1+ExpressFuelSurcharge),2))*(1+FedEx_Markup),2)</f>
        <v>149.99</v>
      </c>
      <c r="E40" s="218">
        <f>ROUND(IF(MinBase1Day&gt;ROUND(((1-(OverNightDiscount_21_Up+FedExExrpessEarnedDiscount))*'1Day Base'!E37),2),ROUND(MinBase1Day*(1+ExpressFuelSurcharge),2),ROUND(((1-(OverNightDiscount_21_Up+FedExExrpessEarnedDiscount))*'1Day Base'!E37)*(1+ExpressFuelSurcharge),2))*(1+FedEx_Markup),2)</f>
        <v>162.81</v>
      </c>
      <c r="F40" s="218">
        <f>ROUND(IF(MinBase1Day&gt;ROUND(((1-(OverNightDiscount_21_Up+FedExExrpessEarnedDiscount))*'1Day Base'!F37),2),ROUND(MinBase1Day*(1+ExpressFuelSurcharge),2),ROUND(((1-(OverNightDiscount_21_Up+FedExExrpessEarnedDiscount))*'1Day Base'!F37)*(1+ExpressFuelSurcharge),2))*(1+FedEx_Markup),2)</f>
        <v>166.36</v>
      </c>
      <c r="G40" s="218">
        <f>ROUND(IF(MinBase1Day&gt;ROUND(((1-(OverNightDiscount_21_Up+FedExExrpessEarnedDiscount))*'1Day Base'!G37),2),ROUND(MinBase1Day*(1+ExpressFuelSurcharge),2),ROUND(((1-(OverNightDiscount_21_Up+FedExExrpessEarnedDiscount))*'1Day Base'!G37)*(1+ExpressFuelSurcharge),2))*(1+FedEx_Markup),2)</f>
        <v>185.83</v>
      </c>
      <c r="H40" s="218">
        <f>ROUND(IF(MinBase1Day&gt;ROUND(((1-(OverNightDiscount_21_Up+FedExExrpessEarnedDiscount))*'1Day Base'!H37),2),ROUND(MinBase1Day*(1+ExpressFuelSurcharge),2),ROUND(((1-(OverNightDiscount_21_Up+FedExExrpessEarnedDiscount))*'1Day Base'!H37)*(1+ExpressFuelSurcharge),2))*(1+FedEx_Markup),2)</f>
        <v>189.74</v>
      </c>
    </row>
    <row r="41" spans="1:26" ht="12.75" customHeight="1">
      <c r="A41" s="217">
        <v>36</v>
      </c>
      <c r="B41" s="218">
        <f>ROUND(IF(MinBase1Day&gt;ROUND(((1-(OverNightDiscount_21_Up+FedExExrpessEarnedDiscount))*'1Day Base'!B38),2),ROUND(MinBase1Day*(1+ExpressFuelSurcharge),2),ROUND(((1-(OverNightDiscount_21_Up+FedExExrpessEarnedDiscount))*'1Day Base'!B38)*(1+ExpressFuelSurcharge),2))*(1+FedEx_Markup),2)</f>
        <v>54.29</v>
      </c>
      <c r="C41" s="218">
        <f>ROUND(IF(MinBase1Day&gt;ROUND(((1-(OverNightDiscount_21_Up+FedExExrpessEarnedDiscount))*'1Day Base'!C38),2),ROUND(MinBase1Day*(1+ExpressFuelSurcharge),2),ROUND(((1-(OverNightDiscount_21_Up+FedExExrpessEarnedDiscount))*'1Day Base'!C38)*(1+ExpressFuelSurcharge),2))*(1+FedEx_Markup),2)</f>
        <v>79.040000000000006</v>
      </c>
      <c r="D41" s="218">
        <f>ROUND(IF(MinBase1Day&gt;ROUND(((1-(OverNightDiscount_21_Up+FedExExrpessEarnedDiscount))*'1Day Base'!D38),2),ROUND(MinBase1Day*(1+ExpressFuelSurcharge),2),ROUND(((1-(OverNightDiscount_21_Up+FedExExrpessEarnedDiscount))*'1Day Base'!D38)*(1+ExpressFuelSurcharge),2))*(1+FedEx_Markup),2)</f>
        <v>156.29</v>
      </c>
      <c r="E41" s="218">
        <f>ROUND(IF(MinBase1Day&gt;ROUND(((1-(OverNightDiscount_21_Up+FedExExrpessEarnedDiscount))*'1Day Base'!E38),2),ROUND(MinBase1Day*(1+ExpressFuelSurcharge),2),ROUND(((1-(OverNightDiscount_21_Up+FedExExrpessEarnedDiscount))*'1Day Base'!E38)*(1+ExpressFuelSurcharge),2))*(1+FedEx_Markup),2)</f>
        <v>164.71</v>
      </c>
      <c r="F41" s="218">
        <f>ROUND(IF(MinBase1Day&gt;ROUND(((1-(OverNightDiscount_21_Up+FedExExrpessEarnedDiscount))*'1Day Base'!F38),2),ROUND(MinBase1Day*(1+ExpressFuelSurcharge),2),ROUND(((1-(OverNightDiscount_21_Up+FedExExrpessEarnedDiscount))*'1Day Base'!F38)*(1+ExpressFuelSurcharge),2))*(1+FedEx_Markup),2)</f>
        <v>172.5</v>
      </c>
      <c r="G41" s="218">
        <f>ROUND(IF(MinBase1Day&gt;ROUND(((1-(OverNightDiscount_21_Up+FedExExrpessEarnedDiscount))*'1Day Base'!G38),2),ROUND(MinBase1Day*(1+ExpressFuelSurcharge),2),ROUND(((1-(OverNightDiscount_21_Up+FedExExrpessEarnedDiscount))*'1Day Base'!G38)*(1+ExpressFuelSurcharge),2))*(1+FedEx_Markup),2)</f>
        <v>186.92</v>
      </c>
      <c r="H41" s="218">
        <f>ROUND(IF(MinBase1Day&gt;ROUND(((1-(OverNightDiscount_21_Up+FedExExrpessEarnedDiscount))*'1Day Base'!H38),2),ROUND(MinBase1Day*(1+ExpressFuelSurcharge),2),ROUND(((1-(OverNightDiscount_21_Up+FedExExrpessEarnedDiscount))*'1Day Base'!H38)*(1+ExpressFuelSurcharge),2))*(1+FedEx_Markup),2)</f>
        <v>192.13</v>
      </c>
      <c r="L41" s="4"/>
    </row>
    <row r="42" spans="1:26" ht="12.75" customHeight="1">
      <c r="A42" s="217">
        <v>37</v>
      </c>
      <c r="B42" s="218">
        <f>ROUND(IF(MinBase1Day&gt;ROUND(((1-(OverNightDiscount_21_Up+FedExExrpessEarnedDiscount))*'1Day Base'!B39),2),ROUND(MinBase1Day*(1+ExpressFuelSurcharge),2),ROUND(((1-(OverNightDiscount_21_Up+FedExExrpessEarnedDiscount))*'1Day Base'!B39)*(1+ExpressFuelSurcharge),2))*(1+FedEx_Markup),2)</f>
        <v>54.42</v>
      </c>
      <c r="C42" s="218">
        <f>ROUND(IF(MinBase1Day&gt;ROUND(((1-(OverNightDiscount_21_Up+FedExExrpessEarnedDiscount))*'1Day Base'!C39),2),ROUND(MinBase1Day*(1+ExpressFuelSurcharge),2),ROUND(((1-(OverNightDiscount_21_Up+FedExExrpessEarnedDiscount))*'1Day Base'!C39)*(1+ExpressFuelSurcharge),2))*(1+FedEx_Markup),2)</f>
        <v>80.11</v>
      </c>
      <c r="D42" s="218">
        <f>ROUND(IF(MinBase1Day&gt;ROUND(((1-(OverNightDiscount_21_Up+FedExExrpessEarnedDiscount))*'1Day Base'!D39),2),ROUND(MinBase1Day*(1+ExpressFuelSurcharge),2),ROUND(((1-(OverNightDiscount_21_Up+FedExExrpessEarnedDiscount))*'1Day Base'!D39)*(1+ExpressFuelSurcharge),2))*(1+FedEx_Markup),2)</f>
        <v>160.13999999999999</v>
      </c>
      <c r="E42" s="218">
        <f>ROUND(IF(MinBase1Day&gt;ROUND(((1-(OverNightDiscount_21_Up+FedExExrpessEarnedDiscount))*'1Day Base'!E39),2),ROUND(MinBase1Day*(1+ExpressFuelSurcharge),2),ROUND(((1-(OverNightDiscount_21_Up+FedExExrpessEarnedDiscount))*'1Day Base'!E39)*(1+ExpressFuelSurcharge),2))*(1+FedEx_Markup),2)</f>
        <v>169.22</v>
      </c>
      <c r="F42" s="218">
        <f>ROUND(IF(MinBase1Day&gt;ROUND(((1-(OverNightDiscount_21_Up+FedExExrpessEarnedDiscount))*'1Day Base'!F39),2),ROUND(MinBase1Day*(1+ExpressFuelSurcharge),2),ROUND(((1-(OverNightDiscount_21_Up+FedExExrpessEarnedDiscount))*'1Day Base'!F39)*(1+ExpressFuelSurcharge),2))*(1+FedEx_Markup),2)</f>
        <v>181.34</v>
      </c>
      <c r="G42" s="218">
        <f>ROUND(IF(MinBase1Day&gt;ROUND(((1-(OverNightDiscount_21_Up+FedExExrpessEarnedDiscount))*'1Day Base'!G39),2),ROUND(MinBase1Day*(1+ExpressFuelSurcharge),2),ROUND(((1-(OverNightDiscount_21_Up+FedExExrpessEarnedDiscount))*'1Day Base'!G39)*(1+ExpressFuelSurcharge),2))*(1+FedEx_Markup),2)</f>
        <v>193.1</v>
      </c>
      <c r="H42" s="218">
        <f>ROUND(IF(MinBase1Day&gt;ROUND(((1-(OverNightDiscount_21_Up+FedExExrpessEarnedDiscount))*'1Day Base'!H39),2),ROUND(MinBase1Day*(1+ExpressFuelSurcharge),2),ROUND(((1-(OverNightDiscount_21_Up+FedExExrpessEarnedDiscount))*'1Day Base'!H39)*(1+ExpressFuelSurcharge),2))*(1+FedEx_Markup),2)</f>
        <v>200.69</v>
      </c>
    </row>
    <row r="43" spans="1:26" ht="12.75" customHeight="1">
      <c r="A43" s="217">
        <v>38</v>
      </c>
      <c r="B43" s="218">
        <f>ROUND(IF(MinBase1Day&gt;ROUND(((1-(OverNightDiscount_21_Up+FedExExrpessEarnedDiscount))*'1Day Base'!B40),2),ROUND(MinBase1Day*(1+ExpressFuelSurcharge),2),ROUND(((1-(OverNightDiscount_21_Up+FedExExrpessEarnedDiscount))*'1Day Base'!B40)*(1+ExpressFuelSurcharge),2))*(1+FedEx_Markup),2)</f>
        <v>56.12</v>
      </c>
      <c r="C43" s="218">
        <f>ROUND(IF(MinBase1Day&gt;ROUND(((1-(OverNightDiscount_21_Up+FedExExrpessEarnedDiscount))*'1Day Base'!C40),2),ROUND(MinBase1Day*(1+ExpressFuelSurcharge),2),ROUND(((1-(OverNightDiscount_21_Up+FedExExrpessEarnedDiscount))*'1Day Base'!C40)*(1+ExpressFuelSurcharge),2))*(1+FedEx_Markup),2)</f>
        <v>81.72</v>
      </c>
      <c r="D43" s="218">
        <f>ROUND(IF(MinBase1Day&gt;ROUND(((1-(OverNightDiscount_21_Up+FedExExrpessEarnedDiscount))*'1Day Base'!D40),2),ROUND(MinBase1Day*(1+ExpressFuelSurcharge),2),ROUND(((1-(OverNightDiscount_21_Up+FedExExrpessEarnedDiscount))*'1Day Base'!D40)*(1+ExpressFuelSurcharge),2))*(1+FedEx_Markup),2)</f>
        <v>162.79</v>
      </c>
      <c r="E43" s="218">
        <f>ROUND(IF(MinBase1Day&gt;ROUND(((1-(OverNightDiscount_21_Up+FedExExrpessEarnedDiscount))*'1Day Base'!E40),2),ROUND(MinBase1Day*(1+ExpressFuelSurcharge),2),ROUND(((1-(OverNightDiscount_21_Up+FedExExrpessEarnedDiscount))*'1Day Base'!E40)*(1+ExpressFuelSurcharge),2))*(1+FedEx_Markup),2)</f>
        <v>174.9</v>
      </c>
      <c r="F43" s="218">
        <f>ROUND(IF(MinBase1Day&gt;ROUND(((1-(OverNightDiscount_21_Up+FedExExrpessEarnedDiscount))*'1Day Base'!F40),2),ROUND(MinBase1Day*(1+ExpressFuelSurcharge),2),ROUND(((1-(OverNightDiscount_21_Up+FedExExrpessEarnedDiscount))*'1Day Base'!F40)*(1+ExpressFuelSurcharge),2))*(1+FedEx_Markup),2)</f>
        <v>184.4</v>
      </c>
      <c r="G43" s="218">
        <f>ROUND(IF(MinBase1Day&gt;ROUND(((1-(OverNightDiscount_21_Up+FedExExrpessEarnedDiscount))*'1Day Base'!G40),2),ROUND(MinBase1Day*(1+ExpressFuelSurcharge),2),ROUND(((1-(OverNightDiscount_21_Up+FedExExrpessEarnedDiscount))*'1Day Base'!G40)*(1+ExpressFuelSurcharge),2))*(1+FedEx_Markup),2)</f>
        <v>195.87</v>
      </c>
      <c r="H43" s="218">
        <f>ROUND(IF(MinBase1Day&gt;ROUND(((1-(OverNightDiscount_21_Up+FedExExrpessEarnedDiscount))*'1Day Base'!H40),2),ROUND(MinBase1Day*(1+ExpressFuelSurcharge),2),ROUND(((1-(OverNightDiscount_21_Up+FedExExrpessEarnedDiscount))*'1Day Base'!H40)*(1+ExpressFuelSurcharge),2))*(1+FedEx_Markup),2)</f>
        <v>201.55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17">
        <v>39</v>
      </c>
      <c r="B44" s="218">
        <f>ROUND(IF(MinBase1Day&gt;ROUND(((1-(OverNightDiscount_21_Up+FedExExrpessEarnedDiscount))*'1Day Base'!B41),2),ROUND(MinBase1Day*(1+ExpressFuelSurcharge),2),ROUND(((1-(OverNightDiscount_21_Up+FedExExrpessEarnedDiscount))*'1Day Base'!B41)*(1+ExpressFuelSurcharge),2))*(1+FedEx_Markup),2)</f>
        <v>56.79</v>
      </c>
      <c r="C44" s="218">
        <f>ROUND(IF(MinBase1Day&gt;ROUND(((1-(OverNightDiscount_21_Up+FedExExrpessEarnedDiscount))*'1Day Base'!C41),2),ROUND(MinBase1Day*(1+ExpressFuelSurcharge),2),ROUND(((1-(OverNightDiscount_21_Up+FedExExrpessEarnedDiscount))*'1Day Base'!C41)*(1+ExpressFuelSurcharge),2))*(1+FedEx_Markup),2)</f>
        <v>81.89</v>
      </c>
      <c r="D44" s="218">
        <f>ROUND(IF(MinBase1Day&gt;ROUND(((1-(OverNightDiscount_21_Up+FedExExrpessEarnedDiscount))*'1Day Base'!D41),2),ROUND(MinBase1Day*(1+ExpressFuelSurcharge),2),ROUND(((1-(OverNightDiscount_21_Up+FedExExrpessEarnedDiscount))*'1Day Base'!D41)*(1+ExpressFuelSurcharge),2))*(1+FedEx_Markup),2)</f>
        <v>164.21</v>
      </c>
      <c r="E44" s="218">
        <f>ROUND(IF(MinBase1Day&gt;ROUND(((1-(OverNightDiscount_21_Up+FedExExrpessEarnedDiscount))*'1Day Base'!E41),2),ROUND(MinBase1Day*(1+ExpressFuelSurcharge),2),ROUND(((1-(OverNightDiscount_21_Up+FedExExrpessEarnedDiscount))*'1Day Base'!E41)*(1+ExpressFuelSurcharge),2))*(1+FedEx_Markup),2)</f>
        <v>176.24</v>
      </c>
      <c r="F44" s="218">
        <f>ROUND(IF(MinBase1Day&gt;ROUND(((1-(OverNightDiscount_21_Up+FedExExrpessEarnedDiscount))*'1Day Base'!F41),2),ROUND(MinBase1Day*(1+ExpressFuelSurcharge),2),ROUND(((1-(OverNightDiscount_21_Up+FedExExrpessEarnedDiscount))*'1Day Base'!F41)*(1+ExpressFuelSurcharge),2))*(1+FedEx_Markup),2)</f>
        <v>184.71</v>
      </c>
      <c r="G44" s="218">
        <f>ROUND(IF(MinBase1Day&gt;ROUND(((1-(OverNightDiscount_21_Up+FedExExrpessEarnedDiscount))*'1Day Base'!G41),2),ROUND(MinBase1Day*(1+ExpressFuelSurcharge),2),ROUND(((1-(OverNightDiscount_21_Up+FedExExrpessEarnedDiscount))*'1Day Base'!G41)*(1+ExpressFuelSurcharge),2))*(1+FedEx_Markup),2)</f>
        <v>197.46</v>
      </c>
      <c r="H44" s="218">
        <f>ROUND(IF(MinBase1Day&gt;ROUND(((1-(OverNightDiscount_21_Up+FedExExrpessEarnedDiscount))*'1Day Base'!H41),2),ROUND(MinBase1Day*(1+ExpressFuelSurcharge),2),ROUND(((1-(OverNightDiscount_21_Up+FedExExrpessEarnedDiscount))*'1Day Base'!H41)*(1+ExpressFuelSurcharge),2))*(1+FedEx_Markup),2)</f>
        <v>203.37</v>
      </c>
    </row>
    <row r="45" spans="1:26" ht="12.75" customHeight="1">
      <c r="A45" s="217">
        <v>40</v>
      </c>
      <c r="B45" s="218">
        <f>ROUND(IF(MinBase1Day&gt;ROUND(((1-(OverNightDiscount_21_Up+FedExExrpessEarnedDiscount))*'1Day Base'!B42),2),ROUND(MinBase1Day*(1+ExpressFuelSurcharge),2),ROUND(((1-(OverNightDiscount_21_Up+FedExExrpessEarnedDiscount))*'1Day Base'!B42)*(1+ExpressFuelSurcharge),2))*(1+FedEx_Markup),2)</f>
        <v>59.36</v>
      </c>
      <c r="C45" s="218">
        <f>ROUND(IF(MinBase1Day&gt;ROUND(((1-(OverNightDiscount_21_Up+FedExExrpessEarnedDiscount))*'1Day Base'!C42),2),ROUND(MinBase1Day*(1+ExpressFuelSurcharge),2),ROUND(((1-(OverNightDiscount_21_Up+FedExExrpessEarnedDiscount))*'1Day Base'!C42)*(1+ExpressFuelSurcharge),2))*(1+FedEx_Markup),2)</f>
        <v>81.97</v>
      </c>
      <c r="D45" s="218">
        <f>ROUND(IF(MinBase1Day&gt;ROUND(((1-(OverNightDiscount_21_Up+FedExExrpessEarnedDiscount))*'1Day Base'!D42),2),ROUND(MinBase1Day*(1+ExpressFuelSurcharge),2),ROUND(((1-(OverNightDiscount_21_Up+FedExExrpessEarnedDiscount))*'1Day Base'!D42)*(1+ExpressFuelSurcharge),2))*(1+FedEx_Markup),2)</f>
        <v>164.52</v>
      </c>
      <c r="E45" s="218">
        <f>ROUND(IF(MinBase1Day&gt;ROUND(((1-(OverNightDiscount_21_Up+FedExExrpessEarnedDiscount))*'1Day Base'!E42),2),ROUND(MinBase1Day*(1+ExpressFuelSurcharge),2),ROUND(((1-(OverNightDiscount_21_Up+FedExExrpessEarnedDiscount))*'1Day Base'!E42)*(1+ExpressFuelSurcharge),2))*(1+FedEx_Markup),2)</f>
        <v>178.22</v>
      </c>
      <c r="F45" s="218">
        <f>ROUND(IF(MinBase1Day&gt;ROUND(((1-(OverNightDiscount_21_Up+FedExExrpessEarnedDiscount))*'1Day Base'!F42),2),ROUND(MinBase1Day*(1+ExpressFuelSurcharge),2),ROUND(((1-(OverNightDiscount_21_Up+FedExExrpessEarnedDiscount))*'1Day Base'!F42)*(1+ExpressFuelSurcharge),2))*(1+FedEx_Markup),2)</f>
        <v>185.25</v>
      </c>
      <c r="G45" s="218">
        <f>ROUND(IF(MinBase1Day&gt;ROUND(((1-(OverNightDiscount_21_Up+FedExExrpessEarnedDiscount))*'1Day Base'!G42),2),ROUND(MinBase1Day*(1+ExpressFuelSurcharge),2),ROUND(((1-(OverNightDiscount_21_Up+FedExExrpessEarnedDiscount))*'1Day Base'!G42)*(1+ExpressFuelSurcharge),2))*(1+FedEx_Markup),2)</f>
        <v>199.65</v>
      </c>
      <c r="H45" s="218">
        <f>ROUND(IF(MinBase1Day&gt;ROUND(((1-(OverNightDiscount_21_Up+FedExExrpessEarnedDiscount))*'1Day Base'!H42),2),ROUND(MinBase1Day*(1+ExpressFuelSurcharge),2),ROUND(((1-(OverNightDiscount_21_Up+FedExExrpessEarnedDiscount))*'1Day Base'!H42)*(1+ExpressFuelSurcharge),2))*(1+FedEx_Markup),2)</f>
        <v>203.83</v>
      </c>
    </row>
    <row r="46" spans="1:26" ht="12.75" customHeight="1">
      <c r="A46" s="217">
        <v>41</v>
      </c>
      <c r="B46" s="218">
        <f>ROUND(IF(MinBase1Day&gt;ROUND(((1-(OverNightDiscount_21_Up+FedExExrpessEarnedDiscount))*'1Day Base'!B43),2),ROUND(MinBase1Day*(1+ExpressFuelSurcharge),2),ROUND(((1-(OverNightDiscount_21_Up+FedExExrpessEarnedDiscount))*'1Day Base'!B43)*(1+ExpressFuelSurcharge),2))*(1+FedEx_Markup),2)</f>
        <v>60.38</v>
      </c>
      <c r="C46" s="218">
        <f>ROUND(IF(MinBase1Day&gt;ROUND(((1-(OverNightDiscount_21_Up+FedExExrpessEarnedDiscount))*'1Day Base'!C43),2),ROUND(MinBase1Day*(1+ExpressFuelSurcharge),2),ROUND(((1-(OverNightDiscount_21_Up+FedExExrpessEarnedDiscount))*'1Day Base'!C43)*(1+ExpressFuelSurcharge),2))*(1+FedEx_Markup),2)</f>
        <v>82.74</v>
      </c>
      <c r="D46" s="218">
        <f>ROUND(IF(MinBase1Day&gt;ROUND(((1-(OverNightDiscount_21_Up+FedExExrpessEarnedDiscount))*'1Day Base'!D43),2),ROUND(MinBase1Day*(1+ExpressFuelSurcharge),2),ROUND(((1-(OverNightDiscount_21_Up+FedExExrpessEarnedDiscount))*'1Day Base'!D43)*(1+ExpressFuelSurcharge),2))*(1+FedEx_Markup),2)</f>
        <v>170.55</v>
      </c>
      <c r="E46" s="218">
        <f>ROUND(IF(MinBase1Day&gt;ROUND(((1-(OverNightDiscount_21_Up+FedExExrpessEarnedDiscount))*'1Day Base'!E43),2),ROUND(MinBase1Day*(1+ExpressFuelSurcharge),2),ROUND(((1-(OverNightDiscount_21_Up+FedExExrpessEarnedDiscount))*'1Day Base'!E43)*(1+ExpressFuelSurcharge),2))*(1+FedEx_Markup),2)</f>
        <v>181.3</v>
      </c>
      <c r="F46" s="218">
        <f>ROUND(IF(MinBase1Day&gt;ROUND(((1-(OverNightDiscount_21_Up+FedExExrpessEarnedDiscount))*'1Day Base'!F43),2),ROUND(MinBase1Day*(1+ExpressFuelSurcharge),2),ROUND(((1-(OverNightDiscount_21_Up+FedExExrpessEarnedDiscount))*'1Day Base'!F43)*(1+ExpressFuelSurcharge),2))*(1+FedEx_Markup),2)</f>
        <v>194.15</v>
      </c>
      <c r="G46" s="218">
        <f>ROUND(IF(MinBase1Day&gt;ROUND(((1-(OverNightDiscount_21_Up+FedExExrpessEarnedDiscount))*'1Day Base'!G43),2),ROUND(MinBase1Day*(1+ExpressFuelSurcharge),2),ROUND(((1-(OverNightDiscount_21_Up+FedExExrpessEarnedDiscount))*'1Day Base'!G43)*(1+ExpressFuelSurcharge),2))*(1+FedEx_Markup),2)</f>
        <v>202.61</v>
      </c>
      <c r="H46" s="218">
        <f>ROUND(IF(MinBase1Day&gt;ROUND(((1-(OverNightDiscount_21_Up+FedExExrpessEarnedDiscount))*'1Day Base'!H43),2),ROUND(MinBase1Day*(1+ExpressFuelSurcharge),2),ROUND(((1-(OverNightDiscount_21_Up+FedExExrpessEarnedDiscount))*'1Day Base'!H43)*(1+ExpressFuelSurcharge),2))*(1+FedEx_Markup),2)</f>
        <v>213.06</v>
      </c>
    </row>
    <row r="47" spans="1:26" ht="12.75" customHeight="1">
      <c r="A47" s="217">
        <v>42</v>
      </c>
      <c r="B47" s="218">
        <f>ROUND(IF(MinBase1Day&gt;ROUND(((1-(OverNightDiscount_21_Up+FedExExrpessEarnedDiscount))*'1Day Base'!B44),2),ROUND(MinBase1Day*(1+ExpressFuelSurcharge),2),ROUND(((1-(OverNightDiscount_21_Up+FedExExrpessEarnedDiscount))*'1Day Base'!B44)*(1+ExpressFuelSurcharge),2))*(1+FedEx_Markup),2)</f>
        <v>61.5</v>
      </c>
      <c r="C47" s="218">
        <f>ROUND(IF(MinBase1Day&gt;ROUND(((1-(OverNightDiscount_21_Up+FedExExrpessEarnedDiscount))*'1Day Base'!C44),2),ROUND(MinBase1Day*(1+ExpressFuelSurcharge),2),ROUND(((1-(OverNightDiscount_21_Up+FedExExrpessEarnedDiscount))*'1Day Base'!C44)*(1+ExpressFuelSurcharge),2))*(1+FedEx_Markup),2)</f>
        <v>88.04</v>
      </c>
      <c r="D47" s="218">
        <f>ROUND(IF(MinBase1Day&gt;ROUND(((1-(OverNightDiscount_21_Up+FedExExrpessEarnedDiscount))*'1Day Base'!D44),2),ROUND(MinBase1Day*(1+ExpressFuelSurcharge),2),ROUND(((1-(OverNightDiscount_21_Up+FedExExrpessEarnedDiscount))*'1Day Base'!D44)*(1+ExpressFuelSurcharge),2))*(1+FedEx_Markup),2)</f>
        <v>172.86</v>
      </c>
      <c r="E47" s="218">
        <f>ROUND(IF(MinBase1Day&gt;ROUND(((1-(OverNightDiscount_21_Up+FedExExrpessEarnedDiscount))*'1Day Base'!E44),2),ROUND(MinBase1Day*(1+ExpressFuelSurcharge),2),ROUND(((1-(OverNightDiscount_21_Up+FedExExrpessEarnedDiscount))*'1Day Base'!E44)*(1+ExpressFuelSurcharge),2))*(1+FedEx_Markup),2)</f>
        <v>185.96</v>
      </c>
      <c r="F47" s="218">
        <f>ROUND(IF(MinBase1Day&gt;ROUND(((1-(OverNightDiscount_21_Up+FedExExrpessEarnedDiscount))*'1Day Base'!F44),2),ROUND(MinBase1Day*(1+ExpressFuelSurcharge),2),ROUND(((1-(OverNightDiscount_21_Up+FedExExrpessEarnedDiscount))*'1Day Base'!F44)*(1+ExpressFuelSurcharge),2))*(1+FedEx_Markup),2)</f>
        <v>197.09</v>
      </c>
      <c r="G47" s="218">
        <f>ROUND(IF(MinBase1Day&gt;ROUND(((1-(OverNightDiscount_21_Up+FedExExrpessEarnedDiscount))*'1Day Base'!G44),2),ROUND(MinBase1Day*(1+ExpressFuelSurcharge),2),ROUND(((1-(OverNightDiscount_21_Up+FedExExrpessEarnedDiscount))*'1Day Base'!G44)*(1+ExpressFuelSurcharge),2))*(1+FedEx_Markup),2)</f>
        <v>203.4</v>
      </c>
      <c r="H47" s="218">
        <f>ROUND(IF(MinBase1Day&gt;ROUND(((1-(OverNightDiscount_21_Up+FedExExrpessEarnedDiscount))*'1Day Base'!H44),2),ROUND(MinBase1Day*(1+ExpressFuelSurcharge),2),ROUND(((1-(OverNightDiscount_21_Up+FedExExrpessEarnedDiscount))*'1Day Base'!H44)*(1+ExpressFuelSurcharge),2))*(1+FedEx_Markup),2)</f>
        <v>217.96</v>
      </c>
    </row>
    <row r="48" spans="1:26" ht="12.75" customHeight="1">
      <c r="A48" s="217">
        <v>43</v>
      </c>
      <c r="B48" s="218">
        <f>ROUND(IF(MinBase1Day&gt;ROUND(((1-(OverNightDiscount_21_Up+FedExExrpessEarnedDiscount))*'1Day Base'!B45),2),ROUND(MinBase1Day*(1+ExpressFuelSurcharge),2),ROUND(((1-(OverNightDiscount_21_Up+FedExExrpessEarnedDiscount))*'1Day Base'!B45)*(1+ExpressFuelSurcharge),2))*(1+FedEx_Markup),2)</f>
        <v>62.53</v>
      </c>
      <c r="C48" s="218">
        <f>ROUND(IF(MinBase1Day&gt;ROUND(((1-(OverNightDiscount_21_Up+FedExExrpessEarnedDiscount))*'1Day Base'!C45),2),ROUND(MinBase1Day*(1+ExpressFuelSurcharge),2),ROUND(((1-(OverNightDiscount_21_Up+FedExExrpessEarnedDiscount))*'1Day Base'!C45)*(1+ExpressFuelSurcharge),2))*(1+FedEx_Markup),2)</f>
        <v>88.57</v>
      </c>
      <c r="D48" s="218">
        <f>ROUND(IF(MinBase1Day&gt;ROUND(((1-(OverNightDiscount_21_Up+FedExExrpessEarnedDiscount))*'1Day Base'!D45),2),ROUND(MinBase1Day*(1+ExpressFuelSurcharge),2),ROUND(((1-(OverNightDiscount_21_Up+FedExExrpessEarnedDiscount))*'1Day Base'!D45)*(1+ExpressFuelSurcharge),2))*(1+FedEx_Markup),2)</f>
        <v>177.5</v>
      </c>
      <c r="E48" s="218">
        <f>ROUND(IF(MinBase1Day&gt;ROUND(((1-(OverNightDiscount_21_Up+FedExExrpessEarnedDiscount))*'1Day Base'!E45),2),ROUND(MinBase1Day*(1+ExpressFuelSurcharge),2),ROUND(((1-(OverNightDiscount_21_Up+FedExExrpessEarnedDiscount))*'1Day Base'!E45)*(1+ExpressFuelSurcharge),2))*(1+FedEx_Markup),2)</f>
        <v>189.37</v>
      </c>
      <c r="F48" s="218">
        <f>ROUND(IF(MinBase1Day&gt;ROUND(((1-(OverNightDiscount_21_Up+FedExExrpessEarnedDiscount))*'1Day Base'!F45),2),ROUND(MinBase1Day*(1+ExpressFuelSurcharge),2),ROUND(((1-(OverNightDiscount_21_Up+FedExExrpessEarnedDiscount))*'1Day Base'!F45)*(1+ExpressFuelSurcharge),2))*(1+FedEx_Markup),2)</f>
        <v>198.94</v>
      </c>
      <c r="G48" s="218">
        <f>ROUND(IF(MinBase1Day&gt;ROUND(((1-(OverNightDiscount_21_Up+FedExExrpessEarnedDiscount))*'1Day Base'!G45),2),ROUND(MinBase1Day*(1+ExpressFuelSurcharge),2),ROUND(((1-(OverNightDiscount_21_Up+FedExExrpessEarnedDiscount))*'1Day Base'!G45)*(1+ExpressFuelSurcharge),2))*(1+FedEx_Markup),2)</f>
        <v>213.75</v>
      </c>
      <c r="H48" s="218">
        <f>ROUND(IF(MinBase1Day&gt;ROUND(((1-(OverNightDiscount_21_Up+FedExExrpessEarnedDiscount))*'1Day Base'!H45),2),ROUND(MinBase1Day*(1+ExpressFuelSurcharge),2),ROUND(((1-(OverNightDiscount_21_Up+FedExExrpessEarnedDiscount))*'1Day Base'!H45)*(1+ExpressFuelSurcharge),2))*(1+FedEx_Markup),2)</f>
        <v>227.64</v>
      </c>
    </row>
    <row r="49" spans="1:8" ht="12.75" customHeight="1">
      <c r="A49" s="217">
        <v>44</v>
      </c>
      <c r="B49" s="218">
        <f>ROUND(IF(MinBase1Day&gt;ROUND(((1-(OverNightDiscount_21_Up+FedExExrpessEarnedDiscount))*'1Day Base'!B46),2),ROUND(MinBase1Day*(1+ExpressFuelSurcharge),2),ROUND(((1-(OverNightDiscount_21_Up+FedExExrpessEarnedDiscount))*'1Day Base'!B46)*(1+ExpressFuelSurcharge),2))*(1+FedEx_Markup),2)</f>
        <v>63.61</v>
      </c>
      <c r="C49" s="218">
        <f>ROUND(IF(MinBase1Day&gt;ROUND(((1-(OverNightDiscount_21_Up+FedExExrpessEarnedDiscount))*'1Day Base'!C46),2),ROUND(MinBase1Day*(1+ExpressFuelSurcharge),2),ROUND(((1-(OverNightDiscount_21_Up+FedExExrpessEarnedDiscount))*'1Day Base'!C46)*(1+ExpressFuelSurcharge),2))*(1+FedEx_Markup),2)</f>
        <v>88.88</v>
      </c>
      <c r="D49" s="218">
        <f>ROUND(IF(MinBase1Day&gt;ROUND(((1-(OverNightDiscount_21_Up+FedExExrpessEarnedDiscount))*'1Day Base'!D46),2),ROUND(MinBase1Day*(1+ExpressFuelSurcharge),2),ROUND(((1-(OverNightDiscount_21_Up+FedExExrpessEarnedDiscount))*'1Day Base'!D46)*(1+ExpressFuelSurcharge),2))*(1+FedEx_Markup),2)</f>
        <v>180.62</v>
      </c>
      <c r="E49" s="218">
        <f>ROUND(IF(MinBase1Day&gt;ROUND(((1-(OverNightDiscount_21_Up+FedExExrpessEarnedDiscount))*'1Day Base'!E46),2),ROUND(MinBase1Day*(1+ExpressFuelSurcharge),2),ROUND(((1-(OverNightDiscount_21_Up+FedExExrpessEarnedDiscount))*'1Day Base'!E46)*(1+ExpressFuelSurcharge),2))*(1+FedEx_Markup),2)</f>
        <v>194.8</v>
      </c>
      <c r="F49" s="218">
        <f>ROUND(IF(MinBase1Day&gt;ROUND(((1-(OverNightDiscount_21_Up+FedExExrpessEarnedDiscount))*'1Day Base'!F46),2),ROUND(MinBase1Day*(1+ExpressFuelSurcharge),2),ROUND(((1-(OverNightDiscount_21_Up+FedExExrpessEarnedDiscount))*'1Day Base'!F46)*(1+ExpressFuelSurcharge),2))*(1+FedEx_Markup),2)</f>
        <v>204.33</v>
      </c>
      <c r="G49" s="218">
        <f>ROUND(IF(MinBase1Day&gt;ROUND(((1-(OverNightDiscount_21_Up+FedExExrpessEarnedDiscount))*'1Day Base'!G46),2),ROUND(MinBase1Day*(1+ExpressFuelSurcharge),2),ROUND(((1-(OverNightDiscount_21_Up+FedExExrpessEarnedDiscount))*'1Day Base'!G46)*(1+ExpressFuelSurcharge),2))*(1+FedEx_Markup),2)</f>
        <v>217.35</v>
      </c>
      <c r="H49" s="218">
        <f>ROUND(IF(MinBase1Day&gt;ROUND(((1-(OverNightDiscount_21_Up+FedExExrpessEarnedDiscount))*'1Day Base'!H46),2),ROUND(MinBase1Day*(1+ExpressFuelSurcharge),2),ROUND(((1-(OverNightDiscount_21_Up+FedExExrpessEarnedDiscount))*'1Day Base'!H46)*(1+ExpressFuelSurcharge),2))*(1+FedEx_Markup),2)</f>
        <v>233.78</v>
      </c>
    </row>
    <row r="50" spans="1:8" ht="12.75" customHeight="1">
      <c r="A50" s="217">
        <v>45</v>
      </c>
      <c r="B50" s="218">
        <f>ROUND(IF(MinBase1Day&gt;ROUND(((1-(OverNightDiscount_21_Up+FedExExrpessEarnedDiscount))*'1Day Base'!B47),2),ROUND(MinBase1Day*(1+ExpressFuelSurcharge),2),ROUND(((1-(OverNightDiscount_21_Up+FedExExrpessEarnedDiscount))*'1Day Base'!B47)*(1+ExpressFuelSurcharge),2))*(1+FedEx_Markup),2)</f>
        <v>64.63</v>
      </c>
      <c r="C50" s="218">
        <f>ROUND(IF(MinBase1Day&gt;ROUND(((1-(OverNightDiscount_21_Up+FedExExrpessEarnedDiscount))*'1Day Base'!C47),2),ROUND(MinBase1Day*(1+ExpressFuelSurcharge),2),ROUND(((1-(OverNightDiscount_21_Up+FedExExrpessEarnedDiscount))*'1Day Base'!C47)*(1+ExpressFuelSurcharge),2))*(1+FedEx_Markup),2)</f>
        <v>89.18</v>
      </c>
      <c r="D50" s="218">
        <f>ROUND(IF(MinBase1Day&gt;ROUND(((1-(OverNightDiscount_21_Up+FedExExrpessEarnedDiscount))*'1Day Base'!D47),2),ROUND(MinBase1Day*(1+ExpressFuelSurcharge),2),ROUND(((1-(OverNightDiscount_21_Up+FedExExrpessEarnedDiscount))*'1Day Base'!D47)*(1+ExpressFuelSurcharge),2))*(1+FedEx_Markup),2)</f>
        <v>184.43</v>
      </c>
      <c r="E50" s="218">
        <f>ROUND(IF(MinBase1Day&gt;ROUND(((1-(OverNightDiscount_21_Up+FedExExrpessEarnedDiscount))*'1Day Base'!E47),2),ROUND(MinBase1Day*(1+ExpressFuelSurcharge),2),ROUND(((1-(OverNightDiscount_21_Up+FedExExrpessEarnedDiscount))*'1Day Base'!E47)*(1+ExpressFuelSurcharge),2))*(1+FedEx_Markup),2)</f>
        <v>198.69</v>
      </c>
      <c r="F50" s="218">
        <f>ROUND(IF(MinBase1Day&gt;ROUND(((1-(OverNightDiscount_21_Up+FedExExrpessEarnedDiscount))*'1Day Base'!F47),2),ROUND(MinBase1Day*(1+ExpressFuelSurcharge),2),ROUND(((1-(OverNightDiscount_21_Up+FedExExrpessEarnedDiscount))*'1Day Base'!F47)*(1+ExpressFuelSurcharge),2))*(1+FedEx_Markup),2)</f>
        <v>204.87</v>
      </c>
      <c r="G50" s="218">
        <f>ROUND(IF(MinBase1Day&gt;ROUND(((1-(OverNightDiscount_21_Up+FedExExrpessEarnedDiscount))*'1Day Base'!G47),2),ROUND(MinBase1Day*(1+ExpressFuelSurcharge),2),ROUND(((1-(OverNightDiscount_21_Up+FedExExrpessEarnedDiscount))*'1Day Base'!G47)*(1+ExpressFuelSurcharge),2))*(1+FedEx_Markup),2)</f>
        <v>223.08</v>
      </c>
      <c r="H50" s="218">
        <f>ROUND(IF(MinBase1Day&gt;ROUND(((1-(OverNightDiscount_21_Up+FedExExrpessEarnedDiscount))*'1Day Base'!H47),2),ROUND(MinBase1Day*(1+ExpressFuelSurcharge),2),ROUND(((1-(OverNightDiscount_21_Up+FedExExrpessEarnedDiscount))*'1Day Base'!H47)*(1+ExpressFuelSurcharge),2))*(1+FedEx_Markup),2)</f>
        <v>234.39</v>
      </c>
    </row>
    <row r="51" spans="1:8" ht="12.75" customHeight="1">
      <c r="A51" s="217">
        <v>46</v>
      </c>
      <c r="B51" s="218">
        <f>ROUND(IF(MinBase1Day&gt;ROUND(((1-(OverNightDiscount_21_Up+FedExExrpessEarnedDiscount))*'1Day Base'!B48),2),ROUND(MinBase1Day*(1+ExpressFuelSurcharge),2),ROUND(((1-(OverNightDiscount_21_Up+FedExExrpessEarnedDiscount))*'1Day Base'!B48)*(1+ExpressFuelSurcharge),2))*(1+FedEx_Markup),2)</f>
        <v>65.62</v>
      </c>
      <c r="C51" s="218">
        <f>ROUND(IF(MinBase1Day&gt;ROUND(((1-(OverNightDiscount_21_Up+FedExExrpessEarnedDiscount))*'1Day Base'!C48),2),ROUND(MinBase1Day*(1+ExpressFuelSurcharge),2),ROUND(((1-(OverNightDiscount_21_Up+FedExExrpessEarnedDiscount))*'1Day Base'!C48)*(1+ExpressFuelSurcharge),2))*(1+FedEx_Markup),2)</f>
        <v>95.09</v>
      </c>
      <c r="D51" s="218">
        <f>ROUND(IF(MinBase1Day&gt;ROUND(((1-(OverNightDiscount_21_Up+FedExExrpessEarnedDiscount))*'1Day Base'!D48),2),ROUND(MinBase1Day*(1+ExpressFuelSurcharge),2),ROUND(((1-(OverNightDiscount_21_Up+FedExExrpessEarnedDiscount))*'1Day Base'!D48)*(1+ExpressFuelSurcharge),2))*(1+FedEx_Markup),2)</f>
        <v>187.53</v>
      </c>
      <c r="E51" s="218">
        <f>ROUND(IF(MinBase1Day&gt;ROUND(((1-(OverNightDiscount_21_Up+FedExExrpessEarnedDiscount))*'1Day Base'!E48),2),ROUND(MinBase1Day*(1+ExpressFuelSurcharge),2),ROUND(((1-(OverNightDiscount_21_Up+FedExExrpessEarnedDiscount))*'1Day Base'!E48)*(1+ExpressFuelSurcharge),2))*(1+FedEx_Markup),2)</f>
        <v>204.36</v>
      </c>
      <c r="F51" s="218">
        <f>ROUND(IF(MinBase1Day&gt;ROUND(((1-(OverNightDiscount_21_Up+FedExExrpessEarnedDiscount))*'1Day Base'!F48),2),ROUND(MinBase1Day*(1+ExpressFuelSurcharge),2),ROUND(((1-(OverNightDiscount_21_Up+FedExExrpessEarnedDiscount))*'1Day Base'!F48)*(1+ExpressFuelSurcharge),2))*(1+FedEx_Markup),2)</f>
        <v>212.28</v>
      </c>
      <c r="G51" s="218">
        <f>ROUND(IF(MinBase1Day&gt;ROUND(((1-(OverNightDiscount_21_Up+FedExExrpessEarnedDiscount))*'1Day Base'!G48),2),ROUND(MinBase1Day*(1+ExpressFuelSurcharge),2),ROUND(((1-(OverNightDiscount_21_Up+FedExExrpessEarnedDiscount))*'1Day Base'!G48)*(1+ExpressFuelSurcharge),2))*(1+FedEx_Markup),2)</f>
        <v>223.64</v>
      </c>
      <c r="H51" s="218">
        <f>ROUND(IF(MinBase1Day&gt;ROUND(((1-(OverNightDiscount_21_Up+FedExExrpessEarnedDiscount))*'1Day Base'!H48),2),ROUND(MinBase1Day*(1+ExpressFuelSurcharge),2),ROUND(((1-(OverNightDiscount_21_Up+FedExExrpessEarnedDiscount))*'1Day Base'!H48)*(1+ExpressFuelSurcharge),2))*(1+FedEx_Markup),2)</f>
        <v>241.53</v>
      </c>
    </row>
    <row r="52" spans="1:8" ht="12.75" customHeight="1">
      <c r="A52" s="217">
        <v>47</v>
      </c>
      <c r="B52" s="218">
        <f>ROUND(IF(MinBase1Day&gt;ROUND(((1-(OverNightDiscount_21_Up+FedExExrpessEarnedDiscount))*'1Day Base'!B49),2),ROUND(MinBase1Day*(1+ExpressFuelSurcharge),2),ROUND(((1-(OverNightDiscount_21_Up+FedExExrpessEarnedDiscount))*'1Day Base'!B49)*(1+ExpressFuelSurcharge),2))*(1+FedEx_Markup),2)</f>
        <v>67.02</v>
      </c>
      <c r="C52" s="218">
        <f>ROUND(IF(MinBase1Day&gt;ROUND(((1-(OverNightDiscount_21_Up+FedExExrpessEarnedDiscount))*'1Day Base'!C49),2),ROUND(MinBase1Day*(1+ExpressFuelSurcharge),2),ROUND(((1-(OverNightDiscount_21_Up+FedExExrpessEarnedDiscount))*'1Day Base'!C49)*(1+ExpressFuelSurcharge),2))*(1+FedEx_Markup),2)</f>
        <v>97.05</v>
      </c>
      <c r="D52" s="218">
        <f>ROUND(IF(MinBase1Day&gt;ROUND(((1-(OverNightDiscount_21_Up+FedExExrpessEarnedDiscount))*'1Day Base'!D49),2),ROUND(MinBase1Day*(1+ExpressFuelSurcharge),2),ROUND(((1-(OverNightDiscount_21_Up+FedExExrpessEarnedDiscount))*'1Day Base'!D49)*(1+ExpressFuelSurcharge),2))*(1+FedEx_Markup),2)</f>
        <v>187.84</v>
      </c>
      <c r="E52" s="218">
        <f>ROUND(IF(MinBase1Day&gt;ROUND(((1-(OverNightDiscount_21_Up+FedExExrpessEarnedDiscount))*'1Day Base'!E49),2),ROUND(MinBase1Day*(1+ExpressFuelSurcharge),2),ROUND(((1-(OverNightDiscount_21_Up+FedExExrpessEarnedDiscount))*'1Day Base'!E49)*(1+ExpressFuelSurcharge),2))*(1+FedEx_Markup),2)</f>
        <v>204.93</v>
      </c>
      <c r="F52" s="218">
        <f>ROUND(IF(MinBase1Day&gt;ROUND(((1-(OverNightDiscount_21_Up+FedExExrpessEarnedDiscount))*'1Day Base'!F49),2),ROUND(MinBase1Day*(1+ExpressFuelSurcharge),2),ROUND(((1-(OverNightDiscount_21_Up+FedExExrpessEarnedDiscount))*'1Day Base'!F49)*(1+ExpressFuelSurcharge),2))*(1+FedEx_Markup),2)</f>
        <v>213.31</v>
      </c>
      <c r="G52" s="218">
        <f>ROUND(IF(MinBase1Day&gt;ROUND(((1-(OverNightDiscount_21_Up+FedExExrpessEarnedDiscount))*'1Day Base'!G49),2),ROUND(MinBase1Day*(1+ExpressFuelSurcharge),2),ROUND(((1-(OverNightDiscount_21_Up+FedExExrpessEarnedDiscount))*'1Day Base'!G49)*(1+ExpressFuelSurcharge),2))*(1+FedEx_Markup),2)</f>
        <v>226.46</v>
      </c>
      <c r="H52" s="218">
        <f>ROUND(IF(MinBase1Day&gt;ROUND(((1-(OverNightDiscount_21_Up+FedExExrpessEarnedDiscount))*'1Day Base'!H49),2),ROUND(MinBase1Day*(1+ExpressFuelSurcharge),2),ROUND(((1-(OverNightDiscount_21_Up+FedExExrpessEarnedDiscount))*'1Day Base'!H49)*(1+ExpressFuelSurcharge),2))*(1+FedEx_Markup),2)</f>
        <v>242.52</v>
      </c>
    </row>
    <row r="53" spans="1:8" ht="12.75" customHeight="1">
      <c r="A53" s="217">
        <v>48</v>
      </c>
      <c r="B53" s="218">
        <f>ROUND(IF(MinBase1Day&gt;ROUND(((1-(OverNightDiscount_21_Up+FedExExrpessEarnedDiscount))*'1Day Base'!B50),2),ROUND(MinBase1Day*(1+ExpressFuelSurcharge),2),ROUND(((1-(OverNightDiscount_21_Up+FedExExrpessEarnedDiscount))*'1Day Base'!B50)*(1+ExpressFuelSurcharge),2))*(1+FedEx_Markup),2)</f>
        <v>68</v>
      </c>
      <c r="C53" s="218">
        <f>ROUND(IF(MinBase1Day&gt;ROUND(((1-(OverNightDiscount_21_Up+FedExExrpessEarnedDiscount))*'1Day Base'!C50),2),ROUND(MinBase1Day*(1+ExpressFuelSurcharge),2),ROUND(((1-(OverNightDiscount_21_Up+FedExExrpessEarnedDiscount))*'1Day Base'!C50)*(1+ExpressFuelSurcharge),2))*(1+FedEx_Markup),2)</f>
        <v>98.97</v>
      </c>
      <c r="D53" s="218">
        <f>ROUND(IF(MinBase1Day&gt;ROUND(((1-(OverNightDiscount_21_Up+FedExExrpessEarnedDiscount))*'1Day Base'!D50),2),ROUND(MinBase1Day*(1+ExpressFuelSurcharge),2),ROUND(((1-(OverNightDiscount_21_Up+FedExExrpessEarnedDiscount))*'1Day Base'!D50)*(1+ExpressFuelSurcharge),2))*(1+FedEx_Markup),2)</f>
        <v>187.98</v>
      </c>
      <c r="E53" s="218">
        <f>ROUND(IF(MinBase1Day&gt;ROUND(((1-(OverNightDiscount_21_Up+FedExExrpessEarnedDiscount))*'1Day Base'!E50),2),ROUND(MinBase1Day*(1+ExpressFuelSurcharge),2),ROUND(((1-(OverNightDiscount_21_Up+FedExExrpessEarnedDiscount))*'1Day Base'!E50)*(1+ExpressFuelSurcharge),2))*(1+FedEx_Markup),2)</f>
        <v>205.03</v>
      </c>
      <c r="F53" s="218">
        <f>ROUND(IF(MinBase1Day&gt;ROUND(((1-(OverNightDiscount_21_Up+FedExExrpessEarnedDiscount))*'1Day Base'!F50),2),ROUND(MinBase1Day*(1+ExpressFuelSurcharge),2),ROUND(((1-(OverNightDiscount_21_Up+FedExExrpessEarnedDiscount))*'1Day Base'!F50)*(1+ExpressFuelSurcharge),2))*(1+FedEx_Markup),2)</f>
        <v>213.42</v>
      </c>
      <c r="G53" s="218">
        <f>ROUND(IF(MinBase1Day&gt;ROUND(((1-(OverNightDiscount_21_Up+FedExExrpessEarnedDiscount))*'1Day Base'!G50),2),ROUND(MinBase1Day*(1+ExpressFuelSurcharge),2),ROUND(((1-(OverNightDiscount_21_Up+FedExExrpessEarnedDiscount))*'1Day Base'!G50)*(1+ExpressFuelSurcharge),2))*(1+FedEx_Markup),2)</f>
        <v>228.56</v>
      </c>
      <c r="H53" s="218">
        <f>ROUND(IF(MinBase1Day&gt;ROUND(((1-(OverNightDiscount_21_Up+FedExExrpessEarnedDiscount))*'1Day Base'!H50),2),ROUND(MinBase1Day*(1+ExpressFuelSurcharge),2),ROUND(((1-(OverNightDiscount_21_Up+FedExExrpessEarnedDiscount))*'1Day Base'!H50)*(1+ExpressFuelSurcharge),2))*(1+FedEx_Markup),2)</f>
        <v>242.62</v>
      </c>
    </row>
    <row r="54" spans="1:8" ht="12.75" customHeight="1">
      <c r="A54" s="217">
        <v>49</v>
      </c>
      <c r="B54" s="218">
        <f>ROUND(IF(MinBase1Day&gt;ROUND(((1-(OverNightDiscount_21_Up+FedExExrpessEarnedDiscount))*'1Day Base'!B51),2),ROUND(MinBase1Day*(1+ExpressFuelSurcharge),2),ROUND(((1-(OverNightDiscount_21_Up+FedExExrpessEarnedDiscount))*'1Day Base'!B51)*(1+ExpressFuelSurcharge),2))*(1+FedEx_Markup),2)</f>
        <v>69.03</v>
      </c>
      <c r="C54" s="218">
        <f>ROUND(IF(MinBase1Day&gt;ROUND(((1-(OverNightDiscount_21_Up+FedExExrpessEarnedDiscount))*'1Day Base'!C51),2),ROUND(MinBase1Day*(1+ExpressFuelSurcharge),2),ROUND(((1-(OverNightDiscount_21_Up+FedExExrpessEarnedDiscount))*'1Day Base'!C51)*(1+ExpressFuelSurcharge),2))*(1+FedEx_Markup),2)</f>
        <v>100.94</v>
      </c>
      <c r="D54" s="218">
        <f>ROUND(IF(MinBase1Day&gt;ROUND(((1-(OverNightDiscount_21_Up+FedExExrpessEarnedDiscount))*'1Day Base'!D51),2),ROUND(MinBase1Day*(1+ExpressFuelSurcharge),2),ROUND(((1-(OverNightDiscount_21_Up+FedExExrpessEarnedDiscount))*'1Day Base'!D51)*(1+ExpressFuelSurcharge),2))*(1+FedEx_Markup),2)</f>
        <v>188.09</v>
      </c>
      <c r="E54" s="218">
        <f>ROUND(IF(MinBase1Day&gt;ROUND(((1-(OverNightDiscount_21_Up+FedExExrpessEarnedDiscount))*'1Day Base'!E51),2),ROUND(MinBase1Day*(1+ExpressFuelSurcharge),2),ROUND(((1-(OverNightDiscount_21_Up+FedExExrpessEarnedDiscount))*'1Day Base'!E51)*(1+ExpressFuelSurcharge),2))*(1+FedEx_Markup),2)</f>
        <v>206.98</v>
      </c>
      <c r="F54" s="218">
        <f>ROUND(IF(MinBase1Day&gt;ROUND(((1-(OverNightDiscount_21_Up+FedExExrpessEarnedDiscount))*'1Day Base'!F51),2),ROUND(MinBase1Day*(1+ExpressFuelSurcharge),2),ROUND(((1-(OverNightDiscount_21_Up+FedExExrpessEarnedDiscount))*'1Day Base'!F51)*(1+ExpressFuelSurcharge),2))*(1+FedEx_Markup),2)</f>
        <v>213.51</v>
      </c>
      <c r="G54" s="218">
        <f>ROUND(IF(MinBase1Day&gt;ROUND(((1-(OverNightDiscount_21_Up+FedExExrpessEarnedDiscount))*'1Day Base'!G51),2),ROUND(MinBase1Day*(1+ExpressFuelSurcharge),2),ROUND(((1-(OverNightDiscount_21_Up+FedExExrpessEarnedDiscount))*'1Day Base'!G51)*(1+ExpressFuelSurcharge),2))*(1+FedEx_Markup),2)</f>
        <v>231.13</v>
      </c>
      <c r="H54" s="218">
        <f>ROUND(IF(MinBase1Day&gt;ROUND(((1-(OverNightDiscount_21_Up+FedExExrpessEarnedDiscount))*'1Day Base'!H51),2),ROUND(MinBase1Day*(1+ExpressFuelSurcharge),2),ROUND(((1-(OverNightDiscount_21_Up+FedExExrpessEarnedDiscount))*'1Day Base'!H51)*(1+ExpressFuelSurcharge),2))*(1+FedEx_Markup),2)</f>
        <v>242.78</v>
      </c>
    </row>
    <row r="55" spans="1:8" ht="12.75" customHeight="1">
      <c r="A55" s="217">
        <v>50</v>
      </c>
      <c r="B55" s="218">
        <f>ROUND(IF(MinBase1Day&gt;ROUND(((1-(OverNightDiscount_21_Up+FedExExrpessEarnedDiscount))*'1Day Base'!B52),2),ROUND(MinBase1Day*(1+ExpressFuelSurcharge),2),ROUND(((1-(OverNightDiscount_21_Up+FedExExrpessEarnedDiscount))*'1Day Base'!B52)*(1+ExpressFuelSurcharge),2))*(1+FedEx_Markup),2)</f>
        <v>70.39</v>
      </c>
      <c r="C55" s="218">
        <f>ROUND(IF(MinBase1Day&gt;ROUND(((1-(OverNightDiscount_21_Up+FedExExrpessEarnedDiscount))*'1Day Base'!C52),2),ROUND(MinBase1Day*(1+ExpressFuelSurcharge),2),ROUND(((1-(OverNightDiscount_21_Up+FedExExrpessEarnedDiscount))*'1Day Base'!C52)*(1+ExpressFuelSurcharge),2))*(1+FedEx_Markup),2)</f>
        <v>102.42</v>
      </c>
      <c r="D55" s="218">
        <f>ROUND(IF(MinBase1Day&gt;ROUND(((1-(OverNightDiscount_21_Up+FedExExrpessEarnedDiscount))*'1Day Base'!D52),2),ROUND(MinBase1Day*(1+ExpressFuelSurcharge),2),ROUND(((1-(OverNightDiscount_21_Up+FedExExrpessEarnedDiscount))*'1Day Base'!D52)*(1+ExpressFuelSurcharge),2))*(1+FedEx_Markup),2)</f>
        <v>188.62</v>
      </c>
      <c r="E55" s="218">
        <f>ROUND(IF(MinBase1Day&gt;ROUND(((1-(OverNightDiscount_21_Up+FedExExrpessEarnedDiscount))*'1Day Base'!E52),2),ROUND(MinBase1Day*(1+ExpressFuelSurcharge),2),ROUND(((1-(OverNightDiscount_21_Up+FedExExrpessEarnedDiscount))*'1Day Base'!E52)*(1+ExpressFuelSurcharge),2))*(1+FedEx_Markup),2)</f>
        <v>207.94</v>
      </c>
      <c r="F55" s="218">
        <f>ROUND(IF(MinBase1Day&gt;ROUND(((1-(OverNightDiscount_21_Up+FedExExrpessEarnedDiscount))*'1Day Base'!F52),2),ROUND(MinBase1Day*(1+ExpressFuelSurcharge),2),ROUND(((1-(OverNightDiscount_21_Up+FedExExrpessEarnedDiscount))*'1Day Base'!F52)*(1+ExpressFuelSurcharge),2))*(1+FedEx_Markup),2)</f>
        <v>214.45</v>
      </c>
      <c r="G55" s="218">
        <f>ROUND(IF(MinBase1Day&gt;ROUND(((1-(OverNightDiscount_21_Up+FedExExrpessEarnedDiscount))*'1Day Base'!G52),2),ROUND(MinBase1Day*(1+ExpressFuelSurcharge),2),ROUND(((1-(OverNightDiscount_21_Up+FedExExrpessEarnedDiscount))*'1Day Base'!G52)*(1+ExpressFuelSurcharge),2))*(1+FedEx_Markup),2)</f>
        <v>232.17</v>
      </c>
      <c r="H55" s="218">
        <f>ROUND(IF(MinBase1Day&gt;ROUND(((1-(OverNightDiscount_21_Up+FedExExrpessEarnedDiscount))*'1Day Base'!H52),2),ROUND(MinBase1Day*(1+ExpressFuelSurcharge),2),ROUND(((1-(OverNightDiscount_21_Up+FedExExrpessEarnedDiscount))*'1Day Base'!H52)*(1+ExpressFuelSurcharge),2))*(1+FedEx_Markup),2)</f>
        <v>245.79</v>
      </c>
    </row>
    <row r="56" spans="1:8" ht="12.75" customHeight="1">
      <c r="A56" s="217">
        <v>51</v>
      </c>
      <c r="B56" s="218">
        <f>ROUND(IF(MinBase1Day&gt;ROUND(((1-(OverNightDiscount_21_Up+FedExExrpessEarnedDiscount))*'1Day Base'!B53),2),ROUND(MinBase1Day*(1+ExpressFuelSurcharge),2),ROUND(((1-(OverNightDiscount_21_Up+FedExExrpessEarnedDiscount))*'1Day Base'!B53)*(1+ExpressFuelSurcharge),2))*(1+FedEx_Markup),2)</f>
        <v>71.39</v>
      </c>
      <c r="C56" s="218">
        <f>ROUND(IF(MinBase1Day&gt;ROUND(((1-(OverNightDiscount_21_Up+FedExExrpessEarnedDiscount))*'1Day Base'!C53),2),ROUND(MinBase1Day*(1+ExpressFuelSurcharge),2),ROUND(((1-(OverNightDiscount_21_Up+FedExExrpessEarnedDiscount))*'1Day Base'!C53)*(1+ExpressFuelSurcharge),2))*(1+FedEx_Markup),2)</f>
        <v>102.61</v>
      </c>
      <c r="D56" s="218">
        <f>ROUND(IF(MinBase1Day&gt;ROUND(((1-(OverNightDiscount_21_Up+FedExExrpessEarnedDiscount))*'1Day Base'!D53),2),ROUND(MinBase1Day*(1+ExpressFuelSurcharge),2),ROUND(((1-(OverNightDiscount_21_Up+FedExExrpessEarnedDiscount))*'1Day Base'!D53)*(1+ExpressFuelSurcharge),2))*(1+FedEx_Markup),2)</f>
        <v>196.91</v>
      </c>
      <c r="E56" s="218">
        <f>ROUND(IF(MinBase1Day&gt;ROUND(((1-(OverNightDiscount_21_Up+FedExExrpessEarnedDiscount))*'1Day Base'!E53),2),ROUND(MinBase1Day*(1+ExpressFuelSurcharge),2),ROUND(((1-(OverNightDiscount_21_Up+FedExExrpessEarnedDiscount))*'1Day Base'!E53)*(1+ExpressFuelSurcharge),2))*(1+FedEx_Markup),2)</f>
        <v>225.14</v>
      </c>
      <c r="F56" s="218">
        <f>ROUND(IF(MinBase1Day&gt;ROUND(((1-(OverNightDiscount_21_Up+FedExExrpessEarnedDiscount))*'1Day Base'!F53),2),ROUND(MinBase1Day*(1+ExpressFuelSurcharge),2),ROUND(((1-(OverNightDiscount_21_Up+FedExExrpessEarnedDiscount))*'1Day Base'!F53)*(1+ExpressFuelSurcharge),2))*(1+FedEx_Markup),2)</f>
        <v>233.19</v>
      </c>
      <c r="G56" s="218">
        <f>ROUND(IF(MinBase1Day&gt;ROUND(((1-(OverNightDiscount_21_Up+FedExExrpessEarnedDiscount))*'1Day Base'!G53),2),ROUND(MinBase1Day*(1+ExpressFuelSurcharge),2),ROUND(((1-(OverNightDiscount_21_Up+FedExExrpessEarnedDiscount))*'1Day Base'!G53)*(1+ExpressFuelSurcharge),2))*(1+FedEx_Markup),2)</f>
        <v>252.93</v>
      </c>
      <c r="H56" s="218">
        <f>ROUND(IF(MinBase1Day&gt;ROUND(((1-(OverNightDiscount_21_Up+FedExExrpessEarnedDiscount))*'1Day Base'!H53),2),ROUND(MinBase1Day*(1+ExpressFuelSurcharge),2),ROUND(((1-(OverNightDiscount_21_Up+FedExExrpessEarnedDiscount))*'1Day Base'!H53)*(1+ExpressFuelSurcharge),2))*(1+FedEx_Markup),2)</f>
        <v>257.99</v>
      </c>
    </row>
    <row r="57" spans="1:8" ht="12.75" customHeight="1">
      <c r="A57" s="217">
        <v>52</v>
      </c>
      <c r="B57" s="218">
        <f>ROUND(IF(MinBase1Day&gt;ROUND(((1-(OverNightDiscount_21_Up+FedExExrpessEarnedDiscount))*'1Day Base'!B54),2),ROUND(MinBase1Day*(1+ExpressFuelSurcharge),2),ROUND(((1-(OverNightDiscount_21_Up+FedExExrpessEarnedDiscount))*'1Day Base'!B54)*(1+ExpressFuelSurcharge),2))*(1+FedEx_Markup),2)</f>
        <v>72.819999999999993</v>
      </c>
      <c r="C57" s="218">
        <f>ROUND(IF(MinBase1Day&gt;ROUND(((1-(OverNightDiscount_21_Up+FedExExrpessEarnedDiscount))*'1Day Base'!C54),2),ROUND(MinBase1Day*(1+ExpressFuelSurcharge),2),ROUND(((1-(OverNightDiscount_21_Up+FedExExrpessEarnedDiscount))*'1Day Base'!C54)*(1+ExpressFuelSurcharge),2))*(1+FedEx_Markup),2)</f>
        <v>106.05</v>
      </c>
      <c r="D57" s="218">
        <f>ROUND(IF(MinBase1Day&gt;ROUND(((1-(OverNightDiscount_21_Up+FedExExrpessEarnedDiscount))*'1Day Base'!D54),2),ROUND(MinBase1Day*(1+ExpressFuelSurcharge),2),ROUND(((1-(OverNightDiscount_21_Up+FedExExrpessEarnedDiscount))*'1Day Base'!D54)*(1+ExpressFuelSurcharge),2))*(1+FedEx_Markup),2)</f>
        <v>214.3</v>
      </c>
      <c r="E57" s="218">
        <f>ROUND(IF(MinBase1Day&gt;ROUND(((1-(OverNightDiscount_21_Up+FedExExrpessEarnedDiscount))*'1Day Base'!E54),2),ROUND(MinBase1Day*(1+ExpressFuelSurcharge),2),ROUND(((1-(OverNightDiscount_21_Up+FedExExrpessEarnedDiscount))*'1Day Base'!E54)*(1+ExpressFuelSurcharge),2))*(1+FedEx_Markup),2)</f>
        <v>229.74</v>
      </c>
      <c r="F57" s="218">
        <f>ROUND(IF(MinBase1Day&gt;ROUND(((1-(OverNightDiscount_21_Up+FedExExrpessEarnedDiscount))*'1Day Base'!F54),2),ROUND(MinBase1Day*(1+ExpressFuelSurcharge),2),ROUND(((1-(OverNightDiscount_21_Up+FedExExrpessEarnedDiscount))*'1Day Base'!F54)*(1+ExpressFuelSurcharge),2))*(1+FedEx_Markup),2)</f>
        <v>238.67</v>
      </c>
      <c r="G57" s="218">
        <f>ROUND(IF(MinBase1Day&gt;ROUND(((1-(OverNightDiscount_21_Up+FedExExrpessEarnedDiscount))*'1Day Base'!G54),2),ROUND(MinBase1Day*(1+ExpressFuelSurcharge),2),ROUND(((1-(OverNightDiscount_21_Up+FedExExrpessEarnedDiscount))*'1Day Base'!G54)*(1+ExpressFuelSurcharge),2))*(1+FedEx_Markup),2)</f>
        <v>258.47000000000003</v>
      </c>
      <c r="H57" s="218">
        <f>ROUND(IF(MinBase1Day&gt;ROUND(((1-(OverNightDiscount_21_Up+FedExExrpessEarnedDiscount))*'1Day Base'!H54),2),ROUND(MinBase1Day*(1+ExpressFuelSurcharge),2),ROUND(((1-(OverNightDiscount_21_Up+FedExExrpessEarnedDiscount))*'1Day Base'!H54)*(1+ExpressFuelSurcharge),2))*(1+FedEx_Markup),2)</f>
        <v>276.60000000000002</v>
      </c>
    </row>
    <row r="58" spans="1:8" ht="12.75" customHeight="1">
      <c r="A58" s="217">
        <v>53</v>
      </c>
      <c r="B58" s="218">
        <f>ROUND(IF(MinBase1Day&gt;ROUND(((1-(OverNightDiscount_21_Up+FedExExrpessEarnedDiscount))*'1Day Base'!B55),2),ROUND(MinBase1Day*(1+ExpressFuelSurcharge),2),ROUND(((1-(OverNightDiscount_21_Up+FedExExrpessEarnedDiscount))*'1Day Base'!B55)*(1+ExpressFuelSurcharge),2))*(1+FedEx_Markup),2)</f>
        <v>74.150000000000006</v>
      </c>
      <c r="C58" s="218">
        <f>ROUND(IF(MinBase1Day&gt;ROUND(((1-(OverNightDiscount_21_Up+FedExExrpessEarnedDiscount))*'1Day Base'!C55),2),ROUND(MinBase1Day*(1+ExpressFuelSurcharge),2),ROUND(((1-(OverNightDiscount_21_Up+FedExExrpessEarnedDiscount))*'1Day Base'!C55)*(1+ExpressFuelSurcharge),2))*(1+FedEx_Markup),2)</f>
        <v>106.41</v>
      </c>
      <c r="D58" s="218">
        <f>ROUND(IF(MinBase1Day&gt;ROUND(((1-(OverNightDiscount_21_Up+FedExExrpessEarnedDiscount))*'1Day Base'!D55),2),ROUND(MinBase1Day*(1+ExpressFuelSurcharge),2),ROUND(((1-(OverNightDiscount_21_Up+FedExExrpessEarnedDiscount))*'1Day Base'!D55)*(1+ExpressFuelSurcharge),2))*(1+FedEx_Markup),2)</f>
        <v>216.04</v>
      </c>
      <c r="E58" s="218">
        <f>ROUND(IF(MinBase1Day&gt;ROUND(((1-(OverNightDiscount_21_Up+FedExExrpessEarnedDiscount))*'1Day Base'!E55),2),ROUND(MinBase1Day*(1+ExpressFuelSurcharge),2),ROUND(((1-(OverNightDiscount_21_Up+FedExExrpessEarnedDiscount))*'1Day Base'!E55)*(1+ExpressFuelSurcharge),2))*(1+FedEx_Markup),2)</f>
        <v>237.49</v>
      </c>
      <c r="F58" s="218">
        <f>ROUND(IF(MinBase1Day&gt;ROUND(((1-(OverNightDiscount_21_Up+FedExExrpessEarnedDiscount))*'1Day Base'!F55),2),ROUND(MinBase1Day*(1+ExpressFuelSurcharge),2),ROUND(((1-(OverNightDiscount_21_Up+FedExExrpessEarnedDiscount))*'1Day Base'!F55)*(1+ExpressFuelSurcharge),2))*(1+FedEx_Markup),2)</f>
        <v>242.79</v>
      </c>
      <c r="G58" s="218">
        <f>ROUND(IF(MinBase1Day&gt;ROUND(((1-(OverNightDiscount_21_Up+FedExExrpessEarnedDiscount))*'1Day Base'!G55),2),ROUND(MinBase1Day*(1+ExpressFuelSurcharge),2),ROUND(((1-(OverNightDiscount_21_Up+FedExExrpessEarnedDiscount))*'1Day Base'!G55)*(1+ExpressFuelSurcharge),2))*(1+FedEx_Markup),2)</f>
        <v>260.36</v>
      </c>
      <c r="H58" s="218">
        <f>ROUND(IF(MinBase1Day&gt;ROUND(((1-(OverNightDiscount_21_Up+FedExExrpessEarnedDiscount))*'1Day Base'!H55),2),ROUND(MinBase1Day*(1+ExpressFuelSurcharge),2),ROUND(((1-(OverNightDiscount_21_Up+FedExExrpessEarnedDiscount))*'1Day Base'!H55)*(1+ExpressFuelSurcharge),2))*(1+FedEx_Markup),2)</f>
        <v>278.83</v>
      </c>
    </row>
    <row r="59" spans="1:8" ht="12.75" customHeight="1">
      <c r="A59" s="217">
        <v>54</v>
      </c>
      <c r="B59" s="218">
        <f>ROUND(IF(MinBase1Day&gt;ROUND(((1-(OverNightDiscount_21_Up+FedExExrpessEarnedDiscount))*'1Day Base'!B56),2),ROUND(MinBase1Day*(1+ExpressFuelSurcharge),2),ROUND(((1-(OverNightDiscount_21_Up+FedExExrpessEarnedDiscount))*'1Day Base'!B56)*(1+ExpressFuelSurcharge),2))*(1+FedEx_Markup),2)</f>
        <v>75.12</v>
      </c>
      <c r="C59" s="218">
        <f>ROUND(IF(MinBase1Day&gt;ROUND(((1-(OverNightDiscount_21_Up+FedExExrpessEarnedDiscount))*'1Day Base'!C56),2),ROUND(MinBase1Day*(1+ExpressFuelSurcharge),2),ROUND(((1-(OverNightDiscount_21_Up+FedExExrpessEarnedDiscount))*'1Day Base'!C56)*(1+ExpressFuelSurcharge),2))*(1+FedEx_Markup),2)</f>
        <v>110.42</v>
      </c>
      <c r="D59" s="218">
        <f>ROUND(IF(MinBase1Day&gt;ROUND(((1-(OverNightDiscount_21_Up+FedExExrpessEarnedDiscount))*'1Day Base'!D56),2),ROUND(MinBase1Day*(1+ExpressFuelSurcharge),2),ROUND(((1-(OverNightDiscount_21_Up+FedExExrpessEarnedDiscount))*'1Day Base'!D56)*(1+ExpressFuelSurcharge),2))*(1+FedEx_Markup),2)</f>
        <v>221.16</v>
      </c>
      <c r="E59" s="218">
        <f>ROUND(IF(MinBase1Day&gt;ROUND(((1-(OverNightDiscount_21_Up+FedExExrpessEarnedDiscount))*'1Day Base'!E56),2),ROUND(MinBase1Day*(1+ExpressFuelSurcharge),2),ROUND(((1-(OverNightDiscount_21_Up+FedExExrpessEarnedDiscount))*'1Day Base'!E56)*(1+ExpressFuelSurcharge),2))*(1+FedEx_Markup),2)</f>
        <v>238.26</v>
      </c>
      <c r="F59" s="218">
        <f>ROUND(IF(MinBase1Day&gt;ROUND(((1-(OverNightDiscount_21_Up+FedExExrpessEarnedDiscount))*'1Day Base'!F56),2),ROUND(MinBase1Day*(1+ExpressFuelSurcharge),2),ROUND(((1-(OverNightDiscount_21_Up+FedExExrpessEarnedDiscount))*'1Day Base'!F56)*(1+ExpressFuelSurcharge),2))*(1+FedEx_Markup),2)</f>
        <v>243.2</v>
      </c>
      <c r="G59" s="218">
        <f>ROUND(IF(MinBase1Day&gt;ROUND(((1-(OverNightDiscount_21_Up+FedExExrpessEarnedDiscount))*'1Day Base'!G56),2),ROUND(MinBase1Day*(1+ExpressFuelSurcharge),2),ROUND(((1-(OverNightDiscount_21_Up+FedExExrpessEarnedDiscount))*'1Day Base'!G56)*(1+ExpressFuelSurcharge),2))*(1+FedEx_Markup),2)</f>
        <v>266.2</v>
      </c>
      <c r="H59" s="218">
        <f>ROUND(IF(MinBase1Day&gt;ROUND(((1-(OverNightDiscount_21_Up+FedExExrpessEarnedDiscount))*'1Day Base'!H56),2),ROUND(MinBase1Day*(1+ExpressFuelSurcharge),2),ROUND(((1-(OverNightDiscount_21_Up+FedExExrpessEarnedDiscount))*'1Day Base'!H56)*(1+ExpressFuelSurcharge),2))*(1+FedEx_Markup),2)</f>
        <v>279.11</v>
      </c>
    </row>
    <row r="60" spans="1:8" ht="12.75" customHeight="1">
      <c r="A60" s="217">
        <v>55</v>
      </c>
      <c r="B60" s="218">
        <f>ROUND(IF(MinBase1Day&gt;ROUND(((1-(OverNightDiscount_21_Up+FedExExrpessEarnedDiscount))*'1Day Base'!B57),2),ROUND(MinBase1Day*(1+ExpressFuelSurcharge),2),ROUND(((1-(OverNightDiscount_21_Up+FedExExrpessEarnedDiscount))*'1Day Base'!B57)*(1+ExpressFuelSurcharge),2))*(1+FedEx_Markup),2)</f>
        <v>76.59</v>
      </c>
      <c r="C60" s="218">
        <f>ROUND(IF(MinBase1Day&gt;ROUND(((1-(OverNightDiscount_21_Up+FedExExrpessEarnedDiscount))*'1Day Base'!C57),2),ROUND(MinBase1Day*(1+ExpressFuelSurcharge),2),ROUND(((1-(OverNightDiscount_21_Up+FedExExrpessEarnedDiscount))*'1Day Base'!C57)*(1+ExpressFuelSurcharge),2))*(1+FedEx_Markup),2)</f>
        <v>110.83</v>
      </c>
      <c r="D60" s="218">
        <f>ROUND(IF(MinBase1Day&gt;ROUND(((1-(OverNightDiscount_21_Up+FedExExrpessEarnedDiscount))*'1Day Base'!D57),2),ROUND(MinBase1Day*(1+ExpressFuelSurcharge),2),ROUND(((1-(OverNightDiscount_21_Up+FedExExrpessEarnedDiscount))*'1Day Base'!D57)*(1+ExpressFuelSurcharge),2))*(1+FedEx_Markup),2)</f>
        <v>222.82</v>
      </c>
      <c r="E60" s="218">
        <f>ROUND(IF(MinBase1Day&gt;ROUND(((1-(OverNightDiscount_21_Up+FedExExrpessEarnedDiscount))*'1Day Base'!E57),2),ROUND(MinBase1Day*(1+ExpressFuelSurcharge),2),ROUND(((1-(OverNightDiscount_21_Up+FedExExrpessEarnedDiscount))*'1Day Base'!E57)*(1+ExpressFuelSurcharge),2))*(1+FedEx_Markup),2)</f>
        <v>238.83</v>
      </c>
      <c r="F60" s="218">
        <f>ROUND(IF(MinBase1Day&gt;ROUND(((1-(OverNightDiscount_21_Up+FedExExrpessEarnedDiscount))*'1Day Base'!F57),2),ROUND(MinBase1Day*(1+ExpressFuelSurcharge),2),ROUND(((1-(OverNightDiscount_21_Up+FedExExrpessEarnedDiscount))*'1Day Base'!F57)*(1+ExpressFuelSurcharge),2))*(1+FedEx_Markup),2)</f>
        <v>243.62</v>
      </c>
      <c r="G60" s="218">
        <f>ROUND(IF(MinBase1Day&gt;ROUND(((1-(OverNightDiscount_21_Up+FedExExrpessEarnedDiscount))*'1Day Base'!G57),2),ROUND(MinBase1Day*(1+ExpressFuelSurcharge),2),ROUND(((1-(OverNightDiscount_21_Up+FedExExrpessEarnedDiscount))*'1Day Base'!G57)*(1+ExpressFuelSurcharge),2))*(1+FedEx_Markup),2)</f>
        <v>273.85000000000002</v>
      </c>
      <c r="H60" s="218">
        <f>ROUND(IF(MinBase1Day&gt;ROUND(((1-(OverNightDiscount_21_Up+FedExExrpessEarnedDiscount))*'1Day Base'!H57),2),ROUND(MinBase1Day*(1+ExpressFuelSurcharge),2),ROUND(((1-(OverNightDiscount_21_Up+FedExExrpessEarnedDiscount))*'1Day Base'!H57)*(1+ExpressFuelSurcharge),2))*(1+FedEx_Markup),2)</f>
        <v>279.35000000000002</v>
      </c>
    </row>
    <row r="61" spans="1:8" ht="12.75" customHeight="1">
      <c r="A61" s="217">
        <v>56</v>
      </c>
      <c r="B61" s="218">
        <f>ROUND(IF(MinBase1Day&gt;ROUND(((1-(OverNightDiscount_21_Up+FedExExrpessEarnedDiscount))*'1Day Base'!B58),2),ROUND(MinBase1Day*(1+ExpressFuelSurcharge),2),ROUND(((1-(OverNightDiscount_21_Up+FedExExrpessEarnedDiscount))*'1Day Base'!B58)*(1+ExpressFuelSurcharge),2))*(1+FedEx_Markup),2)</f>
        <v>77.98</v>
      </c>
      <c r="C61" s="218">
        <f>ROUND(IF(MinBase1Day&gt;ROUND(((1-(OverNightDiscount_21_Up+FedExExrpessEarnedDiscount))*'1Day Base'!C58),2),ROUND(MinBase1Day*(1+ExpressFuelSurcharge),2),ROUND(((1-(OverNightDiscount_21_Up+FedExExrpessEarnedDiscount))*'1Day Base'!C58)*(1+ExpressFuelSurcharge),2))*(1+FedEx_Markup),2)</f>
        <v>114.67</v>
      </c>
      <c r="D61" s="218">
        <f>ROUND(IF(MinBase1Day&gt;ROUND(((1-(OverNightDiscount_21_Up+FedExExrpessEarnedDiscount))*'1Day Base'!D58),2),ROUND(MinBase1Day*(1+ExpressFuelSurcharge),2),ROUND(((1-(OverNightDiscount_21_Up+FedExExrpessEarnedDiscount))*'1Day Base'!D58)*(1+ExpressFuelSurcharge),2))*(1+FedEx_Markup),2)</f>
        <v>223.07</v>
      </c>
      <c r="E61" s="218">
        <f>ROUND(IF(MinBase1Day&gt;ROUND(((1-(OverNightDiscount_21_Up+FedExExrpessEarnedDiscount))*'1Day Base'!E58),2),ROUND(MinBase1Day*(1+ExpressFuelSurcharge),2),ROUND(((1-(OverNightDiscount_21_Up+FedExExrpessEarnedDiscount))*'1Day Base'!E58)*(1+ExpressFuelSurcharge),2))*(1+FedEx_Markup),2)</f>
        <v>245.67</v>
      </c>
      <c r="F61" s="218">
        <f>ROUND(IF(MinBase1Day&gt;ROUND(((1-(OverNightDiscount_21_Up+FedExExrpessEarnedDiscount))*'1Day Base'!F58),2),ROUND(MinBase1Day*(1+ExpressFuelSurcharge),2),ROUND(((1-(OverNightDiscount_21_Up+FedExExrpessEarnedDiscount))*'1Day Base'!F58)*(1+ExpressFuelSurcharge),2))*(1+FedEx_Markup),2)</f>
        <v>250.77</v>
      </c>
      <c r="G61" s="218">
        <f>ROUND(IF(MinBase1Day&gt;ROUND(((1-(OverNightDiscount_21_Up+FedExExrpessEarnedDiscount))*'1Day Base'!G58),2),ROUND(MinBase1Day*(1+ExpressFuelSurcharge),2),ROUND(((1-(OverNightDiscount_21_Up+FedExExrpessEarnedDiscount))*'1Day Base'!G58)*(1+ExpressFuelSurcharge),2))*(1+FedEx_Markup),2)</f>
        <v>277.68</v>
      </c>
      <c r="H61" s="218">
        <f>ROUND(IF(MinBase1Day&gt;ROUND(((1-(OverNightDiscount_21_Up+FedExExrpessEarnedDiscount))*'1Day Base'!H58),2),ROUND(MinBase1Day*(1+ExpressFuelSurcharge),2),ROUND(((1-(OverNightDiscount_21_Up+FedExExrpessEarnedDiscount))*'1Day Base'!H58)*(1+ExpressFuelSurcharge),2))*(1+FedEx_Markup),2)</f>
        <v>283.41000000000003</v>
      </c>
    </row>
    <row r="62" spans="1:8" ht="12.75" customHeight="1">
      <c r="A62" s="217">
        <v>57</v>
      </c>
      <c r="B62" s="218">
        <f>ROUND(IF(MinBase1Day&gt;ROUND(((1-(OverNightDiscount_21_Up+FedExExrpessEarnedDiscount))*'1Day Base'!B59),2),ROUND(MinBase1Day*(1+ExpressFuelSurcharge),2),ROUND(((1-(OverNightDiscount_21_Up+FedExExrpessEarnedDiscount))*'1Day Base'!B59)*(1+ExpressFuelSurcharge),2))*(1+FedEx_Markup),2)</f>
        <v>79.67</v>
      </c>
      <c r="C62" s="218">
        <f>ROUND(IF(MinBase1Day&gt;ROUND(((1-(OverNightDiscount_21_Up+FedExExrpessEarnedDiscount))*'1Day Base'!C59),2),ROUND(MinBase1Day*(1+ExpressFuelSurcharge),2),ROUND(((1-(OverNightDiscount_21_Up+FedExExrpessEarnedDiscount))*'1Day Base'!C59)*(1+ExpressFuelSurcharge),2))*(1+FedEx_Markup),2)</f>
        <v>117.08</v>
      </c>
      <c r="D62" s="218">
        <f>ROUND(IF(MinBase1Day&gt;ROUND(((1-(OverNightDiscount_21_Up+FedExExrpessEarnedDiscount))*'1Day Base'!D59),2),ROUND(MinBase1Day*(1+ExpressFuelSurcharge),2),ROUND(((1-(OverNightDiscount_21_Up+FedExExrpessEarnedDiscount))*'1Day Base'!D59)*(1+ExpressFuelSurcharge),2))*(1+FedEx_Markup),2)</f>
        <v>223.5</v>
      </c>
      <c r="E62" s="218">
        <f>ROUND(IF(MinBase1Day&gt;ROUND(((1-(OverNightDiscount_21_Up+FedExExrpessEarnedDiscount))*'1Day Base'!E59),2),ROUND(MinBase1Day*(1+ExpressFuelSurcharge),2),ROUND(((1-(OverNightDiscount_21_Up+FedExExrpessEarnedDiscount))*'1Day Base'!E59)*(1+ExpressFuelSurcharge),2))*(1+FedEx_Markup),2)</f>
        <v>246.35</v>
      </c>
      <c r="F62" s="218">
        <f>ROUND(IF(MinBase1Day&gt;ROUND(((1-(OverNightDiscount_21_Up+FedExExrpessEarnedDiscount))*'1Day Base'!F59),2),ROUND(MinBase1Day*(1+ExpressFuelSurcharge),2),ROUND(((1-(OverNightDiscount_21_Up+FedExExrpessEarnedDiscount))*'1Day Base'!F59)*(1+ExpressFuelSurcharge),2))*(1+FedEx_Markup),2)</f>
        <v>251.97</v>
      </c>
      <c r="G62" s="218">
        <f>ROUND(IF(MinBase1Day&gt;ROUND(((1-(OverNightDiscount_21_Up+FedExExrpessEarnedDiscount))*'1Day Base'!G59),2),ROUND(MinBase1Day*(1+ExpressFuelSurcharge),2),ROUND(((1-(OverNightDiscount_21_Up+FedExExrpessEarnedDiscount))*'1Day Base'!G59)*(1+ExpressFuelSurcharge),2))*(1+FedEx_Markup),2)</f>
        <v>278.07</v>
      </c>
      <c r="H62" s="218">
        <f>ROUND(IF(MinBase1Day&gt;ROUND(((1-(OverNightDiscount_21_Up+FedExExrpessEarnedDiscount))*'1Day Base'!H59),2),ROUND(MinBase1Day*(1+ExpressFuelSurcharge),2),ROUND(((1-(OverNightDiscount_21_Up+FedExExrpessEarnedDiscount))*'1Day Base'!H59)*(1+ExpressFuelSurcharge),2))*(1+FedEx_Markup),2)</f>
        <v>283.82</v>
      </c>
    </row>
    <row r="63" spans="1:8" ht="12.75" customHeight="1">
      <c r="A63" s="217">
        <v>58</v>
      </c>
      <c r="B63" s="218">
        <f>ROUND(IF(MinBase1Day&gt;ROUND(((1-(OverNightDiscount_21_Up+FedExExrpessEarnedDiscount))*'1Day Base'!B60),2),ROUND(MinBase1Day*(1+ExpressFuelSurcharge),2),ROUND(((1-(OverNightDiscount_21_Up+FedExExrpessEarnedDiscount))*'1Day Base'!B60)*(1+ExpressFuelSurcharge),2))*(1+FedEx_Markup),2)</f>
        <v>81.319999999999993</v>
      </c>
      <c r="C63" s="218">
        <f>ROUND(IF(MinBase1Day&gt;ROUND(((1-(OverNightDiscount_21_Up+FedExExrpessEarnedDiscount))*'1Day Base'!C60),2),ROUND(MinBase1Day*(1+ExpressFuelSurcharge),2),ROUND(((1-(OverNightDiscount_21_Up+FedExExrpessEarnedDiscount))*'1Day Base'!C60)*(1+ExpressFuelSurcharge),2))*(1+FedEx_Markup),2)</f>
        <v>119.77</v>
      </c>
      <c r="D63" s="218">
        <f>ROUND(IF(MinBase1Day&gt;ROUND(((1-(OverNightDiscount_21_Up+FedExExrpessEarnedDiscount))*'1Day Base'!D60),2),ROUND(MinBase1Day*(1+ExpressFuelSurcharge),2),ROUND(((1-(OverNightDiscount_21_Up+FedExExrpessEarnedDiscount))*'1Day Base'!D60)*(1+ExpressFuelSurcharge),2))*(1+FedEx_Markup),2)</f>
        <v>223.96</v>
      </c>
      <c r="E63" s="218">
        <f>ROUND(IF(MinBase1Day&gt;ROUND(((1-(OverNightDiscount_21_Up+FedExExrpessEarnedDiscount))*'1Day Base'!E60),2),ROUND(MinBase1Day*(1+ExpressFuelSurcharge),2),ROUND(((1-(OverNightDiscount_21_Up+FedExExrpessEarnedDiscount))*'1Day Base'!E60)*(1+ExpressFuelSurcharge),2))*(1+FedEx_Markup),2)</f>
        <v>246.59</v>
      </c>
      <c r="F63" s="218">
        <f>ROUND(IF(MinBase1Day&gt;ROUND(((1-(OverNightDiscount_21_Up+FedExExrpessEarnedDiscount))*'1Day Base'!F60),2),ROUND(MinBase1Day*(1+ExpressFuelSurcharge),2),ROUND(((1-(OverNightDiscount_21_Up+FedExExrpessEarnedDiscount))*'1Day Base'!F60)*(1+ExpressFuelSurcharge),2))*(1+FedEx_Markup),2)</f>
        <v>257.3</v>
      </c>
      <c r="G63" s="218">
        <f>ROUND(IF(MinBase1Day&gt;ROUND(((1-(OverNightDiscount_21_Up+FedExExrpessEarnedDiscount))*'1Day Base'!G60),2),ROUND(MinBase1Day*(1+ExpressFuelSurcharge),2),ROUND(((1-(OverNightDiscount_21_Up+FedExExrpessEarnedDiscount))*'1Day Base'!G60)*(1+ExpressFuelSurcharge),2))*(1+FedEx_Markup),2)</f>
        <v>278.83999999999997</v>
      </c>
      <c r="H63" s="218">
        <f>ROUND(IF(MinBase1Day&gt;ROUND(((1-(OverNightDiscount_21_Up+FedExExrpessEarnedDiscount))*'1Day Base'!H60),2),ROUND(MinBase1Day*(1+ExpressFuelSurcharge),2),ROUND(((1-(OverNightDiscount_21_Up+FedExExrpessEarnedDiscount))*'1Day Base'!H60)*(1+ExpressFuelSurcharge),2))*(1+FedEx_Markup),2)</f>
        <v>284.60000000000002</v>
      </c>
    </row>
    <row r="64" spans="1:8" ht="12.75" customHeight="1">
      <c r="A64" s="217">
        <v>59</v>
      </c>
      <c r="B64" s="218">
        <f>ROUND(IF(MinBase1Day&gt;ROUND(((1-(OverNightDiscount_21_Up+FedExExrpessEarnedDiscount))*'1Day Base'!B61),2),ROUND(MinBase1Day*(1+ExpressFuelSurcharge),2),ROUND(((1-(OverNightDiscount_21_Up+FedExExrpessEarnedDiscount))*'1Day Base'!B61)*(1+ExpressFuelSurcharge),2))*(1+FedEx_Markup),2)</f>
        <v>81.569999999999993</v>
      </c>
      <c r="C64" s="218">
        <f>ROUND(IF(MinBase1Day&gt;ROUND(((1-(OverNightDiscount_21_Up+FedExExrpessEarnedDiscount))*'1Day Base'!C61),2),ROUND(MinBase1Day*(1+ExpressFuelSurcharge),2),ROUND(((1-(OverNightDiscount_21_Up+FedExExrpessEarnedDiscount))*'1Day Base'!C61)*(1+ExpressFuelSurcharge),2))*(1+FedEx_Markup),2)</f>
        <v>124.58</v>
      </c>
      <c r="D64" s="218">
        <f>ROUND(IF(MinBase1Day&gt;ROUND(((1-(OverNightDiscount_21_Up+FedExExrpessEarnedDiscount))*'1Day Base'!D61),2),ROUND(MinBase1Day*(1+ExpressFuelSurcharge),2),ROUND(((1-(OverNightDiscount_21_Up+FedExExrpessEarnedDiscount))*'1Day Base'!D61)*(1+ExpressFuelSurcharge),2))*(1+FedEx_Markup),2)</f>
        <v>233.14</v>
      </c>
      <c r="E64" s="218">
        <f>ROUND(IF(MinBase1Day&gt;ROUND(((1-(OverNightDiscount_21_Up+FedExExrpessEarnedDiscount))*'1Day Base'!E61),2),ROUND(MinBase1Day*(1+ExpressFuelSurcharge),2),ROUND(((1-(OverNightDiscount_21_Up+FedExExrpessEarnedDiscount))*'1Day Base'!E61)*(1+ExpressFuelSurcharge),2))*(1+FedEx_Markup),2)</f>
        <v>250.45</v>
      </c>
      <c r="F64" s="218">
        <f>ROUND(IF(MinBase1Day&gt;ROUND(((1-(OverNightDiscount_21_Up+FedExExrpessEarnedDiscount))*'1Day Base'!F61),2),ROUND(MinBase1Day*(1+ExpressFuelSurcharge),2),ROUND(((1-(OverNightDiscount_21_Up+FedExExrpessEarnedDiscount))*'1Day Base'!F61)*(1+ExpressFuelSurcharge),2))*(1+FedEx_Markup),2)</f>
        <v>257.83999999999997</v>
      </c>
      <c r="G64" s="218">
        <f>ROUND(IF(MinBase1Day&gt;ROUND(((1-(OverNightDiscount_21_Up+FedExExrpessEarnedDiscount))*'1Day Base'!G61),2),ROUND(MinBase1Day*(1+ExpressFuelSurcharge),2),ROUND(((1-(OverNightDiscount_21_Up+FedExExrpessEarnedDiscount))*'1Day Base'!G61)*(1+ExpressFuelSurcharge),2))*(1+FedEx_Markup),2)</f>
        <v>279.64999999999998</v>
      </c>
      <c r="H64" s="218">
        <f>ROUND(IF(MinBase1Day&gt;ROUND(((1-(OverNightDiscount_21_Up+FedExExrpessEarnedDiscount))*'1Day Base'!H61),2),ROUND(MinBase1Day*(1+ExpressFuelSurcharge),2),ROUND(((1-(OverNightDiscount_21_Up+FedExExrpessEarnedDiscount))*'1Day Base'!H61)*(1+ExpressFuelSurcharge),2))*(1+FedEx_Markup),2)</f>
        <v>300.18</v>
      </c>
    </row>
    <row r="65" spans="1:8" ht="12.75" customHeight="1">
      <c r="A65" s="217">
        <v>60</v>
      </c>
      <c r="B65" s="218">
        <f>ROUND(IF(MinBase1Day&gt;ROUND(((1-(OverNightDiscount_21_Up+FedExExrpessEarnedDiscount))*'1Day Base'!B62),2),ROUND(MinBase1Day*(1+ExpressFuelSurcharge),2),ROUND(((1-(OverNightDiscount_21_Up+FedExExrpessEarnedDiscount))*'1Day Base'!B62)*(1+ExpressFuelSurcharge),2))*(1+FedEx_Markup),2)</f>
        <v>81.75</v>
      </c>
      <c r="C65" s="218">
        <f>ROUND(IF(MinBase1Day&gt;ROUND(((1-(OverNightDiscount_21_Up+FedExExrpessEarnedDiscount))*'1Day Base'!C62),2),ROUND(MinBase1Day*(1+ExpressFuelSurcharge),2),ROUND(((1-(OverNightDiscount_21_Up+FedExExrpessEarnedDiscount))*'1Day Base'!C62)*(1+ExpressFuelSurcharge),2))*(1+FedEx_Markup),2)</f>
        <v>127.35</v>
      </c>
      <c r="D65" s="218">
        <f>ROUND(IF(MinBase1Day&gt;ROUND(((1-(OverNightDiscount_21_Up+FedExExrpessEarnedDiscount))*'1Day Base'!D62),2),ROUND(MinBase1Day*(1+ExpressFuelSurcharge),2),ROUND(((1-(OverNightDiscount_21_Up+FedExExrpessEarnedDiscount))*'1Day Base'!D62)*(1+ExpressFuelSurcharge),2))*(1+FedEx_Markup),2)</f>
        <v>234.06</v>
      </c>
      <c r="E65" s="218">
        <f>ROUND(IF(MinBase1Day&gt;ROUND(((1-(OverNightDiscount_21_Up+FedExExrpessEarnedDiscount))*'1Day Base'!E62),2),ROUND(MinBase1Day*(1+ExpressFuelSurcharge),2),ROUND(((1-(OverNightDiscount_21_Up+FedExExrpessEarnedDiscount))*'1Day Base'!E62)*(1+ExpressFuelSurcharge),2))*(1+FedEx_Markup),2)</f>
        <v>253.32</v>
      </c>
      <c r="F65" s="218">
        <f>ROUND(IF(MinBase1Day&gt;ROUND(((1-(OverNightDiscount_21_Up+FedExExrpessEarnedDiscount))*'1Day Base'!F62),2),ROUND(MinBase1Day*(1+ExpressFuelSurcharge),2),ROUND(((1-(OverNightDiscount_21_Up+FedExExrpessEarnedDiscount))*'1Day Base'!F62)*(1+ExpressFuelSurcharge),2))*(1+FedEx_Markup),2)</f>
        <v>258.39</v>
      </c>
      <c r="G65" s="218">
        <f>ROUND(IF(MinBase1Day&gt;ROUND(((1-(OverNightDiscount_21_Up+FedExExrpessEarnedDiscount))*'1Day Base'!G62),2),ROUND(MinBase1Day*(1+ExpressFuelSurcharge),2),ROUND(((1-(OverNightDiscount_21_Up+FedExExrpessEarnedDiscount))*'1Day Base'!G62)*(1+ExpressFuelSurcharge),2))*(1+FedEx_Markup),2)</f>
        <v>295.64999999999998</v>
      </c>
      <c r="H65" s="218">
        <f>ROUND(IF(MinBase1Day&gt;ROUND(((1-(OverNightDiscount_21_Up+FedExExrpessEarnedDiscount))*'1Day Base'!H62),2),ROUND(MinBase1Day*(1+ExpressFuelSurcharge),2),ROUND(((1-(OverNightDiscount_21_Up+FedExExrpessEarnedDiscount))*'1Day Base'!H62)*(1+ExpressFuelSurcharge),2))*(1+FedEx_Markup),2)</f>
        <v>301.75</v>
      </c>
    </row>
    <row r="66" spans="1:8" ht="12.75" customHeight="1">
      <c r="A66" s="217">
        <v>61</v>
      </c>
      <c r="B66" s="218">
        <f>ROUND(IF(MinBase1Day&gt;ROUND(((1-(OverNightDiscount_21_Up+FedExExrpessEarnedDiscount))*'1Day Base'!B63),2),ROUND(MinBase1Day*(1+ExpressFuelSurcharge),2),ROUND(((1-(OverNightDiscount_21_Up+FedExExrpessEarnedDiscount))*'1Day Base'!B63)*(1+ExpressFuelSurcharge),2))*(1+FedEx_Markup),2)</f>
        <v>81.93</v>
      </c>
      <c r="C66" s="218">
        <f>ROUND(IF(MinBase1Day&gt;ROUND(((1-(OverNightDiscount_21_Up+FedExExrpessEarnedDiscount))*'1Day Base'!C63),2),ROUND(MinBase1Day*(1+ExpressFuelSurcharge),2),ROUND(((1-(OverNightDiscount_21_Up+FedExExrpessEarnedDiscount))*'1Day Base'!C63)*(1+ExpressFuelSurcharge),2))*(1+FedEx_Markup),2)</f>
        <v>129.74</v>
      </c>
      <c r="D66" s="218">
        <f>ROUND(IF(MinBase1Day&gt;ROUND(((1-(OverNightDiscount_21_Up+FedExExrpessEarnedDiscount))*'1Day Base'!D63),2),ROUND(MinBase1Day*(1+ExpressFuelSurcharge),2),ROUND(((1-(OverNightDiscount_21_Up+FedExExrpessEarnedDiscount))*'1Day Base'!D63)*(1+ExpressFuelSurcharge),2))*(1+FedEx_Markup),2)</f>
        <v>239.5</v>
      </c>
      <c r="E66" s="218">
        <f>ROUND(IF(MinBase1Day&gt;ROUND(((1-(OverNightDiscount_21_Up+FedExExrpessEarnedDiscount))*'1Day Base'!E63),2),ROUND(MinBase1Day*(1+ExpressFuelSurcharge),2),ROUND(((1-(OverNightDiscount_21_Up+FedExExrpessEarnedDiscount))*'1Day Base'!E63)*(1+ExpressFuelSurcharge),2))*(1+FedEx_Markup),2)</f>
        <v>258.36</v>
      </c>
      <c r="F66" s="218">
        <f>ROUND(IF(MinBase1Day&gt;ROUND(((1-(OverNightDiscount_21_Up+FedExExrpessEarnedDiscount))*'1Day Base'!F63),2),ROUND(MinBase1Day*(1+ExpressFuelSurcharge),2),ROUND(((1-(OverNightDiscount_21_Up+FedExExrpessEarnedDiscount))*'1Day Base'!F63)*(1+ExpressFuelSurcharge),2))*(1+FedEx_Markup),2)</f>
        <v>269.23</v>
      </c>
      <c r="G66" s="218">
        <f>ROUND(IF(MinBase1Day&gt;ROUND(((1-(OverNightDiscount_21_Up+FedExExrpessEarnedDiscount))*'1Day Base'!G63),2),ROUND(MinBase1Day*(1+ExpressFuelSurcharge),2),ROUND(((1-(OverNightDiscount_21_Up+FedExExrpessEarnedDiscount))*'1Day Base'!G63)*(1+ExpressFuelSurcharge),2))*(1+FedEx_Markup),2)</f>
        <v>305.16000000000003</v>
      </c>
      <c r="H66" s="218">
        <f>ROUND(IF(MinBase1Day&gt;ROUND(((1-(OverNightDiscount_21_Up+FedExExrpessEarnedDiscount))*'1Day Base'!H63),2),ROUND(MinBase1Day*(1+ExpressFuelSurcharge),2),ROUND(((1-(OverNightDiscount_21_Up+FedExExrpessEarnedDiscount))*'1Day Base'!H63)*(1+ExpressFuelSurcharge),2))*(1+FedEx_Markup),2)</f>
        <v>311.47000000000003</v>
      </c>
    </row>
    <row r="67" spans="1:8" ht="12.75" customHeight="1">
      <c r="A67" s="217">
        <v>62</v>
      </c>
      <c r="B67" s="218">
        <f>ROUND(IF(MinBase1Day&gt;ROUND(((1-(OverNightDiscount_21_Up+FedExExrpessEarnedDiscount))*'1Day Base'!B64),2),ROUND(MinBase1Day*(1+ExpressFuelSurcharge),2),ROUND(((1-(OverNightDiscount_21_Up+FedExExrpessEarnedDiscount))*'1Day Base'!B64)*(1+ExpressFuelSurcharge),2))*(1+FedEx_Markup),2)</f>
        <v>82.56</v>
      </c>
      <c r="C67" s="218">
        <f>ROUND(IF(MinBase1Day&gt;ROUND(((1-(OverNightDiscount_21_Up+FedExExrpessEarnedDiscount))*'1Day Base'!C64),2),ROUND(MinBase1Day*(1+ExpressFuelSurcharge),2),ROUND(((1-(OverNightDiscount_21_Up+FedExExrpessEarnedDiscount))*'1Day Base'!C64)*(1+ExpressFuelSurcharge),2))*(1+FedEx_Markup),2)</f>
        <v>131.61000000000001</v>
      </c>
      <c r="D67" s="218">
        <f>ROUND(IF(MinBase1Day&gt;ROUND(((1-(OverNightDiscount_21_Up+FedExExrpessEarnedDiscount))*'1Day Base'!D64),2),ROUND(MinBase1Day*(1+ExpressFuelSurcharge),2),ROUND(((1-(OverNightDiscount_21_Up+FedExExrpessEarnedDiscount))*'1Day Base'!D64)*(1+ExpressFuelSurcharge),2))*(1+FedEx_Markup),2)</f>
        <v>240.47</v>
      </c>
      <c r="E67" s="218">
        <f>ROUND(IF(MinBase1Day&gt;ROUND(((1-(OverNightDiscount_21_Up+FedExExrpessEarnedDiscount))*'1Day Base'!E64),2),ROUND(MinBase1Day*(1+ExpressFuelSurcharge),2),ROUND(((1-(OverNightDiscount_21_Up+FedExExrpessEarnedDiscount))*'1Day Base'!E64)*(1+ExpressFuelSurcharge),2))*(1+FedEx_Markup),2)</f>
        <v>259.12</v>
      </c>
      <c r="F67" s="218">
        <f>ROUND(IF(MinBase1Day&gt;ROUND(((1-(OverNightDiscount_21_Up+FedExExrpessEarnedDiscount))*'1Day Base'!F64),2),ROUND(MinBase1Day*(1+ExpressFuelSurcharge),2),ROUND(((1-(OverNightDiscount_21_Up+FedExExrpessEarnedDiscount))*'1Day Base'!F64)*(1+ExpressFuelSurcharge),2))*(1+FedEx_Markup),2)</f>
        <v>270.37</v>
      </c>
      <c r="G67" s="218">
        <f>ROUND(IF(MinBase1Day&gt;ROUND(((1-(OverNightDiscount_21_Up+FedExExrpessEarnedDiscount))*'1Day Base'!G64),2),ROUND(MinBase1Day*(1+ExpressFuelSurcharge),2),ROUND(((1-(OverNightDiscount_21_Up+FedExExrpessEarnedDiscount))*'1Day Base'!G64)*(1+ExpressFuelSurcharge),2))*(1+FedEx_Markup),2)</f>
        <v>306.12</v>
      </c>
      <c r="H67" s="218">
        <f>ROUND(IF(MinBase1Day&gt;ROUND(((1-(OverNightDiscount_21_Up+FedExExrpessEarnedDiscount))*'1Day Base'!H64),2),ROUND(MinBase1Day*(1+ExpressFuelSurcharge),2),ROUND(((1-(OverNightDiscount_21_Up+FedExExrpessEarnedDiscount))*'1Day Base'!H64)*(1+ExpressFuelSurcharge),2))*(1+FedEx_Markup),2)</f>
        <v>314.69</v>
      </c>
    </row>
    <row r="68" spans="1:8" ht="12.75" customHeight="1">
      <c r="A68" s="217">
        <v>63</v>
      </c>
      <c r="B68" s="218">
        <f>ROUND(IF(MinBase1Day&gt;ROUND(((1-(OverNightDiscount_21_Up+FedExExrpessEarnedDiscount))*'1Day Base'!B65),2),ROUND(MinBase1Day*(1+ExpressFuelSurcharge),2),ROUND(((1-(OverNightDiscount_21_Up+FedExExrpessEarnedDiscount))*'1Day Base'!B65)*(1+ExpressFuelSurcharge),2))*(1+FedEx_Markup),2)</f>
        <v>86.68</v>
      </c>
      <c r="C68" s="218">
        <f>ROUND(IF(MinBase1Day&gt;ROUND(((1-(OverNightDiscount_21_Up+FedExExrpessEarnedDiscount))*'1Day Base'!C65),2),ROUND(MinBase1Day*(1+ExpressFuelSurcharge),2),ROUND(((1-(OverNightDiscount_21_Up+FedExExrpessEarnedDiscount))*'1Day Base'!C65)*(1+ExpressFuelSurcharge),2))*(1+FedEx_Markup),2)</f>
        <v>132.33000000000001</v>
      </c>
      <c r="D68" s="218">
        <f>ROUND(IF(MinBase1Day&gt;ROUND(((1-(OverNightDiscount_21_Up+FedExExrpessEarnedDiscount))*'1Day Base'!D65),2),ROUND(MinBase1Day*(1+ExpressFuelSurcharge),2),ROUND(((1-(OverNightDiscount_21_Up+FedExExrpessEarnedDiscount))*'1Day Base'!D65)*(1+ExpressFuelSurcharge),2))*(1+FedEx_Markup),2)</f>
        <v>245.31</v>
      </c>
      <c r="E68" s="218">
        <f>ROUND(IF(MinBase1Day&gt;ROUND(((1-(OverNightDiscount_21_Up+FedExExrpessEarnedDiscount))*'1Day Base'!E65),2),ROUND(MinBase1Day*(1+ExpressFuelSurcharge),2),ROUND(((1-(OverNightDiscount_21_Up+FedExExrpessEarnedDiscount))*'1Day Base'!E65)*(1+ExpressFuelSurcharge),2))*(1+FedEx_Markup),2)</f>
        <v>262.07</v>
      </c>
      <c r="F68" s="218">
        <f>ROUND(IF(MinBase1Day&gt;ROUND(((1-(OverNightDiscount_21_Up+FedExExrpessEarnedDiscount))*'1Day Base'!F65),2),ROUND(MinBase1Day*(1+ExpressFuelSurcharge),2),ROUND(((1-(OverNightDiscount_21_Up+FedExExrpessEarnedDiscount))*'1Day Base'!F65)*(1+ExpressFuelSurcharge),2))*(1+FedEx_Markup),2)</f>
        <v>271.64999999999998</v>
      </c>
      <c r="G68" s="218">
        <f>ROUND(IF(MinBase1Day&gt;ROUND(((1-(OverNightDiscount_21_Up+FedExExrpessEarnedDiscount))*'1Day Base'!G65),2),ROUND(MinBase1Day*(1+ExpressFuelSurcharge),2),ROUND(((1-(OverNightDiscount_21_Up+FedExExrpessEarnedDiscount))*'1Day Base'!G65)*(1+ExpressFuelSurcharge),2))*(1+FedEx_Markup),2)</f>
        <v>314.20999999999998</v>
      </c>
      <c r="H68" s="218">
        <f>ROUND(IF(MinBase1Day&gt;ROUND(((1-(OverNightDiscount_21_Up+FedExExrpessEarnedDiscount))*'1Day Base'!H65),2),ROUND(MinBase1Day*(1+ExpressFuelSurcharge),2),ROUND(((1-(OverNightDiscount_21_Up+FedExExrpessEarnedDiscount))*'1Day Base'!H65)*(1+ExpressFuelSurcharge),2))*(1+FedEx_Markup),2)</f>
        <v>320.68</v>
      </c>
    </row>
    <row r="69" spans="1:8" ht="12.75" customHeight="1">
      <c r="A69" s="217">
        <v>64</v>
      </c>
      <c r="B69" s="218">
        <f>ROUND(IF(MinBase1Day&gt;ROUND(((1-(OverNightDiscount_21_Up+FedExExrpessEarnedDiscount))*'1Day Base'!B66),2),ROUND(MinBase1Day*(1+ExpressFuelSurcharge),2),ROUND(((1-(OverNightDiscount_21_Up+FedExExrpessEarnedDiscount))*'1Day Base'!B66)*(1+ExpressFuelSurcharge),2))*(1+FedEx_Markup),2)</f>
        <v>89.69</v>
      </c>
      <c r="C69" s="218">
        <f>ROUND(IF(MinBase1Day&gt;ROUND(((1-(OverNightDiscount_21_Up+FedExExrpessEarnedDiscount))*'1Day Base'!C66),2),ROUND(MinBase1Day*(1+ExpressFuelSurcharge),2),ROUND(((1-(OverNightDiscount_21_Up+FedExExrpessEarnedDiscount))*'1Day Base'!C66)*(1+ExpressFuelSurcharge),2))*(1+FedEx_Markup),2)</f>
        <v>132.88</v>
      </c>
      <c r="D69" s="218">
        <f>ROUND(IF(MinBase1Day&gt;ROUND(((1-(OverNightDiscount_21_Up+FedExExrpessEarnedDiscount))*'1Day Base'!D66),2),ROUND(MinBase1Day*(1+ExpressFuelSurcharge),2),ROUND(((1-(OverNightDiscount_21_Up+FedExExrpessEarnedDiscount))*'1Day Base'!D66)*(1+ExpressFuelSurcharge),2))*(1+FedEx_Markup),2)</f>
        <v>245.8</v>
      </c>
      <c r="E69" s="218">
        <f>ROUND(IF(MinBase1Day&gt;ROUND(((1-(OverNightDiscount_21_Up+FedExExrpessEarnedDiscount))*'1Day Base'!E66),2),ROUND(MinBase1Day*(1+ExpressFuelSurcharge),2),ROUND(((1-(OverNightDiscount_21_Up+FedExExrpessEarnedDiscount))*'1Day Base'!E66)*(1+ExpressFuelSurcharge),2))*(1+FedEx_Markup),2)</f>
        <v>269.69</v>
      </c>
      <c r="F69" s="218">
        <f>ROUND(IF(MinBase1Day&gt;ROUND(((1-(OverNightDiscount_21_Up+FedExExrpessEarnedDiscount))*'1Day Base'!F66),2),ROUND(MinBase1Day*(1+ExpressFuelSurcharge),2),ROUND(((1-(OverNightDiscount_21_Up+FedExExrpessEarnedDiscount))*'1Day Base'!F66)*(1+ExpressFuelSurcharge),2))*(1+FedEx_Markup),2)</f>
        <v>280.35000000000002</v>
      </c>
      <c r="G69" s="218">
        <f>ROUND(IF(MinBase1Day&gt;ROUND(((1-(OverNightDiscount_21_Up+FedExExrpessEarnedDiscount))*'1Day Base'!G66),2),ROUND(MinBase1Day*(1+ExpressFuelSurcharge),2),ROUND(((1-(OverNightDiscount_21_Up+FedExExrpessEarnedDiscount))*'1Day Base'!G66)*(1+ExpressFuelSurcharge),2))*(1+FedEx_Markup),2)</f>
        <v>320.06</v>
      </c>
      <c r="H69" s="218">
        <f>ROUND(IF(MinBase1Day&gt;ROUND(((1-(OverNightDiscount_21_Up+FedExExrpessEarnedDiscount))*'1Day Base'!H66),2),ROUND(MinBase1Day*(1+ExpressFuelSurcharge),2),ROUND(((1-(OverNightDiscount_21_Up+FedExExrpessEarnedDiscount))*'1Day Base'!H66)*(1+ExpressFuelSurcharge),2))*(1+FedEx_Markup),2)</f>
        <v>332.88</v>
      </c>
    </row>
    <row r="70" spans="1:8" ht="12.75" customHeight="1">
      <c r="A70" s="217">
        <v>65</v>
      </c>
      <c r="B70" s="218">
        <f>ROUND(IF(MinBase1Day&gt;ROUND(((1-(OverNightDiscount_21_Up+FedExExrpessEarnedDiscount))*'1Day Base'!B67),2),ROUND(MinBase1Day*(1+ExpressFuelSurcharge),2),ROUND(((1-(OverNightDiscount_21_Up+FedExExrpessEarnedDiscount))*'1Day Base'!B67)*(1+ExpressFuelSurcharge),2))*(1+FedEx_Markup),2)</f>
        <v>92.41</v>
      </c>
      <c r="C70" s="218">
        <f>ROUND(IF(MinBase1Day&gt;ROUND(((1-(OverNightDiscount_21_Up+FedExExrpessEarnedDiscount))*'1Day Base'!C67),2),ROUND(MinBase1Day*(1+ExpressFuelSurcharge),2),ROUND(((1-(OverNightDiscount_21_Up+FedExExrpessEarnedDiscount))*'1Day Base'!C67)*(1+ExpressFuelSurcharge),2))*(1+FedEx_Markup),2)</f>
        <v>136.99</v>
      </c>
      <c r="D70" s="218">
        <f>ROUND(IF(MinBase1Day&gt;ROUND(((1-(OverNightDiscount_21_Up+FedExExrpessEarnedDiscount))*'1Day Base'!D67),2),ROUND(MinBase1Day*(1+ExpressFuelSurcharge),2),ROUND(((1-(OverNightDiscount_21_Up+FedExExrpessEarnedDiscount))*'1Day Base'!D67)*(1+ExpressFuelSurcharge),2))*(1+FedEx_Markup),2)</f>
        <v>248</v>
      </c>
      <c r="E70" s="218">
        <f>ROUND(IF(MinBase1Day&gt;ROUND(((1-(OverNightDiscount_21_Up+FedExExrpessEarnedDiscount))*'1Day Base'!E67),2),ROUND(MinBase1Day*(1+ExpressFuelSurcharge),2),ROUND(((1-(OverNightDiscount_21_Up+FedExExrpessEarnedDiscount))*'1Day Base'!E67)*(1+ExpressFuelSurcharge),2))*(1+FedEx_Markup),2)</f>
        <v>272.72000000000003</v>
      </c>
      <c r="F70" s="218">
        <f>ROUND(IF(MinBase1Day&gt;ROUND(((1-(OverNightDiscount_21_Up+FedExExrpessEarnedDiscount))*'1Day Base'!F67),2),ROUND(MinBase1Day*(1+ExpressFuelSurcharge),2),ROUND(((1-(OverNightDiscount_21_Up+FedExExrpessEarnedDiscount))*'1Day Base'!F67)*(1+ExpressFuelSurcharge),2))*(1+FedEx_Markup),2)</f>
        <v>282.16000000000003</v>
      </c>
      <c r="G70" s="218">
        <f>ROUND(IF(MinBase1Day&gt;ROUND(((1-(OverNightDiscount_21_Up+FedExExrpessEarnedDiscount))*'1Day Base'!G67),2),ROUND(MinBase1Day*(1+ExpressFuelSurcharge),2),ROUND(((1-(OverNightDiscount_21_Up+FedExExrpessEarnedDiscount))*'1Day Base'!G67)*(1+ExpressFuelSurcharge),2))*(1+FedEx_Markup),2)</f>
        <v>320.64</v>
      </c>
      <c r="H70" s="218">
        <f>ROUND(IF(MinBase1Day&gt;ROUND(((1-(OverNightDiscount_21_Up+FedExExrpessEarnedDiscount))*'1Day Base'!H67),2),ROUND(MinBase1Day*(1+ExpressFuelSurcharge),2),ROUND(((1-(OverNightDiscount_21_Up+FedExExrpessEarnedDiscount))*'1Day Base'!H67)*(1+ExpressFuelSurcharge),2))*(1+FedEx_Markup),2)</f>
        <v>336.73</v>
      </c>
    </row>
    <row r="71" spans="1:8" ht="12.75" customHeight="1">
      <c r="A71" s="217">
        <v>66</v>
      </c>
      <c r="B71" s="218">
        <f>ROUND(IF(MinBase1Day&gt;ROUND(((1-(OverNightDiscount_21_Up+FedExExrpessEarnedDiscount))*'1Day Base'!B68),2),ROUND(MinBase1Day*(1+ExpressFuelSurcharge),2),ROUND(((1-(OverNightDiscount_21_Up+FedExExrpessEarnedDiscount))*'1Day Base'!B68)*(1+ExpressFuelSurcharge),2))*(1+FedEx_Markup),2)</f>
        <v>94.09</v>
      </c>
      <c r="C71" s="218">
        <f>ROUND(IF(MinBase1Day&gt;ROUND(((1-(OverNightDiscount_21_Up+FedExExrpessEarnedDiscount))*'1Day Base'!C68),2),ROUND(MinBase1Day*(1+ExpressFuelSurcharge),2),ROUND(((1-(OverNightDiscount_21_Up+FedExExrpessEarnedDiscount))*'1Day Base'!C68)*(1+ExpressFuelSurcharge),2))*(1+FedEx_Markup),2)</f>
        <v>137.43</v>
      </c>
      <c r="D71" s="218">
        <f>ROUND(IF(MinBase1Day&gt;ROUND(((1-(OverNightDiscount_21_Up+FedExExrpessEarnedDiscount))*'1Day Base'!D68),2),ROUND(MinBase1Day*(1+ExpressFuelSurcharge),2),ROUND(((1-(OverNightDiscount_21_Up+FedExExrpessEarnedDiscount))*'1Day Base'!D68)*(1+ExpressFuelSurcharge),2))*(1+FedEx_Markup),2)</f>
        <v>257.27999999999997</v>
      </c>
      <c r="E71" s="218">
        <f>ROUND(IF(MinBase1Day&gt;ROUND(((1-(OverNightDiscount_21_Up+FedExExrpessEarnedDiscount))*'1Day Base'!E68),2),ROUND(MinBase1Day*(1+ExpressFuelSurcharge),2),ROUND(((1-(OverNightDiscount_21_Up+FedExExrpessEarnedDiscount))*'1Day Base'!E68)*(1+ExpressFuelSurcharge),2))*(1+FedEx_Markup),2)</f>
        <v>281.51</v>
      </c>
      <c r="F71" s="218">
        <f>ROUND(IF(MinBase1Day&gt;ROUND(((1-(OverNightDiscount_21_Up+FedExExrpessEarnedDiscount))*'1Day Base'!F68),2),ROUND(MinBase1Day*(1+ExpressFuelSurcharge),2),ROUND(((1-(OverNightDiscount_21_Up+FedExExrpessEarnedDiscount))*'1Day Base'!F68)*(1+ExpressFuelSurcharge),2))*(1+FedEx_Markup),2)</f>
        <v>291.08999999999997</v>
      </c>
      <c r="G71" s="218">
        <f>ROUND(IF(MinBase1Day&gt;ROUND(((1-(OverNightDiscount_21_Up+FedExExrpessEarnedDiscount))*'1Day Base'!G68),2),ROUND(MinBase1Day*(1+ExpressFuelSurcharge),2),ROUND(((1-(OverNightDiscount_21_Up+FedExExrpessEarnedDiscount))*'1Day Base'!G68)*(1+ExpressFuelSurcharge),2))*(1+FedEx_Markup),2)</f>
        <v>321.08999999999997</v>
      </c>
      <c r="H71" s="218">
        <f>ROUND(IF(MinBase1Day&gt;ROUND(((1-(OverNightDiscount_21_Up+FedExExrpessEarnedDiscount))*'1Day Base'!H68),2),ROUND(MinBase1Day*(1+ExpressFuelSurcharge),2),ROUND(((1-(OverNightDiscount_21_Up+FedExExrpessEarnedDiscount))*'1Day Base'!H68)*(1+ExpressFuelSurcharge),2))*(1+FedEx_Markup),2)</f>
        <v>337.43</v>
      </c>
    </row>
    <row r="72" spans="1:8" ht="12.75" customHeight="1">
      <c r="A72" s="217">
        <v>67</v>
      </c>
      <c r="B72" s="218">
        <f>ROUND(IF(MinBase1Day&gt;ROUND(((1-(OverNightDiscount_21_Up+FedExExrpessEarnedDiscount))*'1Day Base'!B69),2),ROUND(MinBase1Day*(1+ExpressFuelSurcharge),2),ROUND(((1-(OverNightDiscount_21_Up+FedExExrpessEarnedDiscount))*'1Day Base'!B69)*(1+ExpressFuelSurcharge),2))*(1+FedEx_Markup),2)</f>
        <v>96.73</v>
      </c>
      <c r="C72" s="218">
        <f>ROUND(IF(MinBase1Day&gt;ROUND(((1-(OverNightDiscount_21_Up+FedExExrpessEarnedDiscount))*'1Day Base'!C69),2),ROUND(MinBase1Day*(1+ExpressFuelSurcharge),2),ROUND(((1-(OverNightDiscount_21_Up+FedExExrpessEarnedDiscount))*'1Day Base'!C69)*(1+ExpressFuelSurcharge),2))*(1+FedEx_Markup),2)</f>
        <v>144.87</v>
      </c>
      <c r="D72" s="218">
        <f>ROUND(IF(MinBase1Day&gt;ROUND(((1-(OverNightDiscount_21_Up+FedExExrpessEarnedDiscount))*'1Day Base'!D69),2),ROUND(MinBase1Day*(1+ExpressFuelSurcharge),2),ROUND(((1-(OverNightDiscount_21_Up+FedExExrpessEarnedDiscount))*'1Day Base'!D69)*(1+ExpressFuelSurcharge),2))*(1+FedEx_Markup),2)</f>
        <v>259.77</v>
      </c>
      <c r="E72" s="218">
        <f>ROUND(IF(MinBase1Day&gt;ROUND(((1-(OverNightDiscount_21_Up+FedExExrpessEarnedDiscount))*'1Day Base'!E69),2),ROUND(MinBase1Day*(1+ExpressFuelSurcharge),2),ROUND(((1-(OverNightDiscount_21_Up+FedExExrpessEarnedDiscount))*'1Day Base'!E69)*(1+ExpressFuelSurcharge),2))*(1+FedEx_Markup),2)</f>
        <v>282.39</v>
      </c>
      <c r="F72" s="218">
        <f>ROUND(IF(MinBase1Day&gt;ROUND(((1-(OverNightDiscount_21_Up+FedExExrpessEarnedDiscount))*'1Day Base'!F69),2),ROUND(MinBase1Day*(1+ExpressFuelSurcharge),2),ROUND(((1-(OverNightDiscount_21_Up+FedExExrpessEarnedDiscount))*'1Day Base'!F69)*(1+ExpressFuelSurcharge),2))*(1+FedEx_Markup),2)</f>
        <v>291.99</v>
      </c>
      <c r="G72" s="218">
        <f>ROUND(IF(MinBase1Day&gt;ROUND(((1-(OverNightDiscount_21_Up+FedExExrpessEarnedDiscount))*'1Day Base'!G69),2),ROUND(MinBase1Day*(1+ExpressFuelSurcharge),2),ROUND(((1-(OverNightDiscount_21_Up+FedExExrpessEarnedDiscount))*'1Day Base'!G69)*(1+ExpressFuelSurcharge),2))*(1+FedEx_Markup),2)</f>
        <v>325.69</v>
      </c>
      <c r="H72" s="218">
        <f>ROUND(IF(MinBase1Day&gt;ROUND(((1-(OverNightDiscount_21_Up+FedExExrpessEarnedDiscount))*'1Day Base'!H69),2),ROUND(MinBase1Day*(1+ExpressFuelSurcharge),2),ROUND(((1-(OverNightDiscount_21_Up+FedExExrpessEarnedDiscount))*'1Day Base'!H69)*(1+ExpressFuelSurcharge),2))*(1+FedEx_Markup),2)</f>
        <v>337.67</v>
      </c>
    </row>
    <row r="73" spans="1:8" ht="12.75" customHeight="1">
      <c r="A73" s="217">
        <v>68</v>
      </c>
      <c r="B73" s="218">
        <f>ROUND(IF(MinBase1Day&gt;ROUND(((1-(OverNightDiscount_21_Up+FedExExrpessEarnedDiscount))*'1Day Base'!B70),2),ROUND(MinBase1Day*(1+ExpressFuelSurcharge),2),ROUND(((1-(OverNightDiscount_21_Up+FedExExrpessEarnedDiscount))*'1Day Base'!B70)*(1+ExpressFuelSurcharge),2))*(1+FedEx_Markup),2)</f>
        <v>97</v>
      </c>
      <c r="C73" s="218">
        <f>ROUND(IF(MinBase1Day&gt;ROUND(((1-(OverNightDiscount_21_Up+FedExExrpessEarnedDiscount))*'1Day Base'!C70),2),ROUND(MinBase1Day*(1+ExpressFuelSurcharge),2),ROUND(((1-(OverNightDiscount_21_Up+FedExExrpessEarnedDiscount))*'1Day Base'!C70)*(1+ExpressFuelSurcharge),2))*(1+FedEx_Markup),2)</f>
        <v>145.6</v>
      </c>
      <c r="D73" s="218">
        <f>ROUND(IF(MinBase1Day&gt;ROUND(((1-(OverNightDiscount_21_Up+FedExExrpessEarnedDiscount))*'1Day Base'!D70),2),ROUND(MinBase1Day*(1+ExpressFuelSurcharge),2),ROUND(((1-(OverNightDiscount_21_Up+FedExExrpessEarnedDiscount))*'1Day Base'!D70)*(1+ExpressFuelSurcharge),2))*(1+FedEx_Markup),2)</f>
        <v>260.02999999999997</v>
      </c>
      <c r="E73" s="218">
        <f>ROUND(IF(MinBase1Day&gt;ROUND(((1-(OverNightDiscount_21_Up+FedExExrpessEarnedDiscount))*'1Day Base'!E70),2),ROUND(MinBase1Day*(1+ExpressFuelSurcharge),2),ROUND(((1-(OverNightDiscount_21_Up+FedExExrpessEarnedDiscount))*'1Day Base'!E70)*(1+ExpressFuelSurcharge),2))*(1+FedEx_Markup),2)</f>
        <v>285.99</v>
      </c>
      <c r="F73" s="218">
        <f>ROUND(IF(MinBase1Day&gt;ROUND(((1-(OverNightDiscount_21_Up+FedExExrpessEarnedDiscount))*'1Day Base'!F70),2),ROUND(MinBase1Day*(1+ExpressFuelSurcharge),2),ROUND(((1-(OverNightDiscount_21_Up+FedExExrpessEarnedDiscount))*'1Day Base'!F70)*(1+ExpressFuelSurcharge),2))*(1+FedEx_Markup),2)</f>
        <v>292.25</v>
      </c>
      <c r="G73" s="218">
        <f>ROUND(IF(MinBase1Day&gt;ROUND(((1-(OverNightDiscount_21_Up+FedExExrpessEarnedDiscount))*'1Day Base'!G70),2),ROUND(MinBase1Day*(1+ExpressFuelSurcharge),2),ROUND(((1-(OverNightDiscount_21_Up+FedExExrpessEarnedDiscount))*'1Day Base'!G70)*(1+ExpressFuelSurcharge),2))*(1+FedEx_Markup),2)</f>
        <v>326.14999999999998</v>
      </c>
      <c r="H73" s="218">
        <f>ROUND(IF(MinBase1Day&gt;ROUND(((1-(OverNightDiscount_21_Up+FedExExrpessEarnedDiscount))*'1Day Base'!H70),2),ROUND(MinBase1Day*(1+ExpressFuelSurcharge),2),ROUND(((1-(OverNightDiscount_21_Up+FedExExrpessEarnedDiscount))*'1Day Base'!H70)*(1+ExpressFuelSurcharge),2))*(1+FedEx_Markup),2)</f>
        <v>339.69</v>
      </c>
    </row>
    <row r="74" spans="1:8" ht="12.75" customHeight="1">
      <c r="A74" s="217">
        <v>69</v>
      </c>
      <c r="B74" s="218">
        <f>ROUND(IF(MinBase1Day&gt;ROUND(((1-(OverNightDiscount_21_Up+FedExExrpessEarnedDiscount))*'1Day Base'!B71),2),ROUND(MinBase1Day*(1+ExpressFuelSurcharge),2),ROUND(((1-(OverNightDiscount_21_Up+FedExExrpessEarnedDiscount))*'1Day Base'!B71)*(1+ExpressFuelSurcharge),2))*(1+FedEx_Markup),2)</f>
        <v>97.19</v>
      </c>
      <c r="C74" s="218">
        <f>ROUND(IF(MinBase1Day&gt;ROUND(((1-(OverNightDiscount_21_Up+FedExExrpessEarnedDiscount))*'1Day Base'!C71),2),ROUND(MinBase1Day*(1+ExpressFuelSurcharge),2),ROUND(((1-(OverNightDiscount_21_Up+FedExExrpessEarnedDiscount))*'1Day Base'!C71)*(1+ExpressFuelSurcharge),2))*(1+FedEx_Markup),2)</f>
        <v>147.88</v>
      </c>
      <c r="D74" s="218">
        <f>ROUND(IF(MinBase1Day&gt;ROUND(((1-(OverNightDiscount_21_Up+FedExExrpessEarnedDiscount))*'1Day Base'!D71),2),ROUND(MinBase1Day*(1+ExpressFuelSurcharge),2),ROUND(((1-(OverNightDiscount_21_Up+FedExExrpessEarnedDiscount))*'1Day Base'!D71)*(1+ExpressFuelSurcharge),2))*(1+FedEx_Markup),2)</f>
        <v>260.3</v>
      </c>
      <c r="E74" s="218">
        <f>ROUND(IF(MinBase1Day&gt;ROUND(((1-(OverNightDiscount_21_Up+FedExExrpessEarnedDiscount))*'1Day Base'!E71),2),ROUND(MinBase1Day*(1+ExpressFuelSurcharge),2),ROUND(((1-(OverNightDiscount_21_Up+FedExExrpessEarnedDiscount))*'1Day Base'!E71)*(1+ExpressFuelSurcharge),2))*(1+FedEx_Markup),2)</f>
        <v>286.81</v>
      </c>
      <c r="F74" s="218">
        <f>ROUND(IF(MinBase1Day&gt;ROUND(((1-(OverNightDiscount_21_Up+FedExExrpessEarnedDiscount))*'1Day Base'!F71),2),ROUND(MinBase1Day*(1+ExpressFuelSurcharge),2),ROUND(((1-(OverNightDiscount_21_Up+FedExExrpessEarnedDiscount))*'1Day Base'!F71)*(1+ExpressFuelSurcharge),2))*(1+FedEx_Markup),2)</f>
        <v>292.73</v>
      </c>
      <c r="G74" s="218">
        <f>ROUND(IF(MinBase1Day&gt;ROUND(((1-(OverNightDiscount_21_Up+FedExExrpessEarnedDiscount))*'1Day Base'!G71),2),ROUND(MinBase1Day*(1+ExpressFuelSurcharge),2),ROUND(((1-(OverNightDiscount_21_Up+FedExExrpessEarnedDiscount))*'1Day Base'!G71)*(1+ExpressFuelSurcharge),2))*(1+FedEx_Markup),2)</f>
        <v>326.33999999999997</v>
      </c>
      <c r="H74" s="218">
        <f>ROUND(IF(MinBase1Day&gt;ROUND(((1-(OverNightDiscount_21_Up+FedExExrpessEarnedDiscount))*'1Day Base'!H71),2),ROUND(MinBase1Day*(1+ExpressFuelSurcharge),2),ROUND(((1-(OverNightDiscount_21_Up+FedExExrpessEarnedDiscount))*'1Day Base'!H71)*(1+ExpressFuelSurcharge),2))*(1+FedEx_Markup),2)</f>
        <v>341.47</v>
      </c>
    </row>
    <row r="75" spans="1:8" ht="12.75" customHeight="1">
      <c r="A75" s="217">
        <v>70</v>
      </c>
      <c r="B75" s="218">
        <f>ROUND(IF(MinBase1Day&gt;ROUND(((1-(OverNightDiscount_21_Up+FedExExrpessEarnedDiscount))*'1Day Base'!B72),2),ROUND(MinBase1Day*(1+ExpressFuelSurcharge),2),ROUND(((1-(OverNightDiscount_21_Up+FedExExrpessEarnedDiscount))*'1Day Base'!B72)*(1+ExpressFuelSurcharge),2))*(1+FedEx_Markup),2)</f>
        <v>100.94</v>
      </c>
      <c r="C75" s="218">
        <f>ROUND(IF(MinBase1Day&gt;ROUND(((1-(OverNightDiscount_21_Up+FedExExrpessEarnedDiscount))*'1Day Base'!C72),2),ROUND(MinBase1Day*(1+ExpressFuelSurcharge),2),ROUND(((1-(OverNightDiscount_21_Up+FedExExrpessEarnedDiscount))*'1Day Base'!C72)*(1+ExpressFuelSurcharge),2))*(1+FedEx_Markup),2)</f>
        <v>150.94999999999999</v>
      </c>
      <c r="D75" s="218">
        <f>ROUND(IF(MinBase1Day&gt;ROUND(((1-(OverNightDiscount_21_Up+FedExExrpessEarnedDiscount))*'1Day Base'!D72),2),ROUND(MinBase1Day*(1+ExpressFuelSurcharge),2),ROUND(((1-(OverNightDiscount_21_Up+FedExExrpessEarnedDiscount))*'1Day Base'!D72)*(1+ExpressFuelSurcharge),2))*(1+FedEx_Markup),2)</f>
        <v>265.27</v>
      </c>
      <c r="E75" s="218">
        <f>ROUND(IF(MinBase1Day&gt;ROUND(((1-(OverNightDiscount_21_Up+FedExExrpessEarnedDiscount))*'1Day Base'!E72),2),ROUND(MinBase1Day*(1+ExpressFuelSurcharge),2),ROUND(((1-(OverNightDiscount_21_Up+FedExExrpessEarnedDiscount))*'1Day Base'!E72)*(1+ExpressFuelSurcharge),2))*(1+FedEx_Markup),2)</f>
        <v>287.07</v>
      </c>
      <c r="F75" s="218">
        <f>ROUND(IF(MinBase1Day&gt;ROUND(((1-(OverNightDiscount_21_Up+FedExExrpessEarnedDiscount))*'1Day Base'!F72),2),ROUND(MinBase1Day*(1+ExpressFuelSurcharge),2),ROUND(((1-(OverNightDiscount_21_Up+FedExExrpessEarnedDiscount))*'1Day Base'!F72)*(1+ExpressFuelSurcharge),2))*(1+FedEx_Markup),2)</f>
        <v>292.99</v>
      </c>
      <c r="G75" s="218">
        <f>ROUND(IF(MinBase1Day&gt;ROUND(((1-(OverNightDiscount_21_Up+FedExExrpessEarnedDiscount))*'1Day Base'!G72),2),ROUND(MinBase1Day*(1+ExpressFuelSurcharge),2),ROUND(((1-(OverNightDiscount_21_Up+FedExExrpessEarnedDiscount))*'1Day Base'!G72)*(1+ExpressFuelSurcharge),2))*(1+FedEx_Markup),2)</f>
        <v>326.83</v>
      </c>
      <c r="H75" s="218">
        <f>ROUND(IF(MinBase1Day&gt;ROUND(((1-(OverNightDiscount_21_Up+FedExExrpessEarnedDiscount))*'1Day Base'!H72),2),ROUND(MinBase1Day*(1+ExpressFuelSurcharge),2),ROUND(((1-(OverNightDiscount_21_Up+FedExExrpessEarnedDiscount))*'1Day Base'!H72)*(1+ExpressFuelSurcharge),2))*(1+FedEx_Markup),2)</f>
        <v>347.02</v>
      </c>
    </row>
    <row r="76" spans="1:8" ht="12.75" customHeight="1">
      <c r="A76" s="217">
        <v>71</v>
      </c>
      <c r="B76" s="218">
        <f>ROUND(IF(MinBase1Day&gt;ROUND(((1-(OverNightDiscount_21_Up+FedExExrpessEarnedDiscount))*'1Day Base'!B73),2),ROUND(MinBase1Day*(1+ExpressFuelSurcharge),2),ROUND(((1-(OverNightDiscount_21_Up+FedExExrpessEarnedDiscount))*'1Day Base'!B73)*(1+ExpressFuelSurcharge),2))*(1+FedEx_Markup),2)</f>
        <v>102.86</v>
      </c>
      <c r="C76" s="218">
        <f>ROUND(IF(MinBase1Day&gt;ROUND(((1-(OverNightDiscount_21_Up+FedExExrpessEarnedDiscount))*'1Day Base'!C73),2),ROUND(MinBase1Day*(1+ExpressFuelSurcharge),2),ROUND(((1-(OverNightDiscount_21_Up+FedExExrpessEarnedDiscount))*'1Day Base'!C73)*(1+ExpressFuelSurcharge),2))*(1+FedEx_Markup),2)</f>
        <v>153.35</v>
      </c>
      <c r="D76" s="218">
        <f>ROUND(IF(MinBase1Day&gt;ROUND(((1-(OverNightDiscount_21_Up+FedExExrpessEarnedDiscount))*'1Day Base'!D73),2),ROUND(MinBase1Day*(1+ExpressFuelSurcharge),2),ROUND(((1-(OverNightDiscount_21_Up+FedExExrpessEarnedDiscount))*'1Day Base'!D73)*(1+ExpressFuelSurcharge),2))*(1+FedEx_Markup),2)</f>
        <v>265.93</v>
      </c>
      <c r="E76" s="218">
        <f>ROUND(IF(MinBase1Day&gt;ROUND(((1-(OverNightDiscount_21_Up+FedExExrpessEarnedDiscount))*'1Day Base'!E73),2),ROUND(MinBase1Day*(1+ExpressFuelSurcharge),2),ROUND(((1-(OverNightDiscount_21_Up+FedExExrpessEarnedDiscount))*'1Day Base'!E73)*(1+ExpressFuelSurcharge),2))*(1+FedEx_Markup),2)</f>
        <v>287.58999999999997</v>
      </c>
      <c r="F76" s="218">
        <f>ROUND(IF(MinBase1Day&gt;ROUND(((1-(OverNightDiscount_21_Up+FedExExrpessEarnedDiscount))*'1Day Base'!F73),2),ROUND(MinBase1Day*(1+ExpressFuelSurcharge),2),ROUND(((1-(OverNightDiscount_21_Up+FedExExrpessEarnedDiscount))*'1Day Base'!F73)*(1+ExpressFuelSurcharge),2))*(1+FedEx_Markup),2)</f>
        <v>293.55</v>
      </c>
      <c r="G76" s="218">
        <f>ROUND(IF(MinBase1Day&gt;ROUND(((1-(OverNightDiscount_21_Up+FedExExrpessEarnedDiscount))*'1Day Base'!G73),2),ROUND(MinBase1Day*(1+ExpressFuelSurcharge),2),ROUND(((1-(OverNightDiscount_21_Up+FedExExrpessEarnedDiscount))*'1Day Base'!G73)*(1+ExpressFuelSurcharge),2))*(1+FedEx_Markup),2)</f>
        <v>336.5</v>
      </c>
      <c r="H76" s="218">
        <f>ROUND(IF(MinBase1Day&gt;ROUND(((1-(OverNightDiscount_21_Up+FedExExrpessEarnedDiscount))*'1Day Base'!H73),2),ROUND(MinBase1Day*(1+ExpressFuelSurcharge),2),ROUND(((1-(OverNightDiscount_21_Up+FedExExrpessEarnedDiscount))*'1Day Base'!H73)*(1+ExpressFuelSurcharge),2))*(1+FedEx_Markup),2)</f>
        <v>348.31</v>
      </c>
    </row>
    <row r="77" spans="1:8" ht="12.75" customHeight="1">
      <c r="A77" s="217">
        <v>72</v>
      </c>
      <c r="B77" s="218">
        <f>ROUND(IF(MinBase1Day&gt;ROUND(((1-(OverNightDiscount_21_Up+FedExExrpessEarnedDiscount))*'1Day Base'!B74),2),ROUND(MinBase1Day*(1+ExpressFuelSurcharge),2),ROUND(((1-(OverNightDiscount_21_Up+FedExExrpessEarnedDiscount))*'1Day Base'!B74)*(1+ExpressFuelSurcharge),2))*(1+FedEx_Markup),2)</f>
        <v>103.12</v>
      </c>
      <c r="C77" s="218">
        <f>ROUND(IF(MinBase1Day&gt;ROUND(((1-(OverNightDiscount_21_Up+FedExExrpessEarnedDiscount))*'1Day Base'!C74),2),ROUND(MinBase1Day*(1+ExpressFuelSurcharge),2),ROUND(((1-(OverNightDiscount_21_Up+FedExExrpessEarnedDiscount))*'1Day Base'!C74)*(1+ExpressFuelSurcharge),2))*(1+FedEx_Markup),2)</f>
        <v>155.72999999999999</v>
      </c>
      <c r="D77" s="218">
        <f>ROUND(IF(MinBase1Day&gt;ROUND(((1-(OverNightDiscount_21_Up+FedExExrpessEarnedDiscount))*'1Day Base'!D74),2),ROUND(MinBase1Day*(1+ExpressFuelSurcharge),2),ROUND(((1-(OverNightDiscount_21_Up+FedExExrpessEarnedDiscount))*'1Day Base'!D74)*(1+ExpressFuelSurcharge),2))*(1+FedEx_Markup),2)</f>
        <v>278.86</v>
      </c>
      <c r="E77" s="218">
        <f>ROUND(IF(MinBase1Day&gt;ROUND(((1-(OverNightDiscount_21_Up+FedExExrpessEarnedDiscount))*'1Day Base'!E74),2),ROUND(MinBase1Day*(1+ExpressFuelSurcharge),2),ROUND(((1-(OverNightDiscount_21_Up+FedExExrpessEarnedDiscount))*'1Day Base'!E74)*(1+ExpressFuelSurcharge),2))*(1+FedEx_Markup),2)</f>
        <v>293.56</v>
      </c>
      <c r="F77" s="218">
        <f>ROUND(IF(MinBase1Day&gt;ROUND(((1-(OverNightDiscount_21_Up+FedExExrpessEarnedDiscount))*'1Day Base'!F74),2),ROUND(MinBase1Day*(1+ExpressFuelSurcharge),2),ROUND(((1-(OverNightDiscount_21_Up+FedExExrpessEarnedDiscount))*'1Day Base'!F74)*(1+ExpressFuelSurcharge),2))*(1+FedEx_Markup),2)</f>
        <v>299.44</v>
      </c>
      <c r="G77" s="218">
        <f>ROUND(IF(MinBase1Day&gt;ROUND(((1-(OverNightDiscount_21_Up+FedExExrpessEarnedDiscount))*'1Day Base'!G74),2),ROUND(MinBase1Day*(1+ExpressFuelSurcharge),2),ROUND(((1-(OverNightDiscount_21_Up+FedExExrpessEarnedDiscount))*'1Day Base'!G74)*(1+ExpressFuelSurcharge),2))*(1+FedEx_Markup),2)</f>
        <v>350.18</v>
      </c>
      <c r="H77" s="218">
        <f>ROUND(IF(MinBase1Day&gt;ROUND(((1-(OverNightDiscount_21_Up+FedExExrpessEarnedDiscount))*'1Day Base'!H74),2),ROUND(MinBase1Day*(1+ExpressFuelSurcharge),2),ROUND(((1-(OverNightDiscount_21_Up+FedExExrpessEarnedDiscount))*'1Day Base'!H74)*(1+ExpressFuelSurcharge),2))*(1+FedEx_Markup),2)</f>
        <v>365.36</v>
      </c>
    </row>
    <row r="78" spans="1:8" ht="12.75" customHeight="1">
      <c r="A78" s="217">
        <v>73</v>
      </c>
      <c r="B78" s="218">
        <f>ROUND(IF(MinBase1Day&gt;ROUND(((1-(OverNightDiscount_21_Up+FedExExrpessEarnedDiscount))*'1Day Base'!B75),2),ROUND(MinBase1Day*(1+ExpressFuelSurcharge),2),ROUND(((1-(OverNightDiscount_21_Up+FedExExrpessEarnedDiscount))*'1Day Base'!B75)*(1+ExpressFuelSurcharge),2))*(1+FedEx_Markup),2)</f>
        <v>104.95</v>
      </c>
      <c r="C78" s="218">
        <f>ROUND(IF(MinBase1Day&gt;ROUND(((1-(OverNightDiscount_21_Up+FedExExrpessEarnedDiscount))*'1Day Base'!C75),2),ROUND(MinBase1Day*(1+ExpressFuelSurcharge),2),ROUND(((1-(OverNightDiscount_21_Up+FedExExrpessEarnedDiscount))*'1Day Base'!C75)*(1+ExpressFuelSurcharge),2))*(1+FedEx_Markup),2)</f>
        <v>159.25</v>
      </c>
      <c r="D78" s="218">
        <f>ROUND(IF(MinBase1Day&gt;ROUND(((1-(OverNightDiscount_21_Up+FedExExrpessEarnedDiscount))*'1Day Base'!D75),2),ROUND(MinBase1Day*(1+ExpressFuelSurcharge),2),ROUND(((1-(OverNightDiscount_21_Up+FedExExrpessEarnedDiscount))*'1Day Base'!D75)*(1+ExpressFuelSurcharge),2))*(1+FedEx_Markup),2)</f>
        <v>280.82</v>
      </c>
      <c r="E78" s="218">
        <f>ROUND(IF(MinBase1Day&gt;ROUND(((1-(OverNightDiscount_21_Up+FedExExrpessEarnedDiscount))*'1Day Base'!E75),2),ROUND(MinBase1Day*(1+ExpressFuelSurcharge),2),ROUND(((1-(OverNightDiscount_21_Up+FedExExrpessEarnedDiscount))*'1Day Base'!E75)*(1+ExpressFuelSurcharge),2))*(1+FedEx_Markup),2)</f>
        <v>298.32</v>
      </c>
      <c r="F78" s="218">
        <f>ROUND(IF(MinBase1Day&gt;ROUND(((1-(OverNightDiscount_21_Up+FedExExrpessEarnedDiscount))*'1Day Base'!F75),2),ROUND(MinBase1Day*(1+ExpressFuelSurcharge),2),ROUND(((1-(OverNightDiscount_21_Up+FedExExrpessEarnedDiscount))*'1Day Base'!F75)*(1+ExpressFuelSurcharge),2))*(1+FedEx_Markup),2)</f>
        <v>304.45999999999998</v>
      </c>
      <c r="G78" s="218">
        <f>ROUND(IF(MinBase1Day&gt;ROUND(((1-(OverNightDiscount_21_Up+FedExExrpessEarnedDiscount))*'1Day Base'!G75),2),ROUND(MinBase1Day*(1+ExpressFuelSurcharge),2),ROUND(((1-(OverNightDiscount_21_Up+FedExExrpessEarnedDiscount))*'1Day Base'!G75)*(1+ExpressFuelSurcharge),2))*(1+FedEx_Markup),2)</f>
        <v>357.58</v>
      </c>
      <c r="H78" s="218">
        <f>ROUND(IF(MinBase1Day&gt;ROUND(((1-(OverNightDiscount_21_Up+FedExExrpessEarnedDiscount))*'1Day Base'!H75),2),ROUND(MinBase1Day*(1+ExpressFuelSurcharge),2),ROUND(((1-(OverNightDiscount_21_Up+FedExExrpessEarnedDiscount))*'1Day Base'!H75)*(1+ExpressFuelSurcharge),2))*(1+FedEx_Markup),2)</f>
        <v>375.89</v>
      </c>
    </row>
    <row r="79" spans="1:8" ht="12.75" customHeight="1">
      <c r="A79" s="217">
        <v>74</v>
      </c>
      <c r="B79" s="218">
        <f>ROUND(IF(MinBase1Day&gt;ROUND(((1-(OverNightDiscount_21_Up+FedExExrpessEarnedDiscount))*'1Day Base'!B76),2),ROUND(MinBase1Day*(1+ExpressFuelSurcharge),2),ROUND(((1-(OverNightDiscount_21_Up+FedExExrpessEarnedDiscount))*'1Day Base'!B76)*(1+ExpressFuelSurcharge),2))*(1+FedEx_Markup),2)</f>
        <v>105.26</v>
      </c>
      <c r="C79" s="218">
        <f>ROUND(IF(MinBase1Day&gt;ROUND(((1-(OverNightDiscount_21_Up+FedExExrpessEarnedDiscount))*'1Day Base'!C76),2),ROUND(MinBase1Day*(1+ExpressFuelSurcharge),2),ROUND(((1-(OverNightDiscount_21_Up+FedExExrpessEarnedDiscount))*'1Day Base'!C76)*(1+ExpressFuelSurcharge),2))*(1+FedEx_Markup),2)</f>
        <v>159.6</v>
      </c>
      <c r="D79" s="218">
        <f>ROUND(IF(MinBase1Day&gt;ROUND(((1-(OverNightDiscount_21_Up+FedExExrpessEarnedDiscount))*'1Day Base'!D76),2),ROUND(MinBase1Day*(1+ExpressFuelSurcharge),2),ROUND(((1-(OverNightDiscount_21_Up+FedExExrpessEarnedDiscount))*'1Day Base'!D76)*(1+ExpressFuelSurcharge),2))*(1+FedEx_Markup),2)</f>
        <v>281.01</v>
      </c>
      <c r="E79" s="218">
        <f>ROUND(IF(MinBase1Day&gt;ROUND(((1-(OverNightDiscount_21_Up+FedExExrpessEarnedDiscount))*'1Day Base'!E76),2),ROUND(MinBase1Day*(1+ExpressFuelSurcharge),2),ROUND(((1-(OverNightDiscount_21_Up+FedExExrpessEarnedDiscount))*'1Day Base'!E76)*(1+ExpressFuelSurcharge),2))*(1+FedEx_Markup),2)</f>
        <v>298.8</v>
      </c>
      <c r="F79" s="218">
        <f>ROUND(IF(MinBase1Day&gt;ROUND(((1-(OverNightDiscount_21_Up+FedExExrpessEarnedDiscount))*'1Day Base'!F76),2),ROUND(MinBase1Day*(1+ExpressFuelSurcharge),2),ROUND(((1-(OverNightDiscount_21_Up+FedExExrpessEarnedDiscount))*'1Day Base'!F76)*(1+ExpressFuelSurcharge),2))*(1+FedEx_Markup),2)</f>
        <v>304.97000000000003</v>
      </c>
      <c r="G79" s="218">
        <f>ROUND(IF(MinBase1Day&gt;ROUND(((1-(OverNightDiscount_21_Up+FedExExrpessEarnedDiscount))*'1Day Base'!G76),2),ROUND(MinBase1Day*(1+ExpressFuelSurcharge),2),ROUND(((1-(OverNightDiscount_21_Up+FedExExrpessEarnedDiscount))*'1Day Base'!G76)*(1+ExpressFuelSurcharge),2))*(1+FedEx_Markup),2)</f>
        <v>358.33</v>
      </c>
      <c r="H79" s="218">
        <f>ROUND(IF(MinBase1Day&gt;ROUND(((1-(OverNightDiscount_21_Up+FedExExrpessEarnedDiscount))*'1Day Base'!H76),2),ROUND(MinBase1Day*(1+ExpressFuelSurcharge),2),ROUND(((1-(OverNightDiscount_21_Up+FedExExrpessEarnedDiscount))*'1Day Base'!H76)*(1+ExpressFuelSurcharge),2))*(1+FedEx_Markup),2)</f>
        <v>376.95</v>
      </c>
    </row>
    <row r="80" spans="1:8" ht="12.75" customHeight="1">
      <c r="A80" s="217">
        <v>75</v>
      </c>
      <c r="B80" s="218">
        <f>ROUND(IF(MinBase1Day&gt;ROUND(((1-(OverNightDiscount_21_Up+FedExExrpessEarnedDiscount))*'1Day Base'!B77),2),ROUND(MinBase1Day*(1+ExpressFuelSurcharge),2),ROUND(((1-(OverNightDiscount_21_Up+FedExExrpessEarnedDiscount))*'1Day Base'!B77)*(1+ExpressFuelSurcharge),2))*(1+FedEx_Markup),2)</f>
        <v>111.34</v>
      </c>
      <c r="C80" s="218">
        <f>ROUND(IF(MinBase1Day&gt;ROUND(((1-(OverNightDiscount_21_Up+FedExExrpessEarnedDiscount))*'1Day Base'!C77),2),ROUND(MinBase1Day*(1+ExpressFuelSurcharge),2),ROUND(((1-(OverNightDiscount_21_Up+FedExExrpessEarnedDiscount))*'1Day Base'!C77)*(1+ExpressFuelSurcharge),2))*(1+FedEx_Markup),2)</f>
        <v>163.54</v>
      </c>
      <c r="D80" s="218">
        <f>ROUND(IF(MinBase1Day&gt;ROUND(((1-(OverNightDiscount_21_Up+FedExExrpessEarnedDiscount))*'1Day Base'!D77),2),ROUND(MinBase1Day*(1+ExpressFuelSurcharge),2),ROUND(((1-(OverNightDiscount_21_Up+FedExExrpessEarnedDiscount))*'1Day Base'!D77)*(1+ExpressFuelSurcharge),2))*(1+FedEx_Markup),2)</f>
        <v>281.38</v>
      </c>
      <c r="E80" s="218">
        <f>ROUND(IF(MinBase1Day&gt;ROUND(((1-(OverNightDiscount_21_Up+FedExExrpessEarnedDiscount))*'1Day Base'!E77),2),ROUND(MinBase1Day*(1+ExpressFuelSurcharge),2),ROUND(((1-(OverNightDiscount_21_Up+FedExExrpessEarnedDiscount))*'1Day Base'!E77)*(1+ExpressFuelSurcharge),2))*(1+FedEx_Markup),2)</f>
        <v>299.31</v>
      </c>
      <c r="F80" s="218">
        <f>ROUND(IF(MinBase1Day&gt;ROUND(((1-(OverNightDiscount_21_Up+FedExExrpessEarnedDiscount))*'1Day Base'!F77),2),ROUND(MinBase1Day*(1+ExpressFuelSurcharge),2),ROUND(((1-(OverNightDiscount_21_Up+FedExExrpessEarnedDiscount))*'1Day Base'!F77)*(1+ExpressFuelSurcharge),2))*(1+FedEx_Markup),2)</f>
        <v>305.49</v>
      </c>
      <c r="G80" s="218">
        <f>ROUND(IF(MinBase1Day&gt;ROUND(((1-(OverNightDiscount_21_Up+FedExExrpessEarnedDiscount))*'1Day Base'!G77),2),ROUND(MinBase1Day*(1+ExpressFuelSurcharge),2),ROUND(((1-(OverNightDiscount_21_Up+FedExExrpessEarnedDiscount))*'1Day Base'!G77)*(1+ExpressFuelSurcharge),2))*(1+FedEx_Markup),2)</f>
        <v>358.82</v>
      </c>
      <c r="H80" s="218">
        <f>ROUND(IF(MinBase1Day&gt;ROUND(((1-(OverNightDiscount_21_Up+FedExExrpessEarnedDiscount))*'1Day Base'!H77),2),ROUND(MinBase1Day*(1+ExpressFuelSurcharge),2),ROUND(((1-(OverNightDiscount_21_Up+FedExExrpessEarnedDiscount))*'1Day Base'!H77)*(1+ExpressFuelSurcharge),2))*(1+FedEx_Markup),2)</f>
        <v>377.44</v>
      </c>
    </row>
    <row r="81" spans="1:26" ht="12.75" customHeight="1">
      <c r="A81" s="217">
        <v>76</v>
      </c>
      <c r="B81" s="218">
        <f>ROUND(IF(MinBase1Day&gt;ROUND(((1-(OverNightDiscount_21_Up+FedExExrpessEarnedDiscount))*'1Day Base'!B78),2),ROUND(MinBase1Day*(1+ExpressFuelSurcharge),2),ROUND(((1-(OverNightDiscount_21_Up+FedExExrpessEarnedDiscount))*'1Day Base'!B78)*(1+ExpressFuelSurcharge),2))*(1+FedEx_Markup),2)</f>
        <v>111.95</v>
      </c>
      <c r="C81" s="218">
        <f>ROUND(IF(MinBase1Day&gt;ROUND(((1-(OverNightDiscount_21_Up+FedExExrpessEarnedDiscount))*'1Day Base'!C78),2),ROUND(MinBase1Day*(1+ExpressFuelSurcharge),2),ROUND(((1-(OverNightDiscount_21_Up+FedExExrpessEarnedDiscount))*'1Day Base'!C78)*(1+ExpressFuelSurcharge),2))*(1+FedEx_Markup),2)</f>
        <v>166.43</v>
      </c>
      <c r="D81" s="218">
        <f>ROUND(IF(MinBase1Day&gt;ROUND(((1-(OverNightDiscount_21_Up+FedExExrpessEarnedDiscount))*'1Day Base'!D78),2),ROUND(MinBase1Day*(1+ExpressFuelSurcharge),2),ROUND(((1-(OverNightDiscount_21_Up+FedExExrpessEarnedDiscount))*'1Day Base'!D78)*(1+ExpressFuelSurcharge),2))*(1+FedEx_Markup),2)</f>
        <v>282.93</v>
      </c>
      <c r="E81" s="218">
        <f>ROUND(IF(MinBase1Day&gt;ROUND(((1-(OverNightDiscount_21_Up+FedExExrpessEarnedDiscount))*'1Day Base'!E78),2),ROUND(MinBase1Day*(1+ExpressFuelSurcharge),2),ROUND(((1-(OverNightDiscount_21_Up+FedExExrpessEarnedDiscount))*'1Day Base'!E78)*(1+ExpressFuelSurcharge),2))*(1+FedEx_Markup),2)</f>
        <v>301.94</v>
      </c>
      <c r="F81" s="218">
        <f>ROUND(IF(MinBase1Day&gt;ROUND(((1-(OverNightDiscount_21_Up+FedExExrpessEarnedDiscount))*'1Day Base'!F78),2),ROUND(MinBase1Day*(1+ExpressFuelSurcharge),2),ROUND(((1-(OverNightDiscount_21_Up+FedExExrpessEarnedDiscount))*'1Day Base'!F78)*(1+ExpressFuelSurcharge),2))*(1+FedEx_Markup),2)</f>
        <v>308.17</v>
      </c>
      <c r="G81" s="218">
        <f>ROUND(IF(MinBase1Day&gt;ROUND(((1-(OverNightDiscount_21_Up+FedExExrpessEarnedDiscount))*'1Day Base'!G78),2),ROUND(MinBase1Day*(1+ExpressFuelSurcharge),2),ROUND(((1-(OverNightDiscount_21_Up+FedExExrpessEarnedDiscount))*'1Day Base'!G78)*(1+ExpressFuelSurcharge),2))*(1+FedEx_Markup),2)</f>
        <v>363.34</v>
      </c>
      <c r="H81" s="218">
        <f>ROUND(IF(MinBase1Day&gt;ROUND(((1-(OverNightDiscount_21_Up+FedExExrpessEarnedDiscount))*'1Day Base'!H78),2),ROUND(MinBase1Day*(1+ExpressFuelSurcharge),2),ROUND(((1-(OverNightDiscount_21_Up+FedExExrpessEarnedDiscount))*'1Day Base'!H78)*(1+ExpressFuelSurcharge),2))*(1+FedEx_Markup),2)</f>
        <v>377.81</v>
      </c>
      <c r="L81" s="4"/>
    </row>
    <row r="82" spans="1:26" ht="12.75" customHeight="1">
      <c r="A82" s="217">
        <v>77</v>
      </c>
      <c r="B82" s="218">
        <f>ROUND(IF(MinBase1Day&gt;ROUND(((1-(OverNightDiscount_21_Up+FedExExrpessEarnedDiscount))*'1Day Base'!B79),2),ROUND(MinBase1Day*(1+ExpressFuelSurcharge),2),ROUND(((1-(OverNightDiscount_21_Up+FedExExrpessEarnedDiscount))*'1Day Base'!B79)*(1+ExpressFuelSurcharge),2))*(1+FedEx_Markup),2)</f>
        <v>112.8</v>
      </c>
      <c r="C82" s="218">
        <f>ROUND(IF(MinBase1Day&gt;ROUND(((1-(OverNightDiscount_21_Up+FedExExrpessEarnedDiscount))*'1Day Base'!C79),2),ROUND(MinBase1Day*(1+ExpressFuelSurcharge),2),ROUND(((1-(OverNightDiscount_21_Up+FedExExrpessEarnedDiscount))*'1Day Base'!C79)*(1+ExpressFuelSurcharge),2))*(1+FedEx_Markup),2)</f>
        <v>166.78</v>
      </c>
      <c r="D82" s="218">
        <f>ROUND(IF(MinBase1Day&gt;ROUND(((1-(OverNightDiscount_21_Up+FedExExrpessEarnedDiscount))*'1Day Base'!D79),2),ROUND(MinBase1Day*(1+ExpressFuelSurcharge),2),ROUND(((1-(OverNightDiscount_21_Up+FedExExrpessEarnedDiscount))*'1Day Base'!D79)*(1+ExpressFuelSurcharge),2))*(1+FedEx_Markup),2)</f>
        <v>284.13</v>
      </c>
      <c r="E82" s="218">
        <f>ROUND(IF(MinBase1Day&gt;ROUND(((1-(OverNightDiscount_21_Up+FedExExrpessEarnedDiscount))*'1Day Base'!E79),2),ROUND(MinBase1Day*(1+ExpressFuelSurcharge),2),ROUND(((1-(OverNightDiscount_21_Up+FedExExrpessEarnedDiscount))*'1Day Base'!E79)*(1+ExpressFuelSurcharge),2))*(1+FedEx_Markup),2)</f>
        <v>311.89</v>
      </c>
      <c r="F82" s="218">
        <f>ROUND(IF(MinBase1Day&gt;ROUND(((1-(OverNightDiscount_21_Up+FedExExrpessEarnedDiscount))*'1Day Base'!F79),2),ROUND(MinBase1Day*(1+ExpressFuelSurcharge),2),ROUND(((1-(OverNightDiscount_21_Up+FedExExrpessEarnedDiscount))*'1Day Base'!F79)*(1+ExpressFuelSurcharge),2))*(1+FedEx_Markup),2)</f>
        <v>321.01</v>
      </c>
      <c r="G82" s="218">
        <f>ROUND(IF(MinBase1Day&gt;ROUND(((1-(OverNightDiscount_21_Up+FedExExrpessEarnedDiscount))*'1Day Base'!G79),2),ROUND(MinBase1Day*(1+ExpressFuelSurcharge),2),ROUND(((1-(OverNightDiscount_21_Up+FedExExrpessEarnedDiscount))*'1Day Base'!G79)*(1+ExpressFuelSurcharge),2))*(1+FedEx_Markup),2)</f>
        <v>369.39</v>
      </c>
      <c r="H82" s="218">
        <f>ROUND(IF(MinBase1Day&gt;ROUND(((1-(OverNightDiscount_21_Up+FedExExrpessEarnedDiscount))*'1Day Base'!H79),2),ROUND(MinBase1Day*(1+ExpressFuelSurcharge),2),ROUND(((1-(OverNightDiscount_21_Up+FedExExrpessEarnedDiscount))*'1Day Base'!H79)*(1+ExpressFuelSurcharge),2))*(1+FedEx_Markup),2)</f>
        <v>378.19</v>
      </c>
    </row>
    <row r="83" spans="1:26" ht="12.75" customHeight="1">
      <c r="A83" s="217">
        <v>78</v>
      </c>
      <c r="B83" s="218">
        <f>ROUND(IF(MinBase1Day&gt;ROUND(((1-(OverNightDiscount_21_Up+FedExExrpessEarnedDiscount))*'1Day Base'!B80),2),ROUND(MinBase1Day*(1+ExpressFuelSurcharge),2),ROUND(((1-(OverNightDiscount_21_Up+FedExExrpessEarnedDiscount))*'1Day Base'!B80)*(1+ExpressFuelSurcharge),2))*(1+FedEx_Markup),2)</f>
        <v>113.17</v>
      </c>
      <c r="C83" s="218">
        <f>ROUND(IF(MinBase1Day&gt;ROUND(((1-(OverNightDiscount_21_Up+FedExExrpessEarnedDiscount))*'1Day Base'!C80),2),ROUND(MinBase1Day*(1+ExpressFuelSurcharge),2),ROUND(((1-(OverNightDiscount_21_Up+FedExExrpessEarnedDiscount))*'1Day Base'!C80)*(1+ExpressFuelSurcharge),2))*(1+FedEx_Markup),2)</f>
        <v>172.19</v>
      </c>
      <c r="D83" s="218">
        <f>ROUND(IF(MinBase1Day&gt;ROUND(((1-(OverNightDiscount_21_Up+FedExExrpessEarnedDiscount))*'1Day Base'!D80),2),ROUND(MinBase1Day*(1+ExpressFuelSurcharge),2),ROUND(((1-(OverNightDiscount_21_Up+FedExExrpessEarnedDiscount))*'1Day Base'!D80)*(1+ExpressFuelSurcharge),2))*(1+FedEx_Markup),2)</f>
        <v>291.10000000000002</v>
      </c>
      <c r="E83" s="218">
        <f>ROUND(IF(MinBase1Day&gt;ROUND(((1-(OverNightDiscount_21_Up+FedExExrpessEarnedDiscount))*'1Day Base'!E80),2),ROUND(MinBase1Day*(1+ExpressFuelSurcharge),2),ROUND(((1-(OverNightDiscount_21_Up+FedExExrpessEarnedDiscount))*'1Day Base'!E80)*(1+ExpressFuelSurcharge),2))*(1+FedEx_Markup),2)</f>
        <v>319.02999999999997</v>
      </c>
      <c r="F83" s="218">
        <f>ROUND(IF(MinBase1Day&gt;ROUND(((1-(OverNightDiscount_21_Up+FedExExrpessEarnedDiscount))*'1Day Base'!F80),2),ROUND(MinBase1Day*(1+ExpressFuelSurcharge),2),ROUND(((1-(OverNightDiscount_21_Up+FedExExrpessEarnedDiscount))*'1Day Base'!F80)*(1+ExpressFuelSurcharge),2))*(1+FedEx_Markup),2)</f>
        <v>329.64</v>
      </c>
      <c r="G83" s="218">
        <f>ROUND(IF(MinBase1Day&gt;ROUND(((1-(OverNightDiscount_21_Up+FedExExrpessEarnedDiscount))*'1Day Base'!G80),2),ROUND(MinBase1Day*(1+ExpressFuelSurcharge),2),ROUND(((1-(OverNightDiscount_21_Up+FedExExrpessEarnedDiscount))*'1Day Base'!G80)*(1+ExpressFuelSurcharge),2))*(1+FedEx_Markup),2)</f>
        <v>370</v>
      </c>
      <c r="H83" s="218">
        <f>ROUND(IF(MinBase1Day&gt;ROUND(((1-(OverNightDiscount_21_Up+FedExExrpessEarnedDiscount))*'1Day Base'!H80),2),ROUND(MinBase1Day*(1+ExpressFuelSurcharge),2),ROUND(((1-(OverNightDiscount_21_Up+FedExExrpessEarnedDiscount))*'1Day Base'!H80)*(1+ExpressFuelSurcharge),2))*(1+FedEx_Markup),2)</f>
        <v>378.9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>
      <c r="A84" s="217">
        <v>79</v>
      </c>
      <c r="B84" s="218">
        <f>ROUND(IF(MinBase1Day&gt;ROUND(((1-(OverNightDiscount_21_Up+FedExExrpessEarnedDiscount))*'1Day Base'!B81),2),ROUND(MinBase1Day*(1+ExpressFuelSurcharge),2),ROUND(((1-(OverNightDiscount_21_Up+FedExExrpessEarnedDiscount))*'1Day Base'!B81)*(1+ExpressFuelSurcharge),2))*(1+FedEx_Markup),2)</f>
        <v>113.53</v>
      </c>
      <c r="C84" s="218">
        <f>ROUND(IF(MinBase1Day&gt;ROUND(((1-(OverNightDiscount_21_Up+FedExExrpessEarnedDiscount))*'1Day Base'!C81),2),ROUND(MinBase1Day*(1+ExpressFuelSurcharge),2),ROUND(((1-(OverNightDiscount_21_Up+FedExExrpessEarnedDiscount))*'1Day Base'!C81)*(1+ExpressFuelSurcharge),2))*(1+FedEx_Markup),2)</f>
        <v>172.94</v>
      </c>
      <c r="D84" s="218">
        <f>ROUND(IF(MinBase1Day&gt;ROUND(((1-(OverNightDiscount_21_Up+FedExExrpessEarnedDiscount))*'1Day Base'!D81),2),ROUND(MinBase1Day*(1+ExpressFuelSurcharge),2),ROUND(((1-(OverNightDiscount_21_Up+FedExExrpessEarnedDiscount))*'1Day Base'!D81)*(1+ExpressFuelSurcharge),2))*(1+FedEx_Markup),2)</f>
        <v>291.8</v>
      </c>
      <c r="E84" s="218">
        <f>ROUND(IF(MinBase1Day&gt;ROUND(((1-(OverNightDiscount_21_Up+FedExExrpessEarnedDiscount))*'1Day Base'!E81),2),ROUND(MinBase1Day*(1+ExpressFuelSurcharge),2),ROUND(((1-(OverNightDiscount_21_Up+FedExExrpessEarnedDiscount))*'1Day Base'!E81)*(1+ExpressFuelSurcharge),2))*(1+FedEx_Markup),2)</f>
        <v>319.76</v>
      </c>
      <c r="F84" s="218">
        <f>ROUND(IF(MinBase1Day&gt;ROUND(((1-(OverNightDiscount_21_Up+FedExExrpessEarnedDiscount))*'1Day Base'!F81),2),ROUND(MinBase1Day*(1+ExpressFuelSurcharge),2),ROUND(((1-(OverNightDiscount_21_Up+FedExExrpessEarnedDiscount))*'1Day Base'!F81)*(1+ExpressFuelSurcharge),2))*(1+FedEx_Markup),2)</f>
        <v>330.5</v>
      </c>
      <c r="G84" s="218">
        <f>ROUND(IF(MinBase1Day&gt;ROUND(((1-(OverNightDiscount_21_Up+FedExExrpessEarnedDiscount))*'1Day Base'!G81),2),ROUND(MinBase1Day*(1+ExpressFuelSurcharge),2),ROUND(((1-(OverNightDiscount_21_Up+FedExExrpessEarnedDiscount))*'1Day Base'!G81)*(1+ExpressFuelSurcharge),2))*(1+FedEx_Markup),2)</f>
        <v>371.84</v>
      </c>
      <c r="H84" s="218">
        <f>ROUND(IF(MinBase1Day&gt;ROUND(((1-(OverNightDiscount_21_Up+FedExExrpessEarnedDiscount))*'1Day Base'!H81),2),ROUND(MinBase1Day*(1+ExpressFuelSurcharge),2),ROUND(((1-(OverNightDiscount_21_Up+FedExExrpessEarnedDiscount))*'1Day Base'!H81)*(1+ExpressFuelSurcharge),2))*(1+FedEx_Markup),2)</f>
        <v>379.27</v>
      </c>
    </row>
    <row r="85" spans="1:26" ht="12.75" customHeight="1">
      <c r="A85" s="217">
        <v>80</v>
      </c>
      <c r="B85" s="218">
        <f>ROUND(IF(MinBase1Day&gt;ROUND(((1-(OverNightDiscount_21_Up+FedExExrpessEarnedDiscount))*'1Day Base'!B82),2),ROUND(MinBase1Day*(1+ExpressFuelSurcharge),2),ROUND(((1-(OverNightDiscount_21_Up+FedExExrpessEarnedDiscount))*'1Day Base'!B82)*(1+ExpressFuelSurcharge),2))*(1+FedEx_Markup),2)</f>
        <v>113.9</v>
      </c>
      <c r="C85" s="218">
        <f>ROUND(IF(MinBase1Day&gt;ROUND(((1-(OverNightDiscount_21_Up+FedExExrpessEarnedDiscount))*'1Day Base'!C82),2),ROUND(MinBase1Day*(1+ExpressFuelSurcharge),2),ROUND(((1-(OverNightDiscount_21_Up+FedExExrpessEarnedDiscount))*'1Day Base'!C82)*(1+ExpressFuelSurcharge),2))*(1+FedEx_Markup),2)</f>
        <v>177.87</v>
      </c>
      <c r="D85" s="218">
        <f>ROUND(IF(MinBase1Day&gt;ROUND(((1-(OverNightDiscount_21_Up+FedExExrpessEarnedDiscount))*'1Day Base'!D82),2),ROUND(MinBase1Day*(1+ExpressFuelSurcharge),2),ROUND(((1-(OverNightDiscount_21_Up+FedExExrpessEarnedDiscount))*'1Day Base'!D82)*(1+ExpressFuelSurcharge),2))*(1+FedEx_Markup),2)</f>
        <v>292.52999999999997</v>
      </c>
      <c r="E85" s="218">
        <f>ROUND(IF(MinBase1Day&gt;ROUND(((1-(OverNightDiscount_21_Up+FedExExrpessEarnedDiscount))*'1Day Base'!E82),2),ROUND(MinBase1Day*(1+ExpressFuelSurcharge),2),ROUND(((1-(OverNightDiscount_21_Up+FedExExrpessEarnedDiscount))*'1Day Base'!E82)*(1+ExpressFuelSurcharge),2))*(1+FedEx_Markup),2)</f>
        <v>320.98</v>
      </c>
      <c r="F85" s="218">
        <f>ROUND(IF(MinBase1Day&gt;ROUND(((1-(OverNightDiscount_21_Up+FedExExrpessEarnedDiscount))*'1Day Base'!F82),2),ROUND(MinBase1Day*(1+ExpressFuelSurcharge),2),ROUND(((1-(OverNightDiscount_21_Up+FedExExrpessEarnedDiscount))*'1Day Base'!F82)*(1+ExpressFuelSurcharge),2))*(1+FedEx_Markup),2)</f>
        <v>331.65</v>
      </c>
      <c r="G85" s="218">
        <f>ROUND(IF(MinBase1Day&gt;ROUND(((1-(OverNightDiscount_21_Up+FedExExrpessEarnedDiscount))*'1Day Base'!G82),2),ROUND(MinBase1Day*(1+ExpressFuelSurcharge),2),ROUND(((1-(OverNightDiscount_21_Up+FedExExrpessEarnedDiscount))*'1Day Base'!G82)*(1+ExpressFuelSurcharge),2))*(1+FedEx_Markup),2)</f>
        <v>372.78</v>
      </c>
      <c r="H85" s="218">
        <f>ROUND(IF(MinBase1Day&gt;ROUND(((1-(OverNightDiscount_21_Up+FedExExrpessEarnedDiscount))*'1Day Base'!H82),2),ROUND(MinBase1Day*(1+ExpressFuelSurcharge),2),ROUND(((1-(OverNightDiscount_21_Up+FedExExrpessEarnedDiscount))*'1Day Base'!H82)*(1+ExpressFuelSurcharge),2))*(1+FedEx_Markup),2)</f>
        <v>380.42</v>
      </c>
    </row>
    <row r="86" spans="1:26" ht="12.75" customHeight="1">
      <c r="A86" s="217">
        <v>81</v>
      </c>
      <c r="B86" s="218">
        <f>ROUND(IF(MinBase1Day&gt;ROUND(((1-(OverNightDiscount_21_Up+FedExExrpessEarnedDiscount))*'1Day Base'!B83),2),ROUND(MinBase1Day*(1+ExpressFuelSurcharge),2),ROUND(((1-(OverNightDiscount_21_Up+FedExExrpessEarnedDiscount))*'1Day Base'!B83)*(1+ExpressFuelSurcharge),2))*(1+FedEx_Markup),2)</f>
        <v>115.91</v>
      </c>
      <c r="C86" s="218">
        <f>ROUND(IF(MinBase1Day&gt;ROUND(((1-(OverNightDiscount_21_Up+FedExExrpessEarnedDiscount))*'1Day Base'!C83),2),ROUND(MinBase1Day*(1+ExpressFuelSurcharge),2),ROUND(((1-(OverNightDiscount_21_Up+FedExExrpessEarnedDiscount))*'1Day Base'!C83)*(1+ExpressFuelSurcharge),2))*(1+FedEx_Markup),2)</f>
        <v>181.18</v>
      </c>
      <c r="D86" s="218">
        <f>ROUND(IF(MinBase1Day&gt;ROUND(((1-(OverNightDiscount_21_Up+FedExExrpessEarnedDiscount))*'1Day Base'!D83),2),ROUND(MinBase1Day*(1+ExpressFuelSurcharge),2),ROUND(((1-(OverNightDiscount_21_Up+FedExExrpessEarnedDiscount))*'1Day Base'!D83)*(1+ExpressFuelSurcharge),2))*(1+FedEx_Markup),2)</f>
        <v>305.51</v>
      </c>
      <c r="E86" s="218">
        <f>ROUND(IF(MinBase1Day&gt;ROUND(((1-(OverNightDiscount_21_Up+FedExExrpessEarnedDiscount))*'1Day Base'!E83),2),ROUND(MinBase1Day*(1+ExpressFuelSurcharge),2),ROUND(((1-(OverNightDiscount_21_Up+FedExExrpessEarnedDiscount))*'1Day Base'!E83)*(1+ExpressFuelSurcharge),2))*(1+FedEx_Markup),2)</f>
        <v>345.46</v>
      </c>
      <c r="F86" s="218">
        <f>ROUND(IF(MinBase1Day&gt;ROUND(((1-(OverNightDiscount_21_Up+FedExExrpessEarnedDiscount))*'1Day Base'!F83),2),ROUND(MinBase1Day*(1+ExpressFuelSurcharge),2),ROUND(((1-(OverNightDiscount_21_Up+FedExExrpessEarnedDiscount))*'1Day Base'!F83)*(1+ExpressFuelSurcharge),2))*(1+FedEx_Markup),2)</f>
        <v>353.54</v>
      </c>
      <c r="G86" s="218">
        <f>ROUND(IF(MinBase1Day&gt;ROUND(((1-(OverNightDiscount_21_Up+FedExExrpessEarnedDiscount))*'1Day Base'!G83),2),ROUND(MinBase1Day*(1+ExpressFuelSurcharge),2),ROUND(((1-(OverNightDiscount_21_Up+FedExExrpessEarnedDiscount))*'1Day Base'!G83)*(1+ExpressFuelSurcharge),2))*(1+FedEx_Markup),2)</f>
        <v>387.37</v>
      </c>
      <c r="H86" s="218">
        <f>ROUND(IF(MinBase1Day&gt;ROUND(((1-(OverNightDiscount_21_Up+FedExExrpessEarnedDiscount))*'1Day Base'!H83),2),ROUND(MinBase1Day*(1+ExpressFuelSurcharge),2),ROUND(((1-(OverNightDiscount_21_Up+FedExExrpessEarnedDiscount))*'1Day Base'!H83)*(1+ExpressFuelSurcharge),2))*(1+FedEx_Markup),2)</f>
        <v>395.3</v>
      </c>
    </row>
    <row r="87" spans="1:26" ht="12.75" customHeight="1">
      <c r="A87" s="217">
        <v>82</v>
      </c>
      <c r="B87" s="218">
        <f>ROUND(IF(MinBase1Day&gt;ROUND(((1-(OverNightDiscount_21_Up+FedExExrpessEarnedDiscount))*'1Day Base'!B84),2),ROUND(MinBase1Day*(1+ExpressFuelSurcharge),2),ROUND(((1-(OverNightDiscount_21_Up+FedExExrpessEarnedDiscount))*'1Day Base'!B84)*(1+ExpressFuelSurcharge),2))*(1+FedEx_Markup),2)</f>
        <v>121.99</v>
      </c>
      <c r="C87" s="218">
        <f>ROUND(IF(MinBase1Day&gt;ROUND(((1-(OverNightDiscount_21_Up+FedExExrpessEarnedDiscount))*'1Day Base'!C84),2),ROUND(MinBase1Day*(1+ExpressFuelSurcharge),2),ROUND(((1-(OverNightDiscount_21_Up+FedExExrpessEarnedDiscount))*'1Day Base'!C84)*(1+ExpressFuelSurcharge),2))*(1+FedEx_Markup),2)</f>
        <v>181.56</v>
      </c>
      <c r="D87" s="218">
        <f>ROUND(IF(MinBase1Day&gt;ROUND(((1-(OverNightDiscount_21_Up+FedExExrpessEarnedDiscount))*'1Day Base'!D84),2),ROUND(MinBase1Day*(1+ExpressFuelSurcharge),2),ROUND(((1-(OverNightDiscount_21_Up+FedExExrpessEarnedDiscount))*'1Day Base'!D84)*(1+ExpressFuelSurcharge),2))*(1+FedEx_Markup),2)</f>
        <v>306.81</v>
      </c>
      <c r="E87" s="218">
        <f>ROUND(IF(MinBase1Day&gt;ROUND(((1-(OverNightDiscount_21_Up+FedExExrpessEarnedDiscount))*'1Day Base'!E84),2),ROUND(MinBase1Day*(1+ExpressFuelSurcharge),2),ROUND(((1-(OverNightDiscount_21_Up+FedExExrpessEarnedDiscount))*'1Day Base'!E84)*(1+ExpressFuelSurcharge),2))*(1+FedEx_Markup),2)</f>
        <v>347.91</v>
      </c>
      <c r="F87" s="218">
        <f>ROUND(IF(MinBase1Day&gt;ROUND(((1-(OverNightDiscount_21_Up+FedExExrpessEarnedDiscount))*'1Day Base'!F84),2),ROUND(MinBase1Day*(1+ExpressFuelSurcharge),2),ROUND(((1-(OverNightDiscount_21_Up+FedExExrpessEarnedDiscount))*'1Day Base'!F84)*(1+ExpressFuelSurcharge),2))*(1+FedEx_Markup),2)</f>
        <v>355.73</v>
      </c>
      <c r="G87" s="218">
        <f>ROUND(IF(MinBase1Day&gt;ROUND(((1-(OverNightDiscount_21_Up+FedExExrpessEarnedDiscount))*'1Day Base'!G84),2),ROUND(MinBase1Day*(1+ExpressFuelSurcharge),2),ROUND(((1-(OverNightDiscount_21_Up+FedExExrpessEarnedDiscount))*'1Day Base'!G84)*(1+ExpressFuelSurcharge),2))*(1+FedEx_Markup),2)</f>
        <v>388.84</v>
      </c>
      <c r="H87" s="218">
        <f>ROUND(IF(MinBase1Day&gt;ROUND(((1-(OverNightDiscount_21_Up+FedExExrpessEarnedDiscount))*'1Day Base'!H84),2),ROUND(MinBase1Day*(1+ExpressFuelSurcharge),2),ROUND(((1-(OverNightDiscount_21_Up+FedExExrpessEarnedDiscount))*'1Day Base'!H84)*(1+ExpressFuelSurcharge),2))*(1+FedEx_Markup),2)</f>
        <v>396.8</v>
      </c>
    </row>
    <row r="88" spans="1:26" ht="12.75" customHeight="1">
      <c r="A88" s="217">
        <v>83</v>
      </c>
      <c r="B88" s="218">
        <f>ROUND(IF(MinBase1Day&gt;ROUND(((1-(OverNightDiscount_21_Up+FedExExrpessEarnedDiscount))*'1Day Base'!B85),2),ROUND(MinBase1Day*(1+ExpressFuelSurcharge),2),ROUND(((1-(OverNightDiscount_21_Up+FedExExrpessEarnedDiscount))*'1Day Base'!B85)*(1+ExpressFuelSurcharge),2))*(1+FedEx_Markup),2)</f>
        <v>124.4</v>
      </c>
      <c r="C88" s="218">
        <f>ROUND(IF(MinBase1Day&gt;ROUND(((1-(OverNightDiscount_21_Up+FedExExrpessEarnedDiscount))*'1Day Base'!C85),2),ROUND(MinBase1Day*(1+ExpressFuelSurcharge),2),ROUND(((1-(OverNightDiscount_21_Up+FedExExrpessEarnedDiscount))*'1Day Base'!C85)*(1+ExpressFuelSurcharge),2))*(1+FedEx_Markup),2)</f>
        <v>182.7</v>
      </c>
      <c r="D88" s="218">
        <f>ROUND(IF(MinBase1Day&gt;ROUND(((1-(OverNightDiscount_21_Up+FedExExrpessEarnedDiscount))*'1Day Base'!D85),2),ROUND(MinBase1Day*(1+ExpressFuelSurcharge),2),ROUND(((1-(OverNightDiscount_21_Up+FedExExrpessEarnedDiscount))*'1Day Base'!D85)*(1+ExpressFuelSurcharge),2))*(1+FedEx_Markup),2)</f>
        <v>307.83999999999997</v>
      </c>
      <c r="E88" s="218">
        <f>ROUND(IF(MinBase1Day&gt;ROUND(((1-(OverNightDiscount_21_Up+FedExExrpessEarnedDiscount))*'1Day Base'!E85),2),ROUND(MinBase1Day*(1+ExpressFuelSurcharge),2),ROUND(((1-(OverNightDiscount_21_Up+FedExExrpessEarnedDiscount))*'1Day Base'!E85)*(1+ExpressFuelSurcharge),2))*(1+FedEx_Markup),2)</f>
        <v>348.42</v>
      </c>
      <c r="F88" s="218">
        <f>ROUND(IF(MinBase1Day&gt;ROUND(((1-(OverNightDiscount_21_Up+FedExExrpessEarnedDiscount))*'1Day Base'!F85),2),ROUND(MinBase1Day*(1+ExpressFuelSurcharge),2),ROUND(((1-(OverNightDiscount_21_Up+FedExExrpessEarnedDiscount))*'1Day Base'!F85)*(1+ExpressFuelSurcharge),2))*(1+FedEx_Markup),2)</f>
        <v>356.24</v>
      </c>
      <c r="G88" s="218">
        <f>ROUND(IF(MinBase1Day&gt;ROUND(((1-(OverNightDiscount_21_Up+FedExExrpessEarnedDiscount))*'1Day Base'!G85),2),ROUND(MinBase1Day*(1+ExpressFuelSurcharge),2),ROUND(((1-(OverNightDiscount_21_Up+FedExExrpessEarnedDiscount))*'1Day Base'!G85)*(1+ExpressFuelSurcharge),2))*(1+FedEx_Markup),2)</f>
        <v>389.34</v>
      </c>
      <c r="H88" s="218">
        <f>ROUND(IF(MinBase1Day&gt;ROUND(((1-(OverNightDiscount_21_Up+FedExExrpessEarnedDiscount))*'1Day Base'!H85),2),ROUND(MinBase1Day*(1+ExpressFuelSurcharge),2),ROUND(((1-(OverNightDiscount_21_Up+FedExExrpessEarnedDiscount))*'1Day Base'!H85)*(1+ExpressFuelSurcharge),2))*(1+FedEx_Markup),2)</f>
        <v>397.31</v>
      </c>
    </row>
    <row r="89" spans="1:26" ht="13.5" customHeight="1">
      <c r="A89" s="217">
        <v>84</v>
      </c>
      <c r="B89" s="218">
        <f>ROUND(IF(MinBase1Day&gt;ROUND(((1-(OverNightDiscount_21_Up+FedExExrpessEarnedDiscount))*'1Day Base'!B86),2),ROUND(MinBase1Day*(1+ExpressFuelSurcharge),2),ROUND(((1-(OverNightDiscount_21_Up+FedExExrpessEarnedDiscount))*'1Day Base'!B86)*(1+ExpressFuelSurcharge),2))*(1+FedEx_Markup),2)</f>
        <v>124.76</v>
      </c>
      <c r="C89" s="218">
        <f>ROUND(IF(MinBase1Day&gt;ROUND(((1-(OverNightDiscount_21_Up+FedExExrpessEarnedDiscount))*'1Day Base'!C86),2),ROUND(MinBase1Day*(1+ExpressFuelSurcharge),2),ROUND(((1-(OverNightDiscount_21_Up+FedExExrpessEarnedDiscount))*'1Day Base'!C86)*(1+ExpressFuelSurcharge),2))*(1+FedEx_Markup),2)</f>
        <v>183.06</v>
      </c>
      <c r="D89" s="218">
        <f>ROUND(IF(MinBase1Day&gt;ROUND(((1-(OverNightDiscount_21_Up+FedExExrpessEarnedDiscount))*'1Day Base'!D86),2),ROUND(MinBase1Day*(1+ExpressFuelSurcharge),2),ROUND(((1-(OverNightDiscount_21_Up+FedExExrpessEarnedDiscount))*'1Day Base'!D86)*(1+ExpressFuelSurcharge),2))*(1+FedEx_Markup),2)</f>
        <v>308.2</v>
      </c>
      <c r="E89" s="218">
        <f>ROUND(IF(MinBase1Day&gt;ROUND(((1-(OverNightDiscount_21_Up+FedExExrpessEarnedDiscount))*'1Day Base'!E86),2),ROUND(MinBase1Day*(1+ExpressFuelSurcharge),2),ROUND(((1-(OverNightDiscount_21_Up+FedExExrpessEarnedDiscount))*'1Day Base'!E86)*(1+ExpressFuelSurcharge),2))*(1+FedEx_Markup),2)</f>
        <v>348.92</v>
      </c>
      <c r="F89" s="218">
        <f>ROUND(IF(MinBase1Day&gt;ROUND(((1-(OverNightDiscount_21_Up+FedExExrpessEarnedDiscount))*'1Day Base'!F86),2),ROUND(MinBase1Day*(1+ExpressFuelSurcharge),2),ROUND(((1-(OverNightDiscount_21_Up+FedExExrpessEarnedDiscount))*'1Day Base'!F86)*(1+ExpressFuelSurcharge),2))*(1+FedEx_Markup),2)</f>
        <v>356.75</v>
      </c>
      <c r="G89" s="218">
        <f>ROUND(IF(MinBase1Day&gt;ROUND(((1-(OverNightDiscount_21_Up+FedExExrpessEarnedDiscount))*'1Day Base'!G86),2),ROUND(MinBase1Day*(1+ExpressFuelSurcharge),2),ROUND(((1-(OverNightDiscount_21_Up+FedExExrpessEarnedDiscount))*'1Day Base'!G86)*(1+ExpressFuelSurcharge),2))*(1+FedEx_Markup),2)</f>
        <v>397.49</v>
      </c>
      <c r="H89" s="218">
        <f>ROUND(IF(MinBase1Day&gt;ROUND(((1-(OverNightDiscount_21_Up+FedExExrpessEarnedDiscount))*'1Day Base'!H86),2),ROUND(MinBase1Day*(1+ExpressFuelSurcharge),2),ROUND(((1-(OverNightDiscount_21_Up+FedExExrpessEarnedDiscount))*'1Day Base'!H86)*(1+ExpressFuelSurcharge),2))*(1+FedEx_Markup),2)</f>
        <v>405.64</v>
      </c>
    </row>
    <row r="90" spans="1:26" ht="13.5" customHeight="1">
      <c r="A90" s="217">
        <v>85</v>
      </c>
      <c r="B90" s="218">
        <f>ROUND(IF(MinBase1Day&gt;ROUND(((1-(OverNightDiscount_21_Up+FedExExrpessEarnedDiscount))*'1Day Base'!B87),2),ROUND(MinBase1Day*(1+ExpressFuelSurcharge),2),ROUND(((1-(OverNightDiscount_21_Up+FedExExrpessEarnedDiscount))*'1Day Base'!B87)*(1+ExpressFuelSurcharge),2))*(1+FedEx_Markup),2)</f>
        <v>125.12</v>
      </c>
      <c r="C90" s="218">
        <f>ROUND(IF(MinBase1Day&gt;ROUND(((1-(OverNightDiscount_21_Up+FedExExrpessEarnedDiscount))*'1Day Base'!C87),2),ROUND(MinBase1Day*(1+ExpressFuelSurcharge),2),ROUND(((1-(OverNightDiscount_21_Up+FedExExrpessEarnedDiscount))*'1Day Base'!C87)*(1+ExpressFuelSurcharge),2))*(1+FedEx_Markup),2)</f>
        <v>183.44</v>
      </c>
      <c r="D90" s="218">
        <f>ROUND(IF(MinBase1Day&gt;ROUND(((1-(OverNightDiscount_21_Up+FedExExrpessEarnedDiscount))*'1Day Base'!D87),2),ROUND(MinBase1Day*(1+ExpressFuelSurcharge),2),ROUND(((1-(OverNightDiscount_21_Up+FedExExrpessEarnedDiscount))*'1Day Base'!D87)*(1+ExpressFuelSurcharge),2))*(1+FedEx_Markup),2)</f>
        <v>308.70999999999998</v>
      </c>
      <c r="E90" s="218">
        <f>ROUND(IF(MinBase1Day&gt;ROUND(((1-(OverNightDiscount_21_Up+FedExExrpessEarnedDiscount))*'1Day Base'!E87),2),ROUND(MinBase1Day*(1+ExpressFuelSurcharge),2),ROUND(((1-(OverNightDiscount_21_Up+FedExExrpessEarnedDiscount))*'1Day Base'!E87)*(1+ExpressFuelSurcharge),2))*(1+FedEx_Markup),2)</f>
        <v>349.43</v>
      </c>
      <c r="F90" s="218">
        <f>ROUND(IF(MinBase1Day&gt;ROUND(((1-(OverNightDiscount_21_Up+FedExExrpessEarnedDiscount))*'1Day Base'!F87),2),ROUND(MinBase1Day*(1+ExpressFuelSurcharge),2),ROUND(((1-(OverNightDiscount_21_Up+FedExExrpessEarnedDiscount))*'1Day Base'!F87)*(1+ExpressFuelSurcharge),2))*(1+FedEx_Markup),2)</f>
        <v>357.25</v>
      </c>
      <c r="G90" s="218">
        <f>ROUND(IF(MinBase1Day&gt;ROUND(((1-(OverNightDiscount_21_Up+FedExExrpessEarnedDiscount))*'1Day Base'!G87),2),ROUND(MinBase1Day*(1+ExpressFuelSurcharge),2),ROUND(((1-(OverNightDiscount_21_Up+FedExExrpessEarnedDiscount))*'1Day Base'!G87)*(1+ExpressFuelSurcharge),2))*(1+FedEx_Markup),2)</f>
        <v>398.3</v>
      </c>
      <c r="H90" s="218">
        <f>ROUND(IF(MinBase1Day&gt;ROUND(((1-(OverNightDiscount_21_Up+FedExExrpessEarnedDiscount))*'1Day Base'!H87),2),ROUND(MinBase1Day*(1+ExpressFuelSurcharge),2),ROUND(((1-(OverNightDiscount_21_Up+FedExExrpessEarnedDiscount))*'1Day Base'!H87)*(1+ExpressFuelSurcharge),2))*(1+FedEx_Markup),2)</f>
        <v>406.48</v>
      </c>
    </row>
    <row r="91" spans="1:26" ht="13.5" customHeight="1">
      <c r="A91" s="217">
        <v>86</v>
      </c>
      <c r="B91" s="218">
        <f>ROUND(IF(MinBase1Day&gt;ROUND(((1-(OverNightDiscount_21_Up+FedExExrpessEarnedDiscount))*'1Day Base'!B88),2),ROUND(MinBase1Day*(1+ExpressFuelSurcharge),2),ROUND(((1-(OverNightDiscount_21_Up+FedExExrpessEarnedDiscount))*'1Day Base'!B88)*(1+ExpressFuelSurcharge),2))*(1+FedEx_Markup),2)</f>
        <v>126.45</v>
      </c>
      <c r="C91" s="218">
        <f>ROUND(IF(MinBase1Day&gt;ROUND(((1-(OverNightDiscount_21_Up+FedExExrpessEarnedDiscount))*'1Day Base'!C88),2),ROUND(MinBase1Day*(1+ExpressFuelSurcharge),2),ROUND(((1-(OverNightDiscount_21_Up+FedExExrpessEarnedDiscount))*'1Day Base'!C88)*(1+ExpressFuelSurcharge),2))*(1+FedEx_Markup),2)</f>
        <v>183.83</v>
      </c>
      <c r="D91" s="218">
        <f>ROUND(IF(MinBase1Day&gt;ROUND(((1-(OverNightDiscount_21_Up+FedExExrpessEarnedDiscount))*'1Day Base'!D88),2),ROUND(MinBase1Day*(1+ExpressFuelSurcharge),2),ROUND(((1-(OverNightDiscount_21_Up+FedExExrpessEarnedDiscount))*'1Day Base'!D88)*(1+ExpressFuelSurcharge),2))*(1+FedEx_Markup),2)</f>
        <v>309.61</v>
      </c>
      <c r="E91" s="218">
        <f>ROUND(IF(MinBase1Day&gt;ROUND(((1-(OverNightDiscount_21_Up+FedExExrpessEarnedDiscount))*'1Day Base'!E88),2),ROUND(MinBase1Day*(1+ExpressFuelSurcharge),2),ROUND(((1-(OverNightDiscount_21_Up+FedExExrpessEarnedDiscount))*'1Day Base'!E88)*(1+ExpressFuelSurcharge),2))*(1+FedEx_Markup),2)</f>
        <v>350.73</v>
      </c>
      <c r="F91" s="218">
        <f>ROUND(IF(MinBase1Day&gt;ROUND(((1-(OverNightDiscount_21_Up+FedExExrpessEarnedDiscount))*'1Day Base'!F88),2),ROUND(MinBase1Day*(1+ExpressFuelSurcharge),2),ROUND(((1-(OverNightDiscount_21_Up+FedExExrpessEarnedDiscount))*'1Day Base'!F88)*(1+ExpressFuelSurcharge),2))*(1+FedEx_Markup),2)</f>
        <v>357.94</v>
      </c>
      <c r="G91" s="218">
        <f>ROUND(IF(MinBase1Day&gt;ROUND(((1-(OverNightDiscount_21_Up+FedExExrpessEarnedDiscount))*'1Day Base'!G88),2),ROUND(MinBase1Day*(1+ExpressFuelSurcharge),2),ROUND(((1-(OverNightDiscount_21_Up+FedExExrpessEarnedDiscount))*'1Day Base'!G88)*(1+ExpressFuelSurcharge),2))*(1+FedEx_Markup),2)</f>
        <v>398.8</v>
      </c>
      <c r="H91" s="218">
        <f>ROUND(IF(MinBase1Day&gt;ROUND(((1-(OverNightDiscount_21_Up+FedExExrpessEarnedDiscount))*'1Day Base'!H88),2),ROUND(MinBase1Day*(1+ExpressFuelSurcharge),2),ROUND(((1-(OverNightDiscount_21_Up+FedExExrpessEarnedDiscount))*'1Day Base'!H88)*(1+ExpressFuelSurcharge),2))*(1+FedEx_Markup),2)</f>
        <v>406.96</v>
      </c>
    </row>
    <row r="92" spans="1:26" ht="13.5" customHeight="1">
      <c r="A92" s="217">
        <v>87</v>
      </c>
      <c r="B92" s="218">
        <f>ROUND(IF(MinBase1Day&gt;ROUND(((1-(OverNightDiscount_21_Up+FedExExrpessEarnedDiscount))*'1Day Base'!B89),2),ROUND(MinBase1Day*(1+ExpressFuelSurcharge),2),ROUND(((1-(OverNightDiscount_21_Up+FedExExrpessEarnedDiscount))*'1Day Base'!B89)*(1+ExpressFuelSurcharge),2))*(1+FedEx_Markup),2)</f>
        <v>127.08</v>
      </c>
      <c r="C92" s="218">
        <f>ROUND(IF(MinBase1Day&gt;ROUND(((1-(OverNightDiscount_21_Up+FedExExrpessEarnedDiscount))*'1Day Base'!C89),2),ROUND(MinBase1Day*(1+ExpressFuelSurcharge),2),ROUND(((1-(OverNightDiscount_21_Up+FedExExrpessEarnedDiscount))*'1Day Base'!C89)*(1+ExpressFuelSurcharge),2))*(1+FedEx_Markup),2)</f>
        <v>184.21</v>
      </c>
      <c r="D92" s="218">
        <f>ROUND(IF(MinBase1Day&gt;ROUND(((1-(OverNightDiscount_21_Up+FedExExrpessEarnedDiscount))*'1Day Base'!D89),2),ROUND(MinBase1Day*(1+ExpressFuelSurcharge),2),ROUND(((1-(OverNightDiscount_21_Up+FedExExrpessEarnedDiscount))*'1Day Base'!D89)*(1+ExpressFuelSurcharge),2))*(1+FedEx_Markup),2)</f>
        <v>321.06</v>
      </c>
      <c r="E92" s="218">
        <f>ROUND(IF(MinBase1Day&gt;ROUND(((1-(OverNightDiscount_21_Up+FedExExrpessEarnedDiscount))*'1Day Base'!E89),2),ROUND(MinBase1Day*(1+ExpressFuelSurcharge),2),ROUND(((1-(OverNightDiscount_21_Up+FedExExrpessEarnedDiscount))*'1Day Base'!E89)*(1+ExpressFuelSurcharge),2))*(1+FedEx_Markup),2)</f>
        <v>352.33</v>
      </c>
      <c r="F92" s="218">
        <f>ROUND(IF(MinBase1Day&gt;ROUND(((1-(OverNightDiscount_21_Up+FedExExrpessEarnedDiscount))*'1Day Base'!F89),2),ROUND(MinBase1Day*(1+ExpressFuelSurcharge),2),ROUND(((1-(OverNightDiscount_21_Up+FedExExrpessEarnedDiscount))*'1Day Base'!F89)*(1+ExpressFuelSurcharge),2))*(1+FedEx_Markup),2)</f>
        <v>359.57</v>
      </c>
      <c r="G92" s="218">
        <f>ROUND(IF(MinBase1Day&gt;ROUND(((1-(OverNightDiscount_21_Up+FedExExrpessEarnedDiscount))*'1Day Base'!G89),2),ROUND(MinBase1Day*(1+ExpressFuelSurcharge),2),ROUND(((1-(OverNightDiscount_21_Up+FedExExrpessEarnedDiscount))*'1Day Base'!G89)*(1+ExpressFuelSurcharge),2))*(1+FedEx_Markup),2)</f>
        <v>399.42</v>
      </c>
      <c r="H92" s="218">
        <f>ROUND(IF(MinBase1Day&gt;ROUND(((1-(OverNightDiscount_21_Up+FedExExrpessEarnedDiscount))*'1Day Base'!H89),2),ROUND(MinBase1Day*(1+ExpressFuelSurcharge),2),ROUND(((1-(OverNightDiscount_21_Up+FedExExrpessEarnedDiscount))*'1Day Base'!H89)*(1+ExpressFuelSurcharge),2))*(1+FedEx_Markup),2)</f>
        <v>407.41</v>
      </c>
    </row>
    <row r="93" spans="1:26" ht="13.5" customHeight="1">
      <c r="A93" s="217">
        <v>88</v>
      </c>
      <c r="B93" s="218">
        <f>ROUND(IF(MinBase1Day&gt;ROUND(((1-(OverNightDiscount_21_Up+FedExExrpessEarnedDiscount))*'1Day Base'!B90),2),ROUND(MinBase1Day*(1+ExpressFuelSurcharge),2),ROUND(((1-(OverNightDiscount_21_Up+FedExExrpessEarnedDiscount))*'1Day Base'!B90)*(1+ExpressFuelSurcharge),2))*(1+FedEx_Markup),2)</f>
        <v>128.91999999999999</v>
      </c>
      <c r="C93" s="218">
        <f>ROUND(IF(MinBase1Day&gt;ROUND(((1-(OverNightDiscount_21_Up+FedExExrpessEarnedDiscount))*'1Day Base'!C90),2),ROUND(MinBase1Day*(1+ExpressFuelSurcharge),2),ROUND(((1-(OverNightDiscount_21_Up+FedExExrpessEarnedDiscount))*'1Day Base'!C90)*(1+ExpressFuelSurcharge),2))*(1+FedEx_Markup),2)</f>
        <v>184.59</v>
      </c>
      <c r="D93" s="218">
        <f>ROUND(IF(MinBase1Day&gt;ROUND(((1-(OverNightDiscount_21_Up+FedExExrpessEarnedDiscount))*'1Day Base'!D90),2),ROUND(MinBase1Day*(1+ExpressFuelSurcharge),2),ROUND(((1-(OverNightDiscount_21_Up+FedExExrpessEarnedDiscount))*'1Day Base'!D90)*(1+ExpressFuelSurcharge),2))*(1+FedEx_Markup),2)</f>
        <v>322.22000000000003</v>
      </c>
      <c r="E93" s="218">
        <f>ROUND(IF(MinBase1Day&gt;ROUND(((1-(OverNightDiscount_21_Up+FedExExrpessEarnedDiscount))*'1Day Base'!E90),2),ROUND(MinBase1Day*(1+ExpressFuelSurcharge),2),ROUND(((1-(OverNightDiscount_21_Up+FedExExrpessEarnedDiscount))*'1Day Base'!E90)*(1+ExpressFuelSurcharge),2))*(1+FedEx_Markup),2)</f>
        <v>353.44</v>
      </c>
      <c r="F93" s="218">
        <f>ROUND(IF(MinBase1Day&gt;ROUND(((1-(OverNightDiscount_21_Up+FedExExrpessEarnedDiscount))*'1Day Base'!F90),2),ROUND(MinBase1Day*(1+ExpressFuelSurcharge),2),ROUND(((1-(OverNightDiscount_21_Up+FedExExrpessEarnedDiscount))*'1Day Base'!F90)*(1+ExpressFuelSurcharge),2))*(1+FedEx_Markup),2)</f>
        <v>360.51</v>
      </c>
      <c r="G93" s="218">
        <f>ROUND(IF(MinBase1Day&gt;ROUND(((1-(OverNightDiscount_21_Up+FedExExrpessEarnedDiscount))*'1Day Base'!G90),2),ROUND(MinBase1Day*(1+ExpressFuelSurcharge),2),ROUND(((1-(OverNightDiscount_21_Up+FedExExrpessEarnedDiscount))*'1Day Base'!G90)*(1+ExpressFuelSurcharge),2))*(1+FedEx_Markup),2)</f>
        <v>400.97</v>
      </c>
      <c r="H93" s="218">
        <f>ROUND(IF(MinBase1Day&gt;ROUND(((1-(OverNightDiscount_21_Up+FedExExrpessEarnedDiscount))*'1Day Base'!H90),2),ROUND(MinBase1Day*(1+ExpressFuelSurcharge),2),ROUND(((1-(OverNightDiscount_21_Up+FedExExrpessEarnedDiscount))*'1Day Base'!H90)*(1+ExpressFuelSurcharge),2))*(1+FedEx_Markup),2)</f>
        <v>409.64</v>
      </c>
    </row>
    <row r="94" spans="1:26" ht="13.5" customHeight="1">
      <c r="A94" s="217">
        <v>89</v>
      </c>
      <c r="B94" s="218">
        <f>ROUND(IF(MinBase1Day&gt;ROUND(((1-(OverNightDiscount_21_Up+FedExExrpessEarnedDiscount))*'1Day Base'!B91),2),ROUND(MinBase1Day*(1+ExpressFuelSurcharge),2),ROUND(((1-(OverNightDiscount_21_Up+FedExExrpessEarnedDiscount))*'1Day Base'!B91)*(1+ExpressFuelSurcharge),2))*(1+FedEx_Markup),2)</f>
        <v>129.27000000000001</v>
      </c>
      <c r="C94" s="218">
        <f>ROUND(IF(MinBase1Day&gt;ROUND(((1-(OverNightDiscount_21_Up+FedExExrpessEarnedDiscount))*'1Day Base'!C91),2),ROUND(MinBase1Day*(1+ExpressFuelSurcharge),2),ROUND(((1-(OverNightDiscount_21_Up+FedExExrpessEarnedDiscount))*'1Day Base'!C91)*(1+ExpressFuelSurcharge),2))*(1+FedEx_Markup),2)</f>
        <v>184.97</v>
      </c>
      <c r="D94" s="218">
        <f>ROUND(IF(MinBase1Day&gt;ROUND(((1-(OverNightDiscount_21_Up+FedExExrpessEarnedDiscount))*'1Day Base'!D91),2),ROUND(MinBase1Day*(1+ExpressFuelSurcharge),2),ROUND(((1-(OverNightDiscount_21_Up+FedExExrpessEarnedDiscount))*'1Day Base'!D91)*(1+ExpressFuelSurcharge),2))*(1+FedEx_Markup),2)</f>
        <v>331.14</v>
      </c>
      <c r="E94" s="218">
        <f>ROUND(IF(MinBase1Day&gt;ROUND(((1-(OverNightDiscount_21_Up+FedExExrpessEarnedDiscount))*'1Day Base'!E91),2),ROUND(MinBase1Day*(1+ExpressFuelSurcharge),2),ROUND(((1-(OverNightDiscount_21_Up+FedExExrpessEarnedDiscount))*'1Day Base'!E91)*(1+ExpressFuelSurcharge),2))*(1+FedEx_Markup),2)</f>
        <v>363.62</v>
      </c>
      <c r="F94" s="218">
        <f>ROUND(IF(MinBase1Day&gt;ROUND(((1-(OverNightDiscount_21_Up+FedExExrpessEarnedDiscount))*'1Day Base'!F91),2),ROUND(MinBase1Day*(1+ExpressFuelSurcharge),2),ROUND(((1-(OverNightDiscount_21_Up+FedExExrpessEarnedDiscount))*'1Day Base'!F91)*(1+ExpressFuelSurcharge),2))*(1+FedEx_Markup),2)</f>
        <v>379.28</v>
      </c>
      <c r="G94" s="218">
        <f>ROUND(IF(MinBase1Day&gt;ROUND(((1-(OverNightDiscount_21_Up+FedExExrpessEarnedDiscount))*'1Day Base'!G91),2),ROUND(MinBase1Day*(1+ExpressFuelSurcharge),2),ROUND(((1-(OverNightDiscount_21_Up+FedExExrpessEarnedDiscount))*'1Day Base'!G91)*(1+ExpressFuelSurcharge),2))*(1+FedEx_Markup),2)</f>
        <v>431.72</v>
      </c>
      <c r="H94" s="218">
        <f>ROUND(IF(MinBase1Day&gt;ROUND(((1-(OverNightDiscount_21_Up+FedExExrpessEarnedDiscount))*'1Day Base'!H91),2),ROUND(MinBase1Day*(1+ExpressFuelSurcharge),2),ROUND(((1-(OverNightDiscount_21_Up+FedExExrpessEarnedDiscount))*'1Day Base'!H91)*(1+ExpressFuelSurcharge),2))*(1+FedEx_Markup),2)</f>
        <v>448.66</v>
      </c>
    </row>
    <row r="95" spans="1:26" ht="13.5" customHeight="1">
      <c r="A95" s="217">
        <v>90</v>
      </c>
      <c r="B95" s="218">
        <f>ROUND(IF(MinBase1Day&gt;ROUND(((1-(OverNightDiscount_21_Up+FedExExrpessEarnedDiscount))*'1Day Base'!B92),2),ROUND(MinBase1Day*(1+ExpressFuelSurcharge),2),ROUND(((1-(OverNightDiscount_21_Up+FedExExrpessEarnedDiscount))*'1Day Base'!B92)*(1+ExpressFuelSurcharge),2))*(1+FedEx_Markup),2)</f>
        <v>129.63</v>
      </c>
      <c r="C95" s="218">
        <f>ROUND(IF(MinBase1Day&gt;ROUND(((1-(OverNightDiscount_21_Up+FedExExrpessEarnedDiscount))*'1Day Base'!C92),2),ROUND(MinBase1Day*(1+ExpressFuelSurcharge),2),ROUND(((1-(OverNightDiscount_21_Up+FedExExrpessEarnedDiscount))*'1Day Base'!C92)*(1+ExpressFuelSurcharge),2))*(1+FedEx_Markup),2)</f>
        <v>185.36</v>
      </c>
      <c r="D95" s="218">
        <f>ROUND(IF(MinBase1Day&gt;ROUND(((1-(OverNightDiscount_21_Up+FedExExrpessEarnedDiscount))*'1Day Base'!D92),2),ROUND(MinBase1Day*(1+ExpressFuelSurcharge),2),ROUND(((1-(OverNightDiscount_21_Up+FedExExrpessEarnedDiscount))*'1Day Base'!D92)*(1+ExpressFuelSurcharge),2))*(1+FedEx_Markup),2)</f>
        <v>334.77</v>
      </c>
      <c r="E95" s="218">
        <f>ROUND(IF(MinBase1Day&gt;ROUND(((1-(OverNightDiscount_21_Up+FedExExrpessEarnedDiscount))*'1Day Base'!E92),2),ROUND(MinBase1Day*(1+ExpressFuelSurcharge),2),ROUND(((1-(OverNightDiscount_21_Up+FedExExrpessEarnedDiscount))*'1Day Base'!E92)*(1+ExpressFuelSurcharge),2))*(1+FedEx_Markup),2)</f>
        <v>365.79</v>
      </c>
      <c r="F95" s="218">
        <f>ROUND(IF(MinBase1Day&gt;ROUND(((1-(OverNightDiscount_21_Up+FedExExrpessEarnedDiscount))*'1Day Base'!F92),2),ROUND(MinBase1Day*(1+ExpressFuelSurcharge),2),ROUND(((1-(OverNightDiscount_21_Up+FedExExrpessEarnedDiscount))*'1Day Base'!F92)*(1+ExpressFuelSurcharge),2))*(1+FedEx_Markup),2)</f>
        <v>384.13</v>
      </c>
      <c r="G95" s="218">
        <f>ROUND(IF(MinBase1Day&gt;ROUND(((1-(OverNightDiscount_21_Up+FedExExrpessEarnedDiscount))*'1Day Base'!G92),2),ROUND(MinBase1Day*(1+ExpressFuelSurcharge),2),ROUND(((1-(OverNightDiscount_21_Up+FedExExrpessEarnedDiscount))*'1Day Base'!G92)*(1+ExpressFuelSurcharge),2))*(1+FedEx_Markup),2)</f>
        <v>443.49</v>
      </c>
      <c r="H95" s="218">
        <f>ROUND(IF(MinBase1Day&gt;ROUND(((1-(OverNightDiscount_21_Up+FedExExrpessEarnedDiscount))*'1Day Base'!H92),2),ROUND(MinBase1Day*(1+ExpressFuelSurcharge),2),ROUND(((1-(OverNightDiscount_21_Up+FedExExrpessEarnedDiscount))*'1Day Base'!H92)*(1+ExpressFuelSurcharge),2))*(1+FedEx_Markup),2)</f>
        <v>452.56</v>
      </c>
    </row>
    <row r="96" spans="1:26" ht="13.5" customHeight="1">
      <c r="A96" s="217">
        <v>91</v>
      </c>
      <c r="B96" s="218">
        <f>ROUND(IF(MinBase1Day&gt;ROUND(((1-(OverNightDiscount_21_Up+FedExExrpessEarnedDiscount))*'1Day Base'!B93),2),ROUND(MinBase1Day*(1+ExpressFuelSurcharge),2),ROUND(((1-(OverNightDiscount_21_Up+FedExExrpessEarnedDiscount))*'1Day Base'!B93)*(1+ExpressFuelSurcharge),2))*(1+FedEx_Markup),2)</f>
        <v>130.01</v>
      </c>
      <c r="C96" s="218">
        <f>ROUND(IF(MinBase1Day&gt;ROUND(((1-(OverNightDiscount_21_Up+FedExExrpessEarnedDiscount))*'1Day Base'!C93),2),ROUND(MinBase1Day*(1+ExpressFuelSurcharge),2),ROUND(((1-(OverNightDiscount_21_Up+FedExExrpessEarnedDiscount))*'1Day Base'!C93)*(1+ExpressFuelSurcharge),2))*(1+FedEx_Markup),2)</f>
        <v>185.74</v>
      </c>
      <c r="D96" s="218">
        <f>ROUND(IF(MinBase1Day&gt;ROUND(((1-(OverNightDiscount_21_Up+FedExExrpessEarnedDiscount))*'1Day Base'!D93),2),ROUND(MinBase1Day*(1+ExpressFuelSurcharge),2),ROUND(((1-(OverNightDiscount_21_Up+FedExExrpessEarnedDiscount))*'1Day Base'!D93)*(1+ExpressFuelSurcharge),2))*(1+FedEx_Markup),2)</f>
        <v>335.54</v>
      </c>
      <c r="E96" s="218">
        <f>ROUND(IF(MinBase1Day&gt;ROUND(((1-(OverNightDiscount_21_Up+FedExExrpessEarnedDiscount))*'1Day Base'!E93),2),ROUND(MinBase1Day*(1+ExpressFuelSurcharge),2),ROUND(((1-(OverNightDiscount_21_Up+FedExExrpessEarnedDiscount))*'1Day Base'!E93)*(1+ExpressFuelSurcharge),2))*(1+FedEx_Markup),2)</f>
        <v>371.42</v>
      </c>
      <c r="F96" s="218">
        <f>ROUND(IF(MinBase1Day&gt;ROUND(((1-(OverNightDiscount_21_Up+FedExExrpessEarnedDiscount))*'1Day Base'!F93),2),ROUND(MinBase1Day*(1+ExpressFuelSurcharge),2),ROUND(((1-(OverNightDiscount_21_Up+FedExExrpessEarnedDiscount))*'1Day Base'!F93)*(1+ExpressFuelSurcharge),2))*(1+FedEx_Markup),2)</f>
        <v>384.63</v>
      </c>
      <c r="G96" s="218">
        <f>ROUND(IF(MinBase1Day&gt;ROUND(((1-(OverNightDiscount_21_Up+FedExExrpessEarnedDiscount))*'1Day Base'!G93),2),ROUND(MinBase1Day*(1+ExpressFuelSurcharge),2),ROUND(((1-(OverNightDiscount_21_Up+FedExExrpessEarnedDiscount))*'1Day Base'!G93)*(1+ExpressFuelSurcharge),2))*(1+FedEx_Markup),2)</f>
        <v>444.66</v>
      </c>
      <c r="H96" s="218">
        <f>ROUND(IF(MinBase1Day&gt;ROUND(((1-(OverNightDiscount_21_Up+FedExExrpessEarnedDiscount))*'1Day Base'!H93),2),ROUND(MinBase1Day*(1+ExpressFuelSurcharge),2),ROUND(((1-(OverNightDiscount_21_Up+FedExExrpessEarnedDiscount))*'1Day Base'!H93)*(1+ExpressFuelSurcharge),2))*(1+FedEx_Markup),2)</f>
        <v>458.92</v>
      </c>
    </row>
    <row r="97" spans="1:8" ht="13.5" customHeight="1">
      <c r="A97" s="217">
        <v>92</v>
      </c>
      <c r="B97" s="218">
        <f>ROUND(IF(MinBase1Day&gt;ROUND(((1-(OverNightDiscount_21_Up+FedExExrpessEarnedDiscount))*'1Day Base'!B94),2),ROUND(MinBase1Day*(1+ExpressFuelSurcharge),2),ROUND(((1-(OverNightDiscount_21_Up+FedExExrpessEarnedDiscount))*'1Day Base'!B94)*(1+ExpressFuelSurcharge),2))*(1+FedEx_Markup),2)</f>
        <v>130.38999999999999</v>
      </c>
      <c r="C97" s="218">
        <f>ROUND(IF(MinBase1Day&gt;ROUND(((1-(OverNightDiscount_21_Up+FedExExrpessEarnedDiscount))*'1Day Base'!C94),2),ROUND(MinBase1Day*(1+ExpressFuelSurcharge),2),ROUND(((1-(OverNightDiscount_21_Up+FedExExrpessEarnedDiscount))*'1Day Base'!C94)*(1+ExpressFuelSurcharge),2))*(1+FedEx_Markup),2)</f>
        <v>186.12</v>
      </c>
      <c r="D97" s="218">
        <f>ROUND(IF(MinBase1Day&gt;ROUND(((1-(OverNightDiscount_21_Up+FedExExrpessEarnedDiscount))*'1Day Base'!D94),2),ROUND(MinBase1Day*(1+ExpressFuelSurcharge),2),ROUND(((1-(OverNightDiscount_21_Up+FedExExrpessEarnedDiscount))*'1Day Base'!D94)*(1+ExpressFuelSurcharge),2))*(1+FedEx_Markup),2)</f>
        <v>335.92</v>
      </c>
      <c r="E97" s="218">
        <f>ROUND(IF(MinBase1Day&gt;ROUND(((1-(OverNightDiscount_21_Up+FedExExrpessEarnedDiscount))*'1Day Base'!E94),2),ROUND(MinBase1Day*(1+ExpressFuelSurcharge),2),ROUND(((1-(OverNightDiscount_21_Up+FedExExrpessEarnedDiscount))*'1Day Base'!E94)*(1+ExpressFuelSurcharge),2))*(1+FedEx_Markup),2)</f>
        <v>371.99</v>
      </c>
      <c r="F97" s="218">
        <f>ROUND(IF(MinBase1Day&gt;ROUND(((1-(OverNightDiscount_21_Up+FedExExrpessEarnedDiscount))*'1Day Base'!F94),2),ROUND(MinBase1Day*(1+ExpressFuelSurcharge),2),ROUND(((1-(OverNightDiscount_21_Up+FedExExrpessEarnedDiscount))*'1Day Base'!F94)*(1+ExpressFuelSurcharge),2))*(1+FedEx_Markup),2)</f>
        <v>385.12</v>
      </c>
      <c r="G97" s="218">
        <f>ROUND(IF(MinBase1Day&gt;ROUND(((1-(OverNightDiscount_21_Up+FedExExrpessEarnedDiscount))*'1Day Base'!G94),2),ROUND(MinBase1Day*(1+ExpressFuelSurcharge),2),ROUND(((1-(OverNightDiscount_21_Up+FedExExrpessEarnedDiscount))*'1Day Base'!G94)*(1+ExpressFuelSurcharge),2))*(1+FedEx_Markup),2)</f>
        <v>445.04</v>
      </c>
      <c r="H97" s="218">
        <f>ROUND(IF(MinBase1Day&gt;ROUND(((1-(OverNightDiscount_21_Up+FedExExrpessEarnedDiscount))*'1Day Base'!H94),2),ROUND(MinBase1Day*(1+ExpressFuelSurcharge),2),ROUND(((1-(OverNightDiscount_21_Up+FedExExrpessEarnedDiscount))*'1Day Base'!H94)*(1+ExpressFuelSurcharge),2))*(1+FedEx_Markup),2)</f>
        <v>459.56</v>
      </c>
    </row>
    <row r="98" spans="1:8" ht="13.5" customHeight="1">
      <c r="A98" s="217">
        <v>93</v>
      </c>
      <c r="B98" s="218">
        <f>ROUND(IF(MinBase1Day&gt;ROUND(((1-(OverNightDiscount_21_Up+FedExExrpessEarnedDiscount))*'1Day Base'!B95),2),ROUND(MinBase1Day*(1+ExpressFuelSurcharge),2),ROUND(((1-(OverNightDiscount_21_Up+FedExExrpessEarnedDiscount))*'1Day Base'!B95)*(1+ExpressFuelSurcharge),2))*(1+FedEx_Markup),2)</f>
        <v>130.77000000000001</v>
      </c>
      <c r="C98" s="218">
        <f>ROUND(IF(MinBase1Day&gt;ROUND(((1-(OverNightDiscount_21_Up+FedExExrpessEarnedDiscount))*'1Day Base'!C95),2),ROUND(MinBase1Day*(1+ExpressFuelSurcharge),2),ROUND(((1-(OverNightDiscount_21_Up+FedExExrpessEarnedDiscount))*'1Day Base'!C95)*(1+ExpressFuelSurcharge),2))*(1+FedEx_Markup),2)</f>
        <v>186.5</v>
      </c>
      <c r="D98" s="218">
        <f>ROUND(IF(MinBase1Day&gt;ROUND(((1-(OverNightDiscount_21_Up+FedExExrpessEarnedDiscount))*'1Day Base'!D95),2),ROUND(MinBase1Day*(1+ExpressFuelSurcharge),2),ROUND(((1-(OverNightDiscount_21_Up+FedExExrpessEarnedDiscount))*'1Day Base'!D95)*(1+ExpressFuelSurcharge),2))*(1+FedEx_Markup),2)</f>
        <v>336.29</v>
      </c>
      <c r="E98" s="218">
        <f>ROUND(IF(MinBase1Day&gt;ROUND(((1-(OverNightDiscount_21_Up+FedExExrpessEarnedDiscount))*'1Day Base'!E95),2),ROUND(MinBase1Day*(1+ExpressFuelSurcharge),2),ROUND(((1-(OverNightDiscount_21_Up+FedExExrpessEarnedDiscount))*'1Day Base'!E95)*(1+ExpressFuelSurcharge),2))*(1+FedEx_Markup),2)</f>
        <v>372.47</v>
      </c>
      <c r="F98" s="218">
        <f>ROUND(IF(MinBase1Day&gt;ROUND(((1-(OverNightDiscount_21_Up+FedExExrpessEarnedDiscount))*'1Day Base'!F95),2),ROUND(MinBase1Day*(1+ExpressFuelSurcharge),2),ROUND(((1-(OverNightDiscount_21_Up+FedExExrpessEarnedDiscount))*'1Day Base'!F95)*(1+ExpressFuelSurcharge),2))*(1+FedEx_Markup),2)</f>
        <v>385.5</v>
      </c>
      <c r="G98" s="218">
        <f>ROUND(IF(MinBase1Day&gt;ROUND(((1-(OverNightDiscount_21_Up+FedExExrpessEarnedDiscount))*'1Day Base'!G95),2),ROUND(MinBase1Day*(1+ExpressFuelSurcharge),2),ROUND(((1-(OverNightDiscount_21_Up+FedExExrpessEarnedDiscount))*'1Day Base'!G95)*(1+ExpressFuelSurcharge),2))*(1+FedEx_Markup),2)</f>
        <v>445.42</v>
      </c>
      <c r="H98" s="218">
        <f>ROUND(IF(MinBase1Day&gt;ROUND(((1-(OverNightDiscount_21_Up+FedExExrpessEarnedDiscount))*'1Day Base'!H95),2),ROUND(MinBase1Day*(1+ExpressFuelSurcharge),2),ROUND(((1-(OverNightDiscount_21_Up+FedExExrpessEarnedDiscount))*'1Day Base'!H95)*(1+ExpressFuelSurcharge),2))*(1+FedEx_Markup),2)</f>
        <v>460.09</v>
      </c>
    </row>
    <row r="99" spans="1:8" ht="13.5" customHeight="1">
      <c r="A99" s="217">
        <v>94</v>
      </c>
      <c r="B99" s="218">
        <f>ROUND(IF(MinBase1Day&gt;ROUND(((1-(OverNightDiscount_21_Up+FedExExrpessEarnedDiscount))*'1Day Base'!B96),2),ROUND(MinBase1Day*(1+ExpressFuelSurcharge),2),ROUND(((1-(OverNightDiscount_21_Up+FedExExrpessEarnedDiscount))*'1Day Base'!B96)*(1+ExpressFuelSurcharge),2))*(1+FedEx_Markup),2)</f>
        <v>131.13</v>
      </c>
      <c r="C99" s="218">
        <f>ROUND(IF(MinBase1Day&gt;ROUND(((1-(OverNightDiscount_21_Up+FedExExrpessEarnedDiscount))*'1Day Base'!C96),2),ROUND(MinBase1Day*(1+ExpressFuelSurcharge),2),ROUND(((1-(OverNightDiscount_21_Up+FedExExrpessEarnedDiscount))*'1Day Base'!C96)*(1+ExpressFuelSurcharge),2))*(1+FedEx_Markup),2)</f>
        <v>186.89</v>
      </c>
      <c r="D99" s="218">
        <f>ROUND(IF(MinBase1Day&gt;ROUND(((1-(OverNightDiscount_21_Up+FedExExrpessEarnedDiscount))*'1Day Base'!D96),2),ROUND(MinBase1Day*(1+ExpressFuelSurcharge),2),ROUND(((1-(OverNightDiscount_21_Up+FedExExrpessEarnedDiscount))*'1Day Base'!D96)*(1+ExpressFuelSurcharge),2))*(1+FedEx_Markup),2)</f>
        <v>336.66</v>
      </c>
      <c r="E99" s="218">
        <f>ROUND(IF(MinBase1Day&gt;ROUND(((1-(OverNightDiscount_21_Up+FedExExrpessEarnedDiscount))*'1Day Base'!E96),2),ROUND(MinBase1Day*(1+ExpressFuelSurcharge),2),ROUND(((1-(OverNightDiscount_21_Up+FedExExrpessEarnedDiscount))*'1Day Base'!E96)*(1+ExpressFuelSurcharge),2))*(1+FedEx_Markup),2)</f>
        <v>372.97</v>
      </c>
      <c r="F99" s="218">
        <f>ROUND(IF(MinBase1Day&gt;ROUND(((1-(OverNightDiscount_21_Up+FedExExrpessEarnedDiscount))*'1Day Base'!F96),2),ROUND(MinBase1Day*(1+ExpressFuelSurcharge),2),ROUND(((1-(OverNightDiscount_21_Up+FedExExrpessEarnedDiscount))*'1Day Base'!F96)*(1+ExpressFuelSurcharge),2))*(1+FedEx_Markup),2)</f>
        <v>386.09</v>
      </c>
      <c r="G99" s="218">
        <f>ROUND(IF(MinBase1Day&gt;ROUND(((1-(OverNightDiscount_21_Up+FedExExrpessEarnedDiscount))*'1Day Base'!G96),2),ROUND(MinBase1Day*(1+ExpressFuelSurcharge),2),ROUND(((1-(OverNightDiscount_21_Up+FedExExrpessEarnedDiscount))*'1Day Base'!G96)*(1+ExpressFuelSurcharge),2))*(1+FedEx_Markup),2)</f>
        <v>446.17</v>
      </c>
      <c r="H99" s="218">
        <f>ROUND(IF(MinBase1Day&gt;ROUND(((1-(OverNightDiscount_21_Up+FedExExrpessEarnedDiscount))*'1Day Base'!H96),2),ROUND(MinBase1Day*(1+ExpressFuelSurcharge),2),ROUND(((1-(OverNightDiscount_21_Up+FedExExrpessEarnedDiscount))*'1Day Base'!H96)*(1+ExpressFuelSurcharge),2))*(1+FedEx_Markup),2)</f>
        <v>460.64</v>
      </c>
    </row>
    <row r="100" spans="1:8" ht="13.5" customHeight="1">
      <c r="A100" s="217">
        <v>95</v>
      </c>
      <c r="B100" s="218">
        <f>ROUND(IF(MinBase1Day&gt;ROUND(((1-(OverNightDiscount_21_Up+FedExExrpessEarnedDiscount))*'1Day Base'!B97),2),ROUND(MinBase1Day*(1+ExpressFuelSurcharge),2),ROUND(((1-(OverNightDiscount_21_Up+FedExExrpessEarnedDiscount))*'1Day Base'!B97)*(1+ExpressFuelSurcharge),2))*(1+FedEx_Markup),2)</f>
        <v>131.51</v>
      </c>
      <c r="C100" s="218">
        <f>ROUND(IF(MinBase1Day&gt;ROUND(((1-(OverNightDiscount_21_Up+FedExExrpessEarnedDiscount))*'1Day Base'!C97),2),ROUND(MinBase1Day*(1+ExpressFuelSurcharge),2),ROUND(((1-(OverNightDiscount_21_Up+FedExExrpessEarnedDiscount))*'1Day Base'!C97)*(1+ExpressFuelSurcharge),2))*(1+FedEx_Markup),2)</f>
        <v>187.25</v>
      </c>
      <c r="D100" s="218">
        <f>ROUND(IF(MinBase1Day&gt;ROUND(((1-(OverNightDiscount_21_Up+FedExExrpessEarnedDiscount))*'1Day Base'!D97),2),ROUND(MinBase1Day*(1+ExpressFuelSurcharge),2),ROUND(((1-(OverNightDiscount_21_Up+FedExExrpessEarnedDiscount))*'1Day Base'!D97)*(1+ExpressFuelSurcharge),2))*(1+FedEx_Markup),2)</f>
        <v>337.04</v>
      </c>
      <c r="E100" s="218">
        <f>ROUND(IF(MinBase1Day&gt;ROUND(((1-(OverNightDiscount_21_Up+FedExExrpessEarnedDiscount))*'1Day Base'!E97),2),ROUND(MinBase1Day*(1+ExpressFuelSurcharge),2),ROUND(((1-(OverNightDiscount_21_Up+FedExExrpessEarnedDiscount))*'1Day Base'!E97)*(1+ExpressFuelSurcharge),2))*(1+FedEx_Markup),2)</f>
        <v>374.06</v>
      </c>
      <c r="F100" s="218">
        <f>ROUND(IF(MinBase1Day&gt;ROUND(((1-(OverNightDiscount_21_Up+FedExExrpessEarnedDiscount))*'1Day Base'!F97),2),ROUND(MinBase1Day*(1+ExpressFuelSurcharge),2),ROUND(((1-(OverNightDiscount_21_Up+FedExExrpessEarnedDiscount))*'1Day Base'!F97)*(1+ExpressFuelSurcharge),2))*(1+FedEx_Markup),2)</f>
        <v>386.6</v>
      </c>
      <c r="G100" s="218">
        <f>ROUND(IF(MinBase1Day&gt;ROUND(((1-(OverNightDiscount_21_Up+FedExExrpessEarnedDiscount))*'1Day Base'!G97),2),ROUND(MinBase1Day*(1+ExpressFuelSurcharge),2),ROUND(((1-(OverNightDiscount_21_Up+FedExExrpessEarnedDiscount))*'1Day Base'!G97)*(1+ExpressFuelSurcharge),2))*(1+FedEx_Markup),2)</f>
        <v>446.55</v>
      </c>
      <c r="H100" s="218">
        <f>ROUND(IF(MinBase1Day&gt;ROUND(((1-(OverNightDiscount_21_Up+FedExExrpessEarnedDiscount))*'1Day Base'!H97),2),ROUND(MinBase1Day*(1+ExpressFuelSurcharge),2),ROUND(((1-(OverNightDiscount_21_Up+FedExExrpessEarnedDiscount))*'1Day Base'!H97)*(1+ExpressFuelSurcharge),2))*(1+FedEx_Markup),2)</f>
        <v>461.2</v>
      </c>
    </row>
    <row r="101" spans="1:8" ht="13.5" customHeight="1">
      <c r="A101" s="217">
        <v>96</v>
      </c>
      <c r="B101" s="218">
        <f>ROUND(IF(MinBase1Day&gt;ROUND(((1-(OverNightDiscount_21_Up+FedExExrpessEarnedDiscount))*'1Day Base'!B98),2),ROUND(MinBase1Day*(1+ExpressFuelSurcharge),2),ROUND(((1-(OverNightDiscount_21_Up+FedExExrpessEarnedDiscount))*'1Day Base'!B98)*(1+ExpressFuelSurcharge),2))*(1+FedEx_Markup),2)</f>
        <v>131.88999999999999</v>
      </c>
      <c r="C101" s="218">
        <f>ROUND(IF(MinBase1Day&gt;ROUND(((1-(OverNightDiscount_21_Up+FedExExrpessEarnedDiscount))*'1Day Base'!C98),2),ROUND(MinBase1Day*(1+ExpressFuelSurcharge),2),ROUND(((1-(OverNightDiscount_21_Up+FedExExrpessEarnedDiscount))*'1Day Base'!C98)*(1+ExpressFuelSurcharge),2))*(1+FedEx_Markup),2)</f>
        <v>187.65</v>
      </c>
      <c r="D101" s="218">
        <f>ROUND(IF(MinBase1Day&gt;ROUND(((1-(OverNightDiscount_21_Up+FedExExrpessEarnedDiscount))*'1Day Base'!D98),2),ROUND(MinBase1Day*(1+ExpressFuelSurcharge),2),ROUND(((1-(OverNightDiscount_21_Up+FedExExrpessEarnedDiscount))*'1Day Base'!D98)*(1+ExpressFuelSurcharge),2))*(1+FedEx_Markup),2)</f>
        <v>337.42</v>
      </c>
      <c r="E101" s="218">
        <f>ROUND(IF(MinBase1Day&gt;ROUND(((1-(OverNightDiscount_21_Up+FedExExrpessEarnedDiscount))*'1Day Base'!E98),2),ROUND(MinBase1Day*(1+ExpressFuelSurcharge),2),ROUND(((1-(OverNightDiscount_21_Up+FedExExrpessEarnedDiscount))*'1Day Base'!E98)*(1+ExpressFuelSurcharge),2))*(1+FedEx_Markup),2)</f>
        <v>378.28</v>
      </c>
      <c r="F101" s="218">
        <f>ROUND(IF(MinBase1Day&gt;ROUND(((1-(OverNightDiscount_21_Up+FedExExrpessEarnedDiscount))*'1Day Base'!F98),2),ROUND(MinBase1Day*(1+ExpressFuelSurcharge),2),ROUND(((1-(OverNightDiscount_21_Up+FedExExrpessEarnedDiscount))*'1Day Base'!F98)*(1+ExpressFuelSurcharge),2))*(1+FedEx_Markup),2)</f>
        <v>389.53</v>
      </c>
      <c r="G101" s="218">
        <f>ROUND(IF(MinBase1Day&gt;ROUND(((1-(OverNightDiscount_21_Up+FedExExrpessEarnedDiscount))*'1Day Base'!G98),2),ROUND(MinBase1Day*(1+ExpressFuelSurcharge),2),ROUND(((1-(OverNightDiscount_21_Up+FedExExrpessEarnedDiscount))*'1Day Base'!G98)*(1+ExpressFuelSurcharge),2))*(1+FedEx_Markup),2)</f>
        <v>447.12</v>
      </c>
      <c r="H101" s="218">
        <f>ROUND(IF(MinBase1Day&gt;ROUND(((1-(OverNightDiscount_21_Up+FedExExrpessEarnedDiscount))*'1Day Base'!H98),2),ROUND(MinBase1Day*(1+ExpressFuelSurcharge),2),ROUND(((1-(OverNightDiscount_21_Up+FedExExrpessEarnedDiscount))*'1Day Base'!H98)*(1+ExpressFuelSurcharge),2))*(1+FedEx_Markup),2)</f>
        <v>461.68</v>
      </c>
    </row>
    <row r="102" spans="1:8" ht="13.5" customHeight="1">
      <c r="A102" s="217">
        <v>97</v>
      </c>
      <c r="B102" s="218">
        <f>ROUND(IF(MinBase1Day&gt;ROUND(((1-(OverNightDiscount_21_Up+FedExExrpessEarnedDiscount))*'1Day Base'!B99),2),ROUND(MinBase1Day*(1+ExpressFuelSurcharge),2),ROUND(((1-(OverNightDiscount_21_Up+FedExExrpessEarnedDiscount))*'1Day Base'!B99)*(1+ExpressFuelSurcharge),2))*(1+FedEx_Markup),2)</f>
        <v>132.30000000000001</v>
      </c>
      <c r="C102" s="218">
        <f>ROUND(IF(MinBase1Day&gt;ROUND(((1-(OverNightDiscount_21_Up+FedExExrpessEarnedDiscount))*'1Day Base'!C99),2),ROUND(MinBase1Day*(1+ExpressFuelSurcharge),2),ROUND(((1-(OverNightDiscount_21_Up+FedExExrpessEarnedDiscount))*'1Day Base'!C99)*(1+ExpressFuelSurcharge),2))*(1+FedEx_Markup),2)</f>
        <v>188.03</v>
      </c>
      <c r="D102" s="218">
        <f>ROUND(IF(MinBase1Day&gt;ROUND(((1-(OverNightDiscount_21_Up+FedExExrpessEarnedDiscount))*'1Day Base'!D99),2),ROUND(MinBase1Day*(1+ExpressFuelSurcharge),2),ROUND(((1-(OverNightDiscount_21_Up+FedExExrpessEarnedDiscount))*'1Day Base'!D99)*(1+ExpressFuelSurcharge),2))*(1+FedEx_Markup),2)</f>
        <v>337.8</v>
      </c>
      <c r="E102" s="218">
        <f>ROUND(IF(MinBase1Day&gt;ROUND(((1-(OverNightDiscount_21_Up+FedExExrpessEarnedDiscount))*'1Day Base'!E99),2),ROUND(MinBase1Day*(1+ExpressFuelSurcharge),2),ROUND(((1-(OverNightDiscount_21_Up+FedExExrpessEarnedDiscount))*'1Day Base'!E99)*(1+ExpressFuelSurcharge),2))*(1+FedEx_Markup),2)</f>
        <v>378.71</v>
      </c>
      <c r="F102" s="218">
        <f>ROUND(IF(MinBase1Day&gt;ROUND(((1-(OverNightDiscount_21_Up+FedExExrpessEarnedDiscount))*'1Day Base'!F99),2),ROUND(MinBase1Day*(1+ExpressFuelSurcharge),2),ROUND(((1-(OverNightDiscount_21_Up+FedExExrpessEarnedDiscount))*'1Day Base'!F99)*(1+ExpressFuelSurcharge),2))*(1+FedEx_Markup),2)</f>
        <v>389.91</v>
      </c>
      <c r="G102" s="218">
        <f>ROUND(IF(MinBase1Day&gt;ROUND(((1-(OverNightDiscount_21_Up+FedExExrpessEarnedDiscount))*'1Day Base'!G99),2),ROUND(MinBase1Day*(1+ExpressFuelSurcharge),2),ROUND(((1-(OverNightDiscount_21_Up+FedExExrpessEarnedDiscount))*'1Day Base'!G99)*(1+ExpressFuelSurcharge),2))*(1+FedEx_Markup),2)</f>
        <v>447.49</v>
      </c>
      <c r="H102" s="218">
        <f>ROUND(IF(MinBase1Day&gt;ROUND(((1-(OverNightDiscount_21_Up+FedExExrpessEarnedDiscount))*'1Day Base'!H99),2),ROUND(MinBase1Day*(1+ExpressFuelSurcharge),2),ROUND(((1-(OverNightDiscount_21_Up+FedExExrpessEarnedDiscount))*'1Day Base'!H99)*(1+ExpressFuelSurcharge),2))*(1+FedEx_Markup),2)</f>
        <v>462.29</v>
      </c>
    </row>
    <row r="103" spans="1:8" ht="13.5" customHeight="1">
      <c r="A103" s="217">
        <v>98</v>
      </c>
      <c r="B103" s="218">
        <f>ROUND(IF(MinBase1Day&gt;ROUND(((1-(OverNightDiscount_21_Up+FedExExrpessEarnedDiscount))*'1Day Base'!B100),2),ROUND(MinBase1Day*(1+ExpressFuelSurcharge),2),ROUND(((1-(OverNightDiscount_21_Up+FedExExrpessEarnedDiscount))*'1Day Base'!B100)*(1+ExpressFuelSurcharge),2))*(1+FedEx_Markup),2)</f>
        <v>132.65</v>
      </c>
      <c r="C103" s="218">
        <f>ROUND(IF(MinBase1Day&gt;ROUND(((1-(OverNightDiscount_21_Up+FedExExrpessEarnedDiscount))*'1Day Base'!C100),2),ROUND(MinBase1Day*(1+ExpressFuelSurcharge),2),ROUND(((1-(OverNightDiscount_21_Up+FedExExrpessEarnedDiscount))*'1Day Base'!C100)*(1+ExpressFuelSurcharge),2))*(1+FedEx_Markup),2)</f>
        <v>188.4</v>
      </c>
      <c r="D103" s="218">
        <f>ROUND(IF(MinBase1Day&gt;ROUND(((1-(OverNightDiscount_21_Up+FedExExrpessEarnedDiscount))*'1Day Base'!D100),2),ROUND(MinBase1Day*(1+ExpressFuelSurcharge),2),ROUND(((1-(OverNightDiscount_21_Up+FedExExrpessEarnedDiscount))*'1Day Base'!D100)*(1+ExpressFuelSurcharge),2))*(1+FedEx_Markup),2)</f>
        <v>338.18</v>
      </c>
      <c r="E103" s="218">
        <f>ROUND(IF(MinBase1Day&gt;ROUND(((1-(OverNightDiscount_21_Up+FedExExrpessEarnedDiscount))*'1Day Base'!E100),2),ROUND(MinBase1Day*(1+ExpressFuelSurcharge),2),ROUND(((1-(OverNightDiscount_21_Up+FedExExrpessEarnedDiscount))*'1Day Base'!E100)*(1+ExpressFuelSurcharge),2))*(1+FedEx_Markup),2)</f>
        <v>379.79</v>
      </c>
      <c r="F103" s="218">
        <f>ROUND(IF(MinBase1Day&gt;ROUND(((1-(OverNightDiscount_21_Up+FedExExrpessEarnedDiscount))*'1Day Base'!F100),2),ROUND(MinBase1Day*(1+ExpressFuelSurcharge),2),ROUND(((1-(OverNightDiscount_21_Up+FedExExrpessEarnedDiscount))*'1Day Base'!F100)*(1+ExpressFuelSurcharge),2))*(1+FedEx_Markup),2)</f>
        <v>396.32</v>
      </c>
      <c r="G103" s="218">
        <f>ROUND(IF(MinBase1Day&gt;ROUND(((1-(OverNightDiscount_21_Up+FedExExrpessEarnedDiscount))*'1Day Base'!G100),2),ROUND(MinBase1Day*(1+ExpressFuelSurcharge),2),ROUND(((1-(OverNightDiscount_21_Up+FedExExrpessEarnedDiscount))*'1Day Base'!G100)*(1+ExpressFuelSurcharge),2))*(1+FedEx_Markup),2)</f>
        <v>448.83</v>
      </c>
      <c r="H103" s="218">
        <f>ROUND(IF(MinBase1Day&gt;ROUND(((1-(OverNightDiscount_21_Up+FedExExrpessEarnedDiscount))*'1Day Base'!H100),2),ROUND(MinBase1Day*(1+ExpressFuelSurcharge),2),ROUND(((1-(OverNightDiscount_21_Up+FedExExrpessEarnedDiscount))*'1Day Base'!H100)*(1+ExpressFuelSurcharge),2))*(1+FedEx_Markup),2)</f>
        <v>463.37</v>
      </c>
    </row>
    <row r="104" spans="1:8" ht="13.5" customHeight="1">
      <c r="A104" s="217">
        <v>99</v>
      </c>
      <c r="B104" s="218">
        <f>ROUND(IF(MinBase1Day&gt;ROUND(((1-(OverNightDiscount_21_Up+FedExExrpessEarnedDiscount))*'1Day Base'!B101),2),ROUND(MinBase1Day*(1+ExpressFuelSurcharge),2),ROUND(((1-(OverNightDiscount_21_Up+FedExExrpessEarnedDiscount))*'1Day Base'!B101)*(1+ExpressFuelSurcharge),2))*(1+FedEx_Markup),2)</f>
        <v>133.02000000000001</v>
      </c>
      <c r="C104" s="218">
        <f>ROUND(IF(MinBase1Day&gt;ROUND(((1-(OverNightDiscount_21_Up+FedExExrpessEarnedDiscount))*'1Day Base'!C101),2),ROUND(MinBase1Day*(1+ExpressFuelSurcharge),2),ROUND(((1-(OverNightDiscount_21_Up+FedExExrpessEarnedDiscount))*'1Day Base'!C101)*(1+ExpressFuelSurcharge),2))*(1+FedEx_Markup),2)</f>
        <v>188.78</v>
      </c>
      <c r="D104" s="218">
        <f>ROUND(IF(MinBase1Day&gt;ROUND(((1-(OverNightDiscount_21_Up+FedExExrpessEarnedDiscount))*'1Day Base'!D101),2),ROUND(MinBase1Day*(1+ExpressFuelSurcharge),2),ROUND(((1-(OverNightDiscount_21_Up+FedExExrpessEarnedDiscount))*'1Day Base'!D101)*(1+ExpressFuelSurcharge),2))*(1+FedEx_Markup),2)</f>
        <v>338.55</v>
      </c>
      <c r="E104" s="218">
        <f>ROUND(IF(MinBase1Day&gt;ROUND(((1-(OverNightDiscount_21_Up+FedExExrpessEarnedDiscount))*'1Day Base'!E101),2),ROUND(MinBase1Day*(1+ExpressFuelSurcharge),2),ROUND(((1-(OverNightDiscount_21_Up+FedExExrpessEarnedDiscount))*'1Day Base'!E101)*(1+ExpressFuelSurcharge),2))*(1+FedEx_Markup),2)</f>
        <v>401.56</v>
      </c>
      <c r="F104" s="218">
        <f>ROUND(IF(MinBase1Day&gt;ROUND(((1-(OverNightDiscount_21_Up+FedExExrpessEarnedDiscount))*'1Day Base'!F101),2),ROUND(MinBase1Day*(1+ExpressFuelSurcharge),2),ROUND(((1-(OverNightDiscount_21_Up+FedExExrpessEarnedDiscount))*'1Day Base'!F101)*(1+ExpressFuelSurcharge),2))*(1+FedEx_Markup),2)</f>
        <v>411.42</v>
      </c>
      <c r="G104" s="218">
        <f>ROUND(IF(MinBase1Day&gt;ROUND(((1-(OverNightDiscount_21_Up+FedExExrpessEarnedDiscount))*'1Day Base'!G101),2),ROUND(MinBase1Day*(1+ExpressFuelSurcharge),2),ROUND(((1-(OverNightDiscount_21_Up+FedExExrpessEarnedDiscount))*'1Day Base'!G101)*(1+ExpressFuelSurcharge),2))*(1+FedEx_Markup),2)</f>
        <v>475.67</v>
      </c>
      <c r="H104" s="218">
        <f>ROUND(IF(MinBase1Day&gt;ROUND(((1-(OverNightDiscount_21_Up+FedExExrpessEarnedDiscount))*'1Day Base'!H101),2),ROUND(MinBase1Day*(1+ExpressFuelSurcharge),2),ROUND(((1-(OverNightDiscount_21_Up+FedExExrpessEarnedDiscount))*'1Day Base'!H101)*(1+ExpressFuelSurcharge),2))*(1+FedEx_Markup),2)</f>
        <v>485.2</v>
      </c>
    </row>
    <row r="105" spans="1:8" ht="13.5" customHeight="1">
      <c r="A105" s="217">
        <v>100</v>
      </c>
      <c r="B105" s="218">
        <f>ROUND(IF(MinBase1Day&gt;ROUND(((1-(OverNightDiscount_21_Up+FedExExrpessEarnedDiscount))*'1Day Base'!B102),2),ROUND(MinBase1Day*(1+ExpressFuelSurcharge),2),ROUND(((1-(OverNightDiscount_21_Up+FedExExrpessEarnedDiscount))*'1Day Base'!B102)*(1+ExpressFuelSurcharge),2))*(1+FedEx_Markup),2)</f>
        <v>133.53</v>
      </c>
      <c r="C105" s="218">
        <f>ROUND(IF(MinBase1Day&gt;ROUND(((1-(OverNightDiscount_21_Up+FedExExrpessEarnedDiscount))*'1Day Base'!C102),2),ROUND(MinBase1Day*(1+ExpressFuelSurcharge),2),ROUND(((1-(OverNightDiscount_21_Up+FedExExrpessEarnedDiscount))*'1Day Base'!C102)*(1+ExpressFuelSurcharge),2))*(1+FedEx_Markup),2)</f>
        <v>189.46</v>
      </c>
      <c r="D105" s="218">
        <f>ROUND(IF(MinBase1Day&gt;ROUND(((1-(OverNightDiscount_21_Up+FedExExrpessEarnedDiscount))*'1Day Base'!D102),2),ROUND(MinBase1Day*(1+ExpressFuelSurcharge),2),ROUND(((1-(OverNightDiscount_21_Up+FedExExrpessEarnedDiscount))*'1Day Base'!D102)*(1+ExpressFuelSurcharge),2))*(1+FedEx_Markup),2)</f>
        <v>339.22</v>
      </c>
      <c r="E105" s="218">
        <f>ROUND(IF(MinBase1Day&gt;ROUND(((1-(OverNightDiscount_21_Up+FedExExrpessEarnedDiscount))*'1Day Base'!E102),2),ROUND(MinBase1Day*(1+ExpressFuelSurcharge),2),ROUND(((1-(OverNightDiscount_21_Up+FedExExrpessEarnedDiscount))*'1Day Base'!E102)*(1+ExpressFuelSurcharge),2))*(1+FedEx_Markup),2)</f>
        <v>404.63</v>
      </c>
      <c r="F105" s="218">
        <f>ROUND(IF(MinBase1Day&gt;ROUND(((1-(OverNightDiscount_21_Up+FedExExrpessEarnedDiscount))*'1Day Base'!F102),2),ROUND(MinBase1Day*(1+ExpressFuelSurcharge),2),ROUND(((1-(OverNightDiscount_21_Up+FedExExrpessEarnedDiscount))*'1Day Base'!F102)*(1+ExpressFuelSurcharge),2))*(1+FedEx_Markup),2)</f>
        <v>413.2</v>
      </c>
      <c r="G105" s="218">
        <f>ROUND(IF(MinBase1Day&gt;ROUND(((1-(OverNightDiscount_21_Up+FedExExrpessEarnedDiscount))*'1Day Base'!G102),2),ROUND(MinBase1Day*(1+ExpressFuelSurcharge),2),ROUND(((1-(OverNightDiscount_21_Up+FedExExrpessEarnedDiscount))*'1Day Base'!G102)*(1+ExpressFuelSurcharge),2))*(1+FedEx_Markup),2)</f>
        <v>496.2</v>
      </c>
      <c r="H105" s="218">
        <f>ROUND(IF(MinBase1Day&gt;ROUND(((1-(OverNightDiscount_21_Up+FedExExrpessEarnedDiscount))*'1Day Base'!H102),2),ROUND(MinBase1Day*(1+ExpressFuelSurcharge),2),ROUND(((1-(OverNightDiscount_21_Up+FedExExrpessEarnedDiscount))*'1Day Base'!H102)*(1+ExpressFuelSurcharge),2))*(1+FedEx_Markup),2)</f>
        <v>517.4</v>
      </c>
    </row>
    <row r="106" spans="1:8" ht="13.5" customHeight="1">
      <c r="A106" s="217">
        <v>101</v>
      </c>
      <c r="B106" s="218">
        <f>ROUND(IF(MinBase1Day&gt;ROUND(((1-(OverNightDiscount_21_Up+FedExExrpessEarnedDiscount))*'1Day Base'!B103),2),ROUND(MinBase1Day*(1+ExpressFuelSurcharge),2),ROUND(((1-(OverNightDiscount_21_Up+FedExExrpessEarnedDiscount))*'1Day Base'!B103)*(1+ExpressFuelSurcharge),2))*(1+FedEx_Markup),2)</f>
        <v>134.86000000000001</v>
      </c>
      <c r="C106" s="218">
        <f>ROUND(IF(MinBase1Day&gt;ROUND(((1-(OverNightDiscount_21_Up+FedExExrpessEarnedDiscount))*'1Day Base'!C103),2),ROUND(MinBase1Day*(1+ExpressFuelSurcharge),2),ROUND(((1-(OverNightDiscount_21_Up+FedExExrpessEarnedDiscount))*'1Day Base'!C103)*(1+ExpressFuelSurcharge),2))*(1+FedEx_Markup),2)</f>
        <v>191.35</v>
      </c>
      <c r="D106" s="218">
        <f>ROUND(IF(MinBase1Day&gt;ROUND(((1-(OverNightDiscount_21_Up+FedExExrpessEarnedDiscount))*'1Day Base'!D103),2),ROUND(MinBase1Day*(1+ExpressFuelSurcharge),2),ROUND(((1-(OverNightDiscount_21_Up+FedExExrpessEarnedDiscount))*'1Day Base'!D103)*(1+ExpressFuelSurcharge),2))*(1+FedEx_Markup),2)</f>
        <v>342.61</v>
      </c>
      <c r="E106" s="218">
        <f>ROUND(IF(MinBase1Day&gt;ROUND(((1-(OverNightDiscount_21_Up+FedExExrpessEarnedDiscount))*'1Day Base'!E103),2),ROUND(MinBase1Day*(1+ExpressFuelSurcharge),2),ROUND(((1-(OverNightDiscount_21_Up+FedExExrpessEarnedDiscount))*'1Day Base'!E103)*(1+ExpressFuelSurcharge),2))*(1+FedEx_Markup),2)</f>
        <v>408.68</v>
      </c>
      <c r="F106" s="218">
        <f>ROUND(IF(MinBase1Day&gt;ROUND(((1-(OverNightDiscount_21_Up+FedExExrpessEarnedDiscount))*'1Day Base'!F103),2),ROUND(MinBase1Day*(1+ExpressFuelSurcharge),2),ROUND(((1-(OverNightDiscount_21_Up+FedExExrpessEarnedDiscount))*'1Day Base'!F103)*(1+ExpressFuelSurcharge),2))*(1+FedEx_Markup),2)</f>
        <v>417.32</v>
      </c>
      <c r="G106" s="218">
        <f>ROUND(IF(MinBase1Day&gt;ROUND(((1-(OverNightDiscount_21_Up+FedExExrpessEarnedDiscount))*'1Day Base'!G103),2),ROUND(MinBase1Day*(1+ExpressFuelSurcharge),2),ROUND(((1-(OverNightDiscount_21_Up+FedExExrpessEarnedDiscount))*'1Day Base'!G103)*(1+ExpressFuelSurcharge),2))*(1+FedEx_Markup),2)</f>
        <v>501.16</v>
      </c>
      <c r="H106" s="218">
        <f>ROUND(IF(MinBase1Day&gt;ROUND(((1-(OverNightDiscount_21_Up+FedExExrpessEarnedDiscount))*'1Day Base'!H103),2),ROUND(MinBase1Day*(1+ExpressFuelSurcharge),2),ROUND(((1-(OverNightDiscount_21_Up+FedExExrpessEarnedDiscount))*'1Day Base'!H103)*(1+ExpressFuelSurcharge),2))*(1+FedEx_Markup),2)</f>
        <v>522.57000000000005</v>
      </c>
    </row>
    <row r="107" spans="1:8" ht="13.5" customHeight="1">
      <c r="A107" s="217">
        <v>102</v>
      </c>
      <c r="B107" s="218">
        <f>ROUND(IF(MinBase1Day&gt;ROUND(((1-(OverNightDiscount_21_Up+FedExExrpessEarnedDiscount))*'1Day Base'!B104),2),ROUND(MinBase1Day*(1+ExpressFuelSurcharge),2),ROUND(((1-(OverNightDiscount_21_Up+FedExExrpessEarnedDiscount))*'1Day Base'!B104)*(1+ExpressFuelSurcharge),2))*(1+FedEx_Markup),2)</f>
        <v>136.19</v>
      </c>
      <c r="C107" s="218">
        <f>ROUND(IF(MinBase1Day&gt;ROUND(((1-(OverNightDiscount_21_Up+FedExExrpessEarnedDiscount))*'1Day Base'!C104),2),ROUND(MinBase1Day*(1+ExpressFuelSurcharge),2),ROUND(((1-(OverNightDiscount_21_Up+FedExExrpessEarnedDiscount))*'1Day Base'!C104)*(1+ExpressFuelSurcharge),2))*(1+FedEx_Markup),2)</f>
        <v>193.25</v>
      </c>
      <c r="D107" s="218">
        <f>ROUND(IF(MinBase1Day&gt;ROUND(((1-(OverNightDiscount_21_Up+FedExExrpessEarnedDiscount))*'1Day Base'!D104),2),ROUND(MinBase1Day*(1+ExpressFuelSurcharge),2),ROUND(((1-(OverNightDiscount_21_Up+FedExExrpessEarnedDiscount))*'1Day Base'!D104)*(1+ExpressFuelSurcharge),2))*(1+FedEx_Markup),2)</f>
        <v>346</v>
      </c>
      <c r="E107" s="218">
        <f>ROUND(IF(MinBase1Day&gt;ROUND(((1-(OverNightDiscount_21_Up+FedExExrpessEarnedDiscount))*'1Day Base'!E104),2),ROUND(MinBase1Day*(1+ExpressFuelSurcharge),2),ROUND(((1-(OverNightDiscount_21_Up+FedExExrpessEarnedDiscount))*'1Day Base'!E104)*(1+ExpressFuelSurcharge),2))*(1+FedEx_Markup),2)</f>
        <v>412.72</v>
      </c>
      <c r="F107" s="218">
        <f>ROUND(IF(MinBase1Day&gt;ROUND(((1-(OverNightDiscount_21_Up+FedExExrpessEarnedDiscount))*'1Day Base'!F104),2),ROUND(MinBase1Day*(1+ExpressFuelSurcharge),2),ROUND(((1-(OverNightDiscount_21_Up+FedExExrpessEarnedDiscount))*'1Day Base'!F104)*(1+ExpressFuelSurcharge),2))*(1+FedEx_Markup),2)</f>
        <v>421.46</v>
      </c>
      <c r="G107" s="218">
        <f>ROUND(IF(MinBase1Day&gt;ROUND(((1-(OverNightDiscount_21_Up+FedExExrpessEarnedDiscount))*'1Day Base'!G104),2),ROUND(MinBase1Day*(1+ExpressFuelSurcharge),2),ROUND(((1-(OverNightDiscount_21_Up+FedExExrpessEarnedDiscount))*'1Day Base'!G104)*(1+ExpressFuelSurcharge),2))*(1+FedEx_Markup),2)</f>
        <v>506.12</v>
      </c>
      <c r="H107" s="218">
        <f>ROUND(IF(MinBase1Day&gt;ROUND(((1-(OverNightDiscount_21_Up+FedExExrpessEarnedDiscount))*'1Day Base'!H104),2),ROUND(MinBase1Day*(1+ExpressFuelSurcharge),2),ROUND(((1-(OverNightDiscount_21_Up+FedExExrpessEarnedDiscount))*'1Day Base'!H104)*(1+ExpressFuelSurcharge),2))*(1+FedEx_Markup),2)</f>
        <v>527.75</v>
      </c>
    </row>
    <row r="108" spans="1:8" ht="13.5" customHeight="1">
      <c r="A108" s="217">
        <v>103</v>
      </c>
      <c r="B108" s="218">
        <f>ROUND(IF(MinBase1Day&gt;ROUND(((1-(OverNightDiscount_21_Up+FedExExrpessEarnedDiscount))*'1Day Base'!B105),2),ROUND(MinBase1Day*(1+ExpressFuelSurcharge),2),ROUND(((1-(OverNightDiscount_21_Up+FedExExrpessEarnedDiscount))*'1Day Base'!B105)*(1+ExpressFuelSurcharge),2))*(1+FedEx_Markup),2)</f>
        <v>137.53</v>
      </c>
      <c r="C108" s="218">
        <f>ROUND(IF(MinBase1Day&gt;ROUND(((1-(OverNightDiscount_21_Up+FedExExrpessEarnedDiscount))*'1Day Base'!C105),2),ROUND(MinBase1Day*(1+ExpressFuelSurcharge),2),ROUND(((1-(OverNightDiscount_21_Up+FedExExrpessEarnedDiscount))*'1Day Base'!C105)*(1+ExpressFuelSurcharge),2))*(1+FedEx_Markup),2)</f>
        <v>195.14</v>
      </c>
      <c r="D108" s="218">
        <f>ROUND(IF(MinBase1Day&gt;ROUND(((1-(OverNightDiscount_21_Up+FedExExrpessEarnedDiscount))*'1Day Base'!D105),2),ROUND(MinBase1Day*(1+ExpressFuelSurcharge),2),ROUND(((1-(OverNightDiscount_21_Up+FedExExrpessEarnedDiscount))*'1Day Base'!D105)*(1+ExpressFuelSurcharge),2))*(1+FedEx_Markup),2)</f>
        <v>349.39</v>
      </c>
      <c r="E108" s="218">
        <f>ROUND(IF(MinBase1Day&gt;ROUND(((1-(OverNightDiscount_21_Up+FedExExrpessEarnedDiscount))*'1Day Base'!E105),2),ROUND(MinBase1Day*(1+ExpressFuelSurcharge),2),ROUND(((1-(OverNightDiscount_21_Up+FedExExrpessEarnedDiscount))*'1Day Base'!E105)*(1+ExpressFuelSurcharge),2))*(1+FedEx_Markup),2)</f>
        <v>416.76</v>
      </c>
      <c r="F108" s="218">
        <f>ROUND(IF(MinBase1Day&gt;ROUND(((1-(OverNightDiscount_21_Up+FedExExrpessEarnedDiscount))*'1Day Base'!F105),2),ROUND(MinBase1Day*(1+ExpressFuelSurcharge),2),ROUND(((1-(OverNightDiscount_21_Up+FedExExrpessEarnedDiscount))*'1Day Base'!F105)*(1+ExpressFuelSurcharge),2))*(1+FedEx_Markup),2)</f>
        <v>425.59</v>
      </c>
      <c r="G108" s="218">
        <f>ROUND(IF(MinBase1Day&gt;ROUND(((1-(OverNightDiscount_21_Up+FedExExrpessEarnedDiscount))*'1Day Base'!G105),2),ROUND(MinBase1Day*(1+ExpressFuelSurcharge),2),ROUND(((1-(OverNightDiscount_21_Up+FedExExrpessEarnedDiscount))*'1Day Base'!G105)*(1+ExpressFuelSurcharge),2))*(1+FedEx_Markup),2)</f>
        <v>511.08</v>
      </c>
      <c r="H108" s="218">
        <f>ROUND(IF(MinBase1Day&gt;ROUND(((1-(OverNightDiscount_21_Up+FedExExrpessEarnedDiscount))*'1Day Base'!H105),2),ROUND(MinBase1Day*(1+ExpressFuelSurcharge),2),ROUND(((1-(OverNightDiscount_21_Up+FedExExrpessEarnedDiscount))*'1Day Base'!H105)*(1+ExpressFuelSurcharge),2))*(1+FedEx_Markup),2)</f>
        <v>532.91999999999996</v>
      </c>
    </row>
    <row r="109" spans="1:8" ht="13.5" customHeight="1">
      <c r="A109" s="217">
        <v>104</v>
      </c>
      <c r="B109" s="218">
        <f>ROUND(IF(MinBase1Day&gt;ROUND(((1-(OverNightDiscount_21_Up+FedExExrpessEarnedDiscount))*'1Day Base'!B106),2),ROUND(MinBase1Day*(1+ExpressFuelSurcharge),2),ROUND(((1-(OverNightDiscount_21_Up+FedExExrpessEarnedDiscount))*'1Day Base'!B106)*(1+ExpressFuelSurcharge),2))*(1+FedEx_Markup),2)</f>
        <v>138.86000000000001</v>
      </c>
      <c r="C109" s="218">
        <f>ROUND(IF(MinBase1Day&gt;ROUND(((1-(OverNightDiscount_21_Up+FedExExrpessEarnedDiscount))*'1Day Base'!C106),2),ROUND(MinBase1Day*(1+ExpressFuelSurcharge),2),ROUND(((1-(OverNightDiscount_21_Up+FedExExrpessEarnedDiscount))*'1Day Base'!C106)*(1+ExpressFuelSurcharge),2))*(1+FedEx_Markup),2)</f>
        <v>197.03</v>
      </c>
      <c r="D109" s="218">
        <f>ROUND(IF(MinBase1Day&gt;ROUND(((1-(OverNightDiscount_21_Up+FedExExrpessEarnedDiscount))*'1Day Base'!D106),2),ROUND(MinBase1Day*(1+ExpressFuelSurcharge),2),ROUND(((1-(OverNightDiscount_21_Up+FedExExrpessEarnedDiscount))*'1Day Base'!D106)*(1+ExpressFuelSurcharge),2))*(1+FedEx_Markup),2)</f>
        <v>352.79</v>
      </c>
      <c r="E109" s="218">
        <f>ROUND(IF(MinBase1Day&gt;ROUND(((1-(OverNightDiscount_21_Up+FedExExrpessEarnedDiscount))*'1Day Base'!E106),2),ROUND(MinBase1Day*(1+ExpressFuelSurcharge),2),ROUND(((1-(OverNightDiscount_21_Up+FedExExrpessEarnedDiscount))*'1Day Base'!E106)*(1+ExpressFuelSurcharge),2))*(1+FedEx_Markup),2)</f>
        <v>420.81</v>
      </c>
      <c r="F109" s="218">
        <f>ROUND(IF(MinBase1Day&gt;ROUND(((1-(OverNightDiscount_21_Up+FedExExrpessEarnedDiscount))*'1Day Base'!F106),2),ROUND(MinBase1Day*(1+ExpressFuelSurcharge),2),ROUND(((1-(OverNightDiscount_21_Up+FedExExrpessEarnedDiscount))*'1Day Base'!F106)*(1+ExpressFuelSurcharge),2))*(1+FedEx_Markup),2)</f>
        <v>429.72</v>
      </c>
      <c r="G109" s="218">
        <f>ROUND(IF(MinBase1Day&gt;ROUND(((1-(OverNightDiscount_21_Up+FedExExrpessEarnedDiscount))*'1Day Base'!G106),2),ROUND(MinBase1Day*(1+ExpressFuelSurcharge),2),ROUND(((1-(OverNightDiscount_21_Up+FedExExrpessEarnedDiscount))*'1Day Base'!G106)*(1+ExpressFuelSurcharge),2))*(1+FedEx_Markup),2)</f>
        <v>516.04</v>
      </c>
      <c r="H109" s="218">
        <f>ROUND(IF(MinBase1Day&gt;ROUND(((1-(OverNightDiscount_21_Up+FedExExrpessEarnedDiscount))*'1Day Base'!H106),2),ROUND(MinBase1Day*(1+ExpressFuelSurcharge),2),ROUND(((1-(OverNightDiscount_21_Up+FedExExrpessEarnedDiscount))*'1Day Base'!H106)*(1+ExpressFuelSurcharge),2))*(1+FedEx_Markup),2)</f>
        <v>538.1</v>
      </c>
    </row>
    <row r="110" spans="1:8" ht="12.75" customHeight="1">
      <c r="A110" s="217">
        <v>105</v>
      </c>
      <c r="B110" s="218">
        <f>ROUND(IF(MinBase1Day&gt;ROUND(((1-(OverNightDiscount_21_Up+FedExExrpessEarnedDiscount))*'1Day Base'!B107),2),ROUND(MinBase1Day*(1+ExpressFuelSurcharge),2),ROUND(((1-(OverNightDiscount_21_Up+FedExExrpessEarnedDiscount))*'1Day Base'!B107)*(1+ExpressFuelSurcharge),2))*(1+FedEx_Markup),2)</f>
        <v>140.19999999999999</v>
      </c>
      <c r="C110" s="218">
        <f>ROUND(IF(MinBase1Day&gt;ROUND(((1-(OverNightDiscount_21_Up+FedExExrpessEarnedDiscount))*'1Day Base'!C107),2),ROUND(MinBase1Day*(1+ExpressFuelSurcharge),2),ROUND(((1-(OverNightDiscount_21_Up+FedExExrpessEarnedDiscount))*'1Day Base'!C107)*(1+ExpressFuelSurcharge),2))*(1+FedEx_Markup),2)</f>
        <v>198.93</v>
      </c>
      <c r="D110" s="218">
        <f>ROUND(IF(MinBase1Day&gt;ROUND(((1-(OverNightDiscount_21_Up+FedExExrpessEarnedDiscount))*'1Day Base'!D107),2),ROUND(MinBase1Day*(1+ExpressFuelSurcharge),2),ROUND(((1-(OverNightDiscount_21_Up+FedExExrpessEarnedDiscount))*'1Day Base'!D107)*(1+ExpressFuelSurcharge),2))*(1+FedEx_Markup),2)</f>
        <v>356.18</v>
      </c>
      <c r="E110" s="218">
        <f>ROUND(IF(MinBase1Day&gt;ROUND(((1-(OverNightDiscount_21_Up+FedExExrpessEarnedDiscount))*'1Day Base'!E107),2),ROUND(MinBase1Day*(1+ExpressFuelSurcharge),2),ROUND(((1-(OverNightDiscount_21_Up+FedExExrpessEarnedDiscount))*'1Day Base'!E107)*(1+ExpressFuelSurcharge),2))*(1+FedEx_Markup),2)</f>
        <v>424.86</v>
      </c>
      <c r="F110" s="218">
        <f>ROUND(IF(MinBase1Day&gt;ROUND(((1-(OverNightDiscount_21_Up+FedExExrpessEarnedDiscount))*'1Day Base'!F107),2),ROUND(MinBase1Day*(1+ExpressFuelSurcharge),2),ROUND(((1-(OverNightDiscount_21_Up+FedExExrpessEarnedDiscount))*'1Day Base'!F107)*(1+ExpressFuelSurcharge),2))*(1+FedEx_Markup),2)</f>
        <v>433.86</v>
      </c>
      <c r="G110" s="218">
        <f>ROUND(IF(MinBase1Day&gt;ROUND(((1-(OverNightDiscount_21_Up+FedExExrpessEarnedDiscount))*'1Day Base'!G107),2),ROUND(MinBase1Day*(1+ExpressFuelSurcharge),2),ROUND(((1-(OverNightDiscount_21_Up+FedExExrpessEarnedDiscount))*'1Day Base'!G107)*(1+ExpressFuelSurcharge),2))*(1+FedEx_Markup),2)</f>
        <v>521.01</v>
      </c>
      <c r="H110" s="218">
        <f>ROUND(IF(MinBase1Day&gt;ROUND(((1-(OverNightDiscount_21_Up+FedExExrpessEarnedDiscount))*'1Day Base'!H107),2),ROUND(MinBase1Day*(1+ExpressFuelSurcharge),2),ROUND(((1-(OverNightDiscount_21_Up+FedExExrpessEarnedDiscount))*'1Day Base'!H107)*(1+ExpressFuelSurcharge),2))*(1+FedEx_Markup),2)</f>
        <v>543.27</v>
      </c>
    </row>
    <row r="111" spans="1:8" ht="12.75" customHeight="1">
      <c r="A111" s="217">
        <v>106</v>
      </c>
      <c r="B111" s="218">
        <f>ROUND(IF(MinBase1Day&gt;ROUND(((1-(OverNightDiscount_21_Up+FedExExrpessEarnedDiscount))*'1Day Base'!B108),2),ROUND(MinBase1Day*(1+ExpressFuelSurcharge),2),ROUND(((1-(OverNightDiscount_21_Up+FedExExrpessEarnedDiscount))*'1Day Base'!B108)*(1+ExpressFuelSurcharge),2))*(1+FedEx_Markup),2)</f>
        <v>141.53</v>
      </c>
      <c r="C111" s="218">
        <f>ROUND(IF(MinBase1Day&gt;ROUND(((1-(OverNightDiscount_21_Up+FedExExrpessEarnedDiscount))*'1Day Base'!C108),2),ROUND(MinBase1Day*(1+ExpressFuelSurcharge),2),ROUND(((1-(OverNightDiscount_21_Up+FedExExrpessEarnedDiscount))*'1Day Base'!C108)*(1+ExpressFuelSurcharge),2))*(1+FedEx_Markup),2)</f>
        <v>200.82</v>
      </c>
      <c r="D111" s="218">
        <f>ROUND(IF(MinBase1Day&gt;ROUND(((1-(OverNightDiscount_21_Up+FedExExrpessEarnedDiscount))*'1Day Base'!D108),2),ROUND(MinBase1Day*(1+ExpressFuelSurcharge),2),ROUND(((1-(OverNightDiscount_21_Up+FedExExrpessEarnedDiscount))*'1Day Base'!D108)*(1+ExpressFuelSurcharge),2))*(1+FedEx_Markup),2)</f>
        <v>359.57</v>
      </c>
      <c r="E111" s="218">
        <f>ROUND(IF(MinBase1Day&gt;ROUND(((1-(OverNightDiscount_21_Up+FedExExrpessEarnedDiscount))*'1Day Base'!E108),2),ROUND(MinBase1Day*(1+ExpressFuelSurcharge),2),ROUND(((1-(OverNightDiscount_21_Up+FedExExrpessEarnedDiscount))*'1Day Base'!E108)*(1+ExpressFuelSurcharge),2))*(1+FedEx_Markup),2)</f>
        <v>428.9</v>
      </c>
      <c r="F111" s="218">
        <f>ROUND(IF(MinBase1Day&gt;ROUND(((1-(OverNightDiscount_21_Up+FedExExrpessEarnedDiscount))*'1Day Base'!F108),2),ROUND(MinBase1Day*(1+ExpressFuelSurcharge),2),ROUND(((1-(OverNightDiscount_21_Up+FedExExrpessEarnedDiscount))*'1Day Base'!F108)*(1+ExpressFuelSurcharge),2))*(1+FedEx_Markup),2)</f>
        <v>437.99</v>
      </c>
      <c r="G111" s="218">
        <f>ROUND(IF(MinBase1Day&gt;ROUND(((1-(OverNightDiscount_21_Up+FedExExrpessEarnedDiscount))*'1Day Base'!G108),2),ROUND(MinBase1Day*(1+ExpressFuelSurcharge),2),ROUND(((1-(OverNightDiscount_21_Up+FedExExrpessEarnedDiscount))*'1Day Base'!G108)*(1+ExpressFuelSurcharge),2))*(1+FedEx_Markup),2)</f>
        <v>525.96</v>
      </c>
      <c r="H111" s="218">
        <f>ROUND(IF(MinBase1Day&gt;ROUND(((1-(OverNightDiscount_21_Up+FedExExrpessEarnedDiscount))*'1Day Base'!H108),2),ROUND(MinBase1Day*(1+ExpressFuelSurcharge),2),ROUND(((1-(OverNightDiscount_21_Up+FedExExrpessEarnedDiscount))*'1Day Base'!H108)*(1+ExpressFuelSurcharge),2))*(1+FedEx_Markup),2)</f>
        <v>548.45000000000005</v>
      </c>
    </row>
    <row r="112" spans="1:8" ht="12.75" customHeight="1">
      <c r="A112" s="217">
        <v>107</v>
      </c>
      <c r="B112" s="218">
        <f>ROUND(IF(MinBase1Day&gt;ROUND(((1-(OverNightDiscount_21_Up+FedExExrpessEarnedDiscount))*'1Day Base'!B109),2),ROUND(MinBase1Day*(1+ExpressFuelSurcharge),2),ROUND(((1-(OverNightDiscount_21_Up+FedExExrpessEarnedDiscount))*'1Day Base'!B109)*(1+ExpressFuelSurcharge),2))*(1+FedEx_Markup),2)</f>
        <v>142.86000000000001</v>
      </c>
      <c r="C112" s="218">
        <f>ROUND(IF(MinBase1Day&gt;ROUND(((1-(OverNightDiscount_21_Up+FedExExrpessEarnedDiscount))*'1Day Base'!C109),2),ROUND(MinBase1Day*(1+ExpressFuelSurcharge),2),ROUND(((1-(OverNightDiscount_21_Up+FedExExrpessEarnedDiscount))*'1Day Base'!C109)*(1+ExpressFuelSurcharge),2))*(1+FedEx_Markup),2)</f>
        <v>202.72</v>
      </c>
      <c r="D112" s="218">
        <f>ROUND(IF(MinBase1Day&gt;ROUND(((1-(OverNightDiscount_21_Up+FedExExrpessEarnedDiscount))*'1Day Base'!D109),2),ROUND(MinBase1Day*(1+ExpressFuelSurcharge),2),ROUND(((1-(OverNightDiscount_21_Up+FedExExrpessEarnedDiscount))*'1Day Base'!D109)*(1+ExpressFuelSurcharge),2))*(1+FedEx_Markup),2)</f>
        <v>362.96</v>
      </c>
      <c r="E112" s="218">
        <f>ROUND(IF(MinBase1Day&gt;ROUND(((1-(OverNightDiscount_21_Up+FedExExrpessEarnedDiscount))*'1Day Base'!E109),2),ROUND(MinBase1Day*(1+ExpressFuelSurcharge),2),ROUND(((1-(OverNightDiscount_21_Up+FedExExrpessEarnedDiscount))*'1Day Base'!E109)*(1+ExpressFuelSurcharge),2))*(1+FedEx_Markup),2)</f>
        <v>432.95</v>
      </c>
      <c r="F112" s="218">
        <f>ROUND(IF(MinBase1Day&gt;ROUND(((1-(OverNightDiscount_21_Up+FedExExrpessEarnedDiscount))*'1Day Base'!F109),2),ROUND(MinBase1Day*(1+ExpressFuelSurcharge),2),ROUND(((1-(OverNightDiscount_21_Up+FedExExrpessEarnedDiscount))*'1Day Base'!F109)*(1+ExpressFuelSurcharge),2))*(1+FedEx_Markup),2)</f>
        <v>442.12</v>
      </c>
      <c r="G112" s="218">
        <f>ROUND(IF(MinBase1Day&gt;ROUND(((1-(OverNightDiscount_21_Up+FedExExrpessEarnedDiscount))*'1Day Base'!G109),2),ROUND(MinBase1Day*(1+ExpressFuelSurcharge),2),ROUND(((1-(OverNightDiscount_21_Up+FedExExrpessEarnedDiscount))*'1Day Base'!G109)*(1+ExpressFuelSurcharge),2))*(1+FedEx_Markup),2)</f>
        <v>530.92999999999995</v>
      </c>
      <c r="H112" s="218">
        <f>ROUND(IF(MinBase1Day&gt;ROUND(((1-(OverNightDiscount_21_Up+FedExExrpessEarnedDiscount))*'1Day Base'!H109),2),ROUND(MinBase1Day*(1+ExpressFuelSurcharge),2),ROUND(((1-(OverNightDiscount_21_Up+FedExExrpessEarnedDiscount))*'1Day Base'!H109)*(1+ExpressFuelSurcharge),2))*(1+FedEx_Markup),2)</f>
        <v>553.61</v>
      </c>
    </row>
    <row r="113" spans="1:26" ht="12.75" customHeight="1">
      <c r="A113" s="217">
        <v>108</v>
      </c>
      <c r="B113" s="218">
        <f>ROUND(IF(MinBase1Day&gt;ROUND(((1-(OverNightDiscount_21_Up+FedExExrpessEarnedDiscount))*'1Day Base'!B110),2),ROUND(MinBase1Day*(1+ExpressFuelSurcharge),2),ROUND(((1-(OverNightDiscount_21_Up+FedExExrpessEarnedDiscount))*'1Day Base'!B110)*(1+ExpressFuelSurcharge),2))*(1+FedEx_Markup),2)</f>
        <v>144.19999999999999</v>
      </c>
      <c r="C113" s="218">
        <f>ROUND(IF(MinBase1Day&gt;ROUND(((1-(OverNightDiscount_21_Up+FedExExrpessEarnedDiscount))*'1Day Base'!C110),2),ROUND(MinBase1Day*(1+ExpressFuelSurcharge),2),ROUND(((1-(OverNightDiscount_21_Up+FedExExrpessEarnedDiscount))*'1Day Base'!C110)*(1+ExpressFuelSurcharge),2))*(1+FedEx_Markup),2)</f>
        <v>204.61</v>
      </c>
      <c r="D113" s="218">
        <f>ROUND(IF(MinBase1Day&gt;ROUND(((1-(OverNightDiscount_21_Up+FedExExrpessEarnedDiscount))*'1Day Base'!D110),2),ROUND(MinBase1Day*(1+ExpressFuelSurcharge),2),ROUND(((1-(OverNightDiscount_21_Up+FedExExrpessEarnedDiscount))*'1Day Base'!D110)*(1+ExpressFuelSurcharge),2))*(1+FedEx_Markup),2)</f>
        <v>366.36</v>
      </c>
      <c r="E113" s="218">
        <f>ROUND(IF(MinBase1Day&gt;ROUND(((1-(OverNightDiscount_21_Up+FedExExrpessEarnedDiscount))*'1Day Base'!E110),2),ROUND(MinBase1Day*(1+ExpressFuelSurcharge),2),ROUND(((1-(OverNightDiscount_21_Up+FedExExrpessEarnedDiscount))*'1Day Base'!E110)*(1+ExpressFuelSurcharge),2))*(1+FedEx_Markup),2)</f>
        <v>437</v>
      </c>
      <c r="F113" s="218">
        <f>ROUND(IF(MinBase1Day&gt;ROUND(((1-(OverNightDiscount_21_Up+FedExExrpessEarnedDiscount))*'1Day Base'!F110),2),ROUND(MinBase1Day*(1+ExpressFuelSurcharge),2),ROUND(((1-(OverNightDiscount_21_Up+FedExExrpessEarnedDiscount))*'1Day Base'!F110)*(1+ExpressFuelSurcharge),2))*(1+FedEx_Markup),2)</f>
        <v>446.26</v>
      </c>
      <c r="G113" s="218">
        <f>ROUND(IF(MinBase1Day&gt;ROUND(((1-(OverNightDiscount_21_Up+FedExExrpessEarnedDiscount))*'1Day Base'!G110),2),ROUND(MinBase1Day*(1+ExpressFuelSurcharge),2),ROUND(((1-(OverNightDiscount_21_Up+FedExExrpessEarnedDiscount))*'1Day Base'!G110)*(1+ExpressFuelSurcharge),2))*(1+FedEx_Markup),2)</f>
        <v>535.89</v>
      </c>
      <c r="H113" s="218">
        <f>ROUND(IF(MinBase1Day&gt;ROUND(((1-(OverNightDiscount_21_Up+FedExExrpessEarnedDiscount))*'1Day Base'!H110),2),ROUND(MinBase1Day*(1+ExpressFuelSurcharge),2),ROUND(((1-(OverNightDiscount_21_Up+FedExExrpessEarnedDiscount))*'1Day Base'!H110)*(1+ExpressFuelSurcharge),2))*(1+FedEx_Markup),2)</f>
        <v>558.79</v>
      </c>
    </row>
    <row r="114" spans="1:26" ht="12.75" customHeight="1">
      <c r="A114" s="217">
        <v>109</v>
      </c>
      <c r="B114" s="218">
        <f>ROUND(IF(MinBase1Day&gt;ROUND(((1-(OverNightDiscount_21_Up+FedExExrpessEarnedDiscount))*'1Day Base'!B111),2),ROUND(MinBase1Day*(1+ExpressFuelSurcharge),2),ROUND(((1-(OverNightDiscount_21_Up+FedExExrpessEarnedDiscount))*'1Day Base'!B111)*(1+ExpressFuelSurcharge),2))*(1+FedEx_Markup),2)</f>
        <v>145.54</v>
      </c>
      <c r="C114" s="218">
        <f>ROUND(IF(MinBase1Day&gt;ROUND(((1-(OverNightDiscount_21_Up+FedExExrpessEarnedDiscount))*'1Day Base'!C111),2),ROUND(MinBase1Day*(1+ExpressFuelSurcharge),2),ROUND(((1-(OverNightDiscount_21_Up+FedExExrpessEarnedDiscount))*'1Day Base'!C111)*(1+ExpressFuelSurcharge),2))*(1+FedEx_Markup),2)</f>
        <v>206.51</v>
      </c>
      <c r="D114" s="218">
        <f>ROUND(IF(MinBase1Day&gt;ROUND(((1-(OverNightDiscount_21_Up+FedExExrpessEarnedDiscount))*'1Day Base'!D111),2),ROUND(MinBase1Day*(1+ExpressFuelSurcharge),2),ROUND(((1-(OverNightDiscount_21_Up+FedExExrpessEarnedDiscount))*'1Day Base'!D111)*(1+ExpressFuelSurcharge),2))*(1+FedEx_Markup),2)</f>
        <v>369.75</v>
      </c>
      <c r="E114" s="218">
        <f>ROUND(IF(MinBase1Day&gt;ROUND(((1-(OverNightDiscount_21_Up+FedExExrpessEarnedDiscount))*'1Day Base'!E111),2),ROUND(MinBase1Day*(1+ExpressFuelSurcharge),2),ROUND(((1-(OverNightDiscount_21_Up+FedExExrpessEarnedDiscount))*'1Day Base'!E111)*(1+ExpressFuelSurcharge),2))*(1+FedEx_Markup),2)</f>
        <v>441.04</v>
      </c>
      <c r="F114" s="218">
        <f>ROUND(IF(MinBase1Day&gt;ROUND(((1-(OverNightDiscount_21_Up+FedExExrpessEarnedDiscount))*'1Day Base'!F111),2),ROUND(MinBase1Day*(1+ExpressFuelSurcharge),2),ROUND(((1-(OverNightDiscount_21_Up+FedExExrpessEarnedDiscount))*'1Day Base'!F111)*(1+ExpressFuelSurcharge),2))*(1+FedEx_Markup),2)</f>
        <v>450.39</v>
      </c>
      <c r="G114" s="218">
        <f>ROUND(IF(MinBase1Day&gt;ROUND(((1-(OverNightDiscount_21_Up+FedExExrpessEarnedDiscount))*'1Day Base'!G111),2),ROUND(MinBase1Day*(1+ExpressFuelSurcharge),2),ROUND(((1-(OverNightDiscount_21_Up+FedExExrpessEarnedDiscount))*'1Day Base'!G111)*(1+ExpressFuelSurcharge),2))*(1+FedEx_Markup),2)</f>
        <v>540.86</v>
      </c>
      <c r="H114" s="218">
        <f>ROUND(IF(MinBase1Day&gt;ROUND(((1-(OverNightDiscount_21_Up+FedExExrpessEarnedDiscount))*'1Day Base'!H111),2),ROUND(MinBase1Day*(1+ExpressFuelSurcharge),2),ROUND(((1-(OverNightDiscount_21_Up+FedExExrpessEarnedDiscount))*'1Day Base'!H111)*(1+ExpressFuelSurcharge),2))*(1+FedEx_Markup),2)</f>
        <v>563.96</v>
      </c>
    </row>
    <row r="115" spans="1:26" ht="12.75" customHeight="1">
      <c r="A115" s="217">
        <v>110</v>
      </c>
      <c r="B115" s="218">
        <f>ROUND(IF(MinBase1Day&gt;ROUND(((1-(OverNightDiscount_21_Up+FedExExrpessEarnedDiscount))*'1Day Base'!B112),2),ROUND(MinBase1Day*(1+ExpressFuelSurcharge),2),ROUND(((1-(OverNightDiscount_21_Up+FedExExrpessEarnedDiscount))*'1Day Base'!B112)*(1+ExpressFuelSurcharge),2))*(1+FedEx_Markup),2)</f>
        <v>146.88</v>
      </c>
      <c r="C115" s="218">
        <f>ROUND(IF(MinBase1Day&gt;ROUND(((1-(OverNightDiscount_21_Up+FedExExrpessEarnedDiscount))*'1Day Base'!C112),2),ROUND(MinBase1Day*(1+ExpressFuelSurcharge),2),ROUND(((1-(OverNightDiscount_21_Up+FedExExrpessEarnedDiscount))*'1Day Base'!C112)*(1+ExpressFuelSurcharge),2))*(1+FedEx_Markup),2)</f>
        <v>208.4</v>
      </c>
      <c r="D115" s="218">
        <f>ROUND(IF(MinBase1Day&gt;ROUND(((1-(OverNightDiscount_21_Up+FedExExrpessEarnedDiscount))*'1Day Base'!D112),2),ROUND(MinBase1Day*(1+ExpressFuelSurcharge),2),ROUND(((1-(OverNightDiscount_21_Up+FedExExrpessEarnedDiscount))*'1Day Base'!D112)*(1+ExpressFuelSurcharge),2))*(1+FedEx_Markup),2)</f>
        <v>373.14</v>
      </c>
      <c r="E115" s="218">
        <f>ROUND(IF(MinBase1Day&gt;ROUND(((1-(OverNightDiscount_21_Up+FedExExrpessEarnedDiscount))*'1Day Base'!E112),2),ROUND(MinBase1Day*(1+ExpressFuelSurcharge),2),ROUND(((1-(OverNightDiscount_21_Up+FedExExrpessEarnedDiscount))*'1Day Base'!E112)*(1+ExpressFuelSurcharge),2))*(1+FedEx_Markup),2)</f>
        <v>445.08</v>
      </c>
      <c r="F115" s="218">
        <f>ROUND(IF(MinBase1Day&gt;ROUND(((1-(OverNightDiscount_21_Up+FedExExrpessEarnedDiscount))*'1Day Base'!F112),2),ROUND(MinBase1Day*(1+ExpressFuelSurcharge),2),ROUND(((1-(OverNightDiscount_21_Up+FedExExrpessEarnedDiscount))*'1Day Base'!F112)*(1+ExpressFuelSurcharge),2))*(1+FedEx_Markup),2)</f>
        <v>454.51</v>
      </c>
      <c r="G115" s="218">
        <f>ROUND(IF(MinBase1Day&gt;ROUND(((1-(OverNightDiscount_21_Up+FedExExrpessEarnedDiscount))*'1Day Base'!G112),2),ROUND(MinBase1Day*(1+ExpressFuelSurcharge),2),ROUND(((1-(OverNightDiscount_21_Up+FedExExrpessEarnedDiscount))*'1Day Base'!G112)*(1+ExpressFuelSurcharge),2))*(1+FedEx_Markup),2)</f>
        <v>545.80999999999995</v>
      </c>
      <c r="H115" s="218">
        <f>ROUND(IF(MinBase1Day&gt;ROUND(((1-(OverNightDiscount_21_Up+FedExExrpessEarnedDiscount))*'1Day Base'!H112),2),ROUND(MinBase1Day*(1+ExpressFuelSurcharge),2),ROUND(((1-(OverNightDiscount_21_Up+FedExExrpessEarnedDiscount))*'1Day Base'!H112)*(1+ExpressFuelSurcharge),2))*(1+FedEx_Markup),2)</f>
        <v>569.14</v>
      </c>
    </row>
    <row r="116" spans="1:26" ht="12.75" customHeight="1">
      <c r="A116" s="217">
        <v>111</v>
      </c>
      <c r="B116" s="218">
        <f>ROUND(IF(MinBase1Day&gt;ROUND(((1-(OverNightDiscount_21_Up+FedExExrpessEarnedDiscount))*'1Day Base'!B113),2),ROUND(MinBase1Day*(1+ExpressFuelSurcharge),2),ROUND(((1-(OverNightDiscount_21_Up+FedExExrpessEarnedDiscount))*'1Day Base'!B113)*(1+ExpressFuelSurcharge),2))*(1+FedEx_Markup),2)</f>
        <v>148.21</v>
      </c>
      <c r="C116" s="218">
        <f>ROUND(IF(MinBase1Day&gt;ROUND(((1-(OverNightDiscount_21_Up+FedExExrpessEarnedDiscount))*'1Day Base'!C113),2),ROUND(MinBase1Day*(1+ExpressFuelSurcharge),2),ROUND(((1-(OverNightDiscount_21_Up+FedExExrpessEarnedDiscount))*'1Day Base'!C113)*(1+ExpressFuelSurcharge),2))*(1+FedEx_Markup),2)</f>
        <v>210.3</v>
      </c>
      <c r="D116" s="218">
        <f>ROUND(IF(MinBase1Day&gt;ROUND(((1-(OverNightDiscount_21_Up+FedExExrpessEarnedDiscount))*'1Day Base'!D113),2),ROUND(MinBase1Day*(1+ExpressFuelSurcharge),2),ROUND(((1-(OverNightDiscount_21_Up+FedExExrpessEarnedDiscount))*'1Day Base'!D113)*(1+ExpressFuelSurcharge),2))*(1+FedEx_Markup),2)</f>
        <v>376.53</v>
      </c>
      <c r="E116" s="218">
        <f>ROUND(IF(MinBase1Day&gt;ROUND(((1-(OverNightDiscount_21_Up+FedExExrpessEarnedDiscount))*'1Day Base'!E113),2),ROUND(MinBase1Day*(1+ExpressFuelSurcharge),2),ROUND(((1-(OverNightDiscount_21_Up+FedExExrpessEarnedDiscount))*'1Day Base'!E113)*(1+ExpressFuelSurcharge),2))*(1+FedEx_Markup),2)</f>
        <v>449.13</v>
      </c>
      <c r="F116" s="218">
        <f>ROUND(IF(MinBase1Day&gt;ROUND(((1-(OverNightDiscount_21_Up+FedExExrpessEarnedDiscount))*'1Day Base'!F113),2),ROUND(MinBase1Day*(1+ExpressFuelSurcharge),2),ROUND(((1-(OverNightDiscount_21_Up+FedExExrpessEarnedDiscount))*'1Day Base'!F113)*(1+ExpressFuelSurcharge),2))*(1+FedEx_Markup),2)</f>
        <v>458.64</v>
      </c>
      <c r="G116" s="218">
        <f>ROUND(IF(MinBase1Day&gt;ROUND(((1-(OverNightDiscount_21_Up+FedExExrpessEarnedDiscount))*'1Day Base'!G113),2),ROUND(MinBase1Day*(1+ExpressFuelSurcharge),2),ROUND(((1-(OverNightDiscount_21_Up+FedExExrpessEarnedDiscount))*'1Day Base'!G113)*(1+ExpressFuelSurcharge),2))*(1+FedEx_Markup),2)</f>
        <v>550.78</v>
      </c>
      <c r="H116" s="218">
        <f>ROUND(IF(MinBase1Day&gt;ROUND(((1-(OverNightDiscount_21_Up+FedExExrpessEarnedDiscount))*'1Day Base'!H113),2),ROUND(MinBase1Day*(1+ExpressFuelSurcharge),2),ROUND(((1-(OverNightDiscount_21_Up+FedExExrpessEarnedDiscount))*'1Day Base'!H113)*(1+ExpressFuelSurcharge),2))*(1+FedEx_Markup),2)</f>
        <v>574.30999999999995</v>
      </c>
    </row>
    <row r="117" spans="1:26" ht="12.75" customHeight="1">
      <c r="A117" s="217">
        <v>112</v>
      </c>
      <c r="B117" s="218">
        <f>ROUND(IF(MinBase1Day&gt;ROUND(((1-(OverNightDiscount_21_Up+FedExExrpessEarnedDiscount))*'1Day Base'!B114),2),ROUND(MinBase1Day*(1+ExpressFuelSurcharge),2),ROUND(((1-(OverNightDiscount_21_Up+FedExExrpessEarnedDiscount))*'1Day Base'!B114)*(1+ExpressFuelSurcharge),2))*(1+FedEx_Markup),2)</f>
        <v>149.55000000000001</v>
      </c>
      <c r="C117" s="218">
        <f>ROUND(IF(MinBase1Day&gt;ROUND(((1-(OverNightDiscount_21_Up+FedExExrpessEarnedDiscount))*'1Day Base'!C114),2),ROUND(MinBase1Day*(1+ExpressFuelSurcharge),2),ROUND(((1-(OverNightDiscount_21_Up+FedExExrpessEarnedDiscount))*'1Day Base'!C114)*(1+ExpressFuelSurcharge),2))*(1+FedEx_Markup),2)</f>
        <v>212.19</v>
      </c>
      <c r="D117" s="218">
        <f>ROUND(IF(MinBase1Day&gt;ROUND(((1-(OverNightDiscount_21_Up+FedExExrpessEarnedDiscount))*'1Day Base'!D114),2),ROUND(MinBase1Day*(1+ExpressFuelSurcharge),2),ROUND(((1-(OverNightDiscount_21_Up+FedExExrpessEarnedDiscount))*'1Day Base'!D114)*(1+ExpressFuelSurcharge),2))*(1+FedEx_Markup),2)</f>
        <v>379.93</v>
      </c>
      <c r="E117" s="218">
        <f>ROUND(IF(MinBase1Day&gt;ROUND(((1-(OverNightDiscount_21_Up+FedExExrpessEarnedDiscount))*'1Day Base'!E114),2),ROUND(MinBase1Day*(1+ExpressFuelSurcharge),2),ROUND(((1-(OverNightDiscount_21_Up+FedExExrpessEarnedDiscount))*'1Day Base'!E114)*(1+ExpressFuelSurcharge),2))*(1+FedEx_Markup),2)</f>
        <v>453.18</v>
      </c>
      <c r="F117" s="218">
        <f>ROUND(IF(MinBase1Day&gt;ROUND(((1-(OverNightDiscount_21_Up+FedExExrpessEarnedDiscount))*'1Day Base'!F114),2),ROUND(MinBase1Day*(1+ExpressFuelSurcharge),2),ROUND(((1-(OverNightDiscount_21_Up+FedExExrpessEarnedDiscount))*'1Day Base'!F114)*(1+ExpressFuelSurcharge),2))*(1+FedEx_Markup),2)</f>
        <v>462.78</v>
      </c>
      <c r="G117" s="218">
        <f>ROUND(IF(MinBase1Day&gt;ROUND(((1-(OverNightDiscount_21_Up+FedExExrpessEarnedDiscount))*'1Day Base'!G114),2),ROUND(MinBase1Day*(1+ExpressFuelSurcharge),2),ROUND(((1-(OverNightDiscount_21_Up+FedExExrpessEarnedDiscount))*'1Day Base'!G114)*(1+ExpressFuelSurcharge),2))*(1+FedEx_Markup),2)</f>
        <v>555.74</v>
      </c>
      <c r="H117" s="218">
        <f>ROUND(IF(MinBase1Day&gt;ROUND(((1-(OverNightDiscount_21_Up+FedExExrpessEarnedDiscount))*'1Day Base'!H114),2),ROUND(MinBase1Day*(1+ExpressFuelSurcharge),2),ROUND(((1-(OverNightDiscount_21_Up+FedExExrpessEarnedDiscount))*'1Day Base'!H114)*(1+ExpressFuelSurcharge),2))*(1+FedEx_Markup),2)</f>
        <v>579.49</v>
      </c>
    </row>
    <row r="118" spans="1:26" ht="12.75" customHeight="1">
      <c r="A118" s="217">
        <v>113</v>
      </c>
      <c r="B118" s="218">
        <f>ROUND(IF(MinBase1Day&gt;ROUND(((1-(OverNightDiscount_21_Up+FedExExrpessEarnedDiscount))*'1Day Base'!B115),2),ROUND(MinBase1Day*(1+ExpressFuelSurcharge),2),ROUND(((1-(OverNightDiscount_21_Up+FedExExrpessEarnedDiscount))*'1Day Base'!B115)*(1+ExpressFuelSurcharge),2))*(1+FedEx_Markup),2)</f>
        <v>150.88</v>
      </c>
      <c r="C118" s="218">
        <f>ROUND(IF(MinBase1Day&gt;ROUND(((1-(OverNightDiscount_21_Up+FedExExrpessEarnedDiscount))*'1Day Base'!C115),2),ROUND(MinBase1Day*(1+ExpressFuelSurcharge),2),ROUND(((1-(OverNightDiscount_21_Up+FedExExrpessEarnedDiscount))*'1Day Base'!C115)*(1+ExpressFuelSurcharge),2))*(1+FedEx_Markup),2)</f>
        <v>214.08</v>
      </c>
      <c r="D118" s="218">
        <f>ROUND(IF(MinBase1Day&gt;ROUND(((1-(OverNightDiscount_21_Up+FedExExrpessEarnedDiscount))*'1Day Base'!D115),2),ROUND(MinBase1Day*(1+ExpressFuelSurcharge),2),ROUND(((1-(OverNightDiscount_21_Up+FedExExrpessEarnedDiscount))*'1Day Base'!D115)*(1+ExpressFuelSurcharge),2))*(1+FedEx_Markup),2)</f>
        <v>383.32</v>
      </c>
      <c r="E118" s="218">
        <f>ROUND(IF(MinBase1Day&gt;ROUND(((1-(OverNightDiscount_21_Up+FedExExrpessEarnedDiscount))*'1Day Base'!E115),2),ROUND(MinBase1Day*(1+ExpressFuelSurcharge),2),ROUND(((1-(OverNightDiscount_21_Up+FedExExrpessEarnedDiscount))*'1Day Base'!E115)*(1+ExpressFuelSurcharge),2))*(1+FedEx_Markup),2)</f>
        <v>457.23</v>
      </c>
      <c r="F118" s="218">
        <f>ROUND(IF(MinBase1Day&gt;ROUND(((1-(OverNightDiscount_21_Up+FedExExrpessEarnedDiscount))*'1Day Base'!F115),2),ROUND(MinBase1Day*(1+ExpressFuelSurcharge),2),ROUND(((1-(OverNightDiscount_21_Up+FedExExrpessEarnedDiscount))*'1Day Base'!F115)*(1+ExpressFuelSurcharge),2))*(1+FedEx_Markup),2)</f>
        <v>466.91</v>
      </c>
      <c r="G118" s="218">
        <f>ROUND(IF(MinBase1Day&gt;ROUND(((1-(OverNightDiscount_21_Up+FedExExrpessEarnedDiscount))*'1Day Base'!G115),2),ROUND(MinBase1Day*(1+ExpressFuelSurcharge),2),ROUND(((1-(OverNightDiscount_21_Up+FedExExrpessEarnedDiscount))*'1Day Base'!G115)*(1+ExpressFuelSurcharge),2))*(1+FedEx_Markup),2)</f>
        <v>560.71</v>
      </c>
      <c r="H118" s="218">
        <f>ROUND(IF(MinBase1Day&gt;ROUND(((1-(OverNightDiscount_21_Up+FedExExrpessEarnedDiscount))*'1Day Base'!H115),2),ROUND(MinBase1Day*(1+ExpressFuelSurcharge),2),ROUND(((1-(OverNightDiscount_21_Up+FedExExrpessEarnedDiscount))*'1Day Base'!H115)*(1+ExpressFuelSurcharge),2))*(1+FedEx_Markup),2)</f>
        <v>584.66</v>
      </c>
    </row>
    <row r="119" spans="1:26" ht="12.75" customHeight="1">
      <c r="A119" s="217">
        <v>114</v>
      </c>
      <c r="B119" s="218">
        <f>ROUND(IF(MinBase1Day&gt;ROUND(((1-(OverNightDiscount_21_Up+FedExExrpessEarnedDiscount))*'1Day Base'!B116),2),ROUND(MinBase1Day*(1+ExpressFuelSurcharge),2),ROUND(((1-(OverNightDiscount_21_Up+FedExExrpessEarnedDiscount))*'1Day Base'!B116)*(1+ExpressFuelSurcharge),2))*(1+FedEx_Markup),2)</f>
        <v>152.21</v>
      </c>
      <c r="C119" s="218">
        <f>ROUND(IF(MinBase1Day&gt;ROUND(((1-(OverNightDiscount_21_Up+FedExExrpessEarnedDiscount))*'1Day Base'!C116),2),ROUND(MinBase1Day*(1+ExpressFuelSurcharge),2),ROUND(((1-(OverNightDiscount_21_Up+FedExExrpessEarnedDiscount))*'1Day Base'!C116)*(1+ExpressFuelSurcharge),2))*(1+FedEx_Markup),2)</f>
        <v>215.98</v>
      </c>
      <c r="D119" s="218">
        <f>ROUND(IF(MinBase1Day&gt;ROUND(((1-(OverNightDiscount_21_Up+FedExExrpessEarnedDiscount))*'1Day Base'!D116),2),ROUND(MinBase1Day*(1+ExpressFuelSurcharge),2),ROUND(((1-(OverNightDiscount_21_Up+FedExExrpessEarnedDiscount))*'1Day Base'!D116)*(1+ExpressFuelSurcharge),2))*(1+FedEx_Markup),2)</f>
        <v>386.71</v>
      </c>
      <c r="E119" s="218">
        <f>ROUND(IF(MinBase1Day&gt;ROUND(((1-(OverNightDiscount_21_Up+FedExExrpessEarnedDiscount))*'1Day Base'!E116),2),ROUND(MinBase1Day*(1+ExpressFuelSurcharge),2),ROUND(((1-(OverNightDiscount_21_Up+FedExExrpessEarnedDiscount))*'1Day Base'!E116)*(1+ExpressFuelSurcharge),2))*(1+FedEx_Markup),2)</f>
        <v>461.28</v>
      </c>
      <c r="F119" s="218">
        <f>ROUND(IF(MinBase1Day&gt;ROUND(((1-(OverNightDiscount_21_Up+FedExExrpessEarnedDiscount))*'1Day Base'!F116),2),ROUND(MinBase1Day*(1+ExpressFuelSurcharge),2),ROUND(((1-(OverNightDiscount_21_Up+FedExExrpessEarnedDiscount))*'1Day Base'!F116)*(1+ExpressFuelSurcharge),2))*(1+FedEx_Markup),2)</f>
        <v>471.04</v>
      </c>
      <c r="G119" s="218">
        <f>ROUND(IF(MinBase1Day&gt;ROUND(((1-(OverNightDiscount_21_Up+FedExExrpessEarnedDiscount))*'1Day Base'!G116),2),ROUND(MinBase1Day*(1+ExpressFuelSurcharge),2),ROUND(((1-(OverNightDiscount_21_Up+FedExExrpessEarnedDiscount))*'1Day Base'!G116)*(1+ExpressFuelSurcharge),2))*(1+FedEx_Markup),2)</f>
        <v>565.66</v>
      </c>
      <c r="H119" s="218">
        <f>ROUND(IF(MinBase1Day&gt;ROUND(((1-(OverNightDiscount_21_Up+FedExExrpessEarnedDiscount))*'1Day Base'!H116),2),ROUND(MinBase1Day*(1+ExpressFuelSurcharge),2),ROUND(((1-(OverNightDiscount_21_Up+FedExExrpessEarnedDiscount))*'1Day Base'!H116)*(1+ExpressFuelSurcharge),2))*(1+FedEx_Markup),2)</f>
        <v>589.84</v>
      </c>
    </row>
    <row r="120" spans="1:26" ht="12.75" customHeight="1">
      <c r="A120" s="217">
        <v>115</v>
      </c>
      <c r="B120" s="218">
        <f>ROUND(IF(MinBase1Day&gt;ROUND(((1-(OverNightDiscount_21_Up+FedExExrpessEarnedDiscount))*'1Day Base'!B117),2),ROUND(MinBase1Day*(1+ExpressFuelSurcharge),2),ROUND(((1-(OverNightDiscount_21_Up+FedExExrpessEarnedDiscount))*'1Day Base'!B117)*(1+ExpressFuelSurcharge),2))*(1+FedEx_Markup),2)</f>
        <v>153.55000000000001</v>
      </c>
      <c r="C120" s="218">
        <f>ROUND(IF(MinBase1Day&gt;ROUND(((1-(OverNightDiscount_21_Up+FedExExrpessEarnedDiscount))*'1Day Base'!C117),2),ROUND(MinBase1Day*(1+ExpressFuelSurcharge),2),ROUND(((1-(OverNightDiscount_21_Up+FedExExrpessEarnedDiscount))*'1Day Base'!C117)*(1+ExpressFuelSurcharge),2))*(1+FedEx_Markup),2)</f>
        <v>217.88</v>
      </c>
      <c r="D120" s="218">
        <f>ROUND(IF(MinBase1Day&gt;ROUND(((1-(OverNightDiscount_21_Up+FedExExrpessEarnedDiscount))*'1Day Base'!D117),2),ROUND(MinBase1Day*(1+ExpressFuelSurcharge),2),ROUND(((1-(OverNightDiscount_21_Up+FedExExrpessEarnedDiscount))*'1Day Base'!D117)*(1+ExpressFuelSurcharge),2))*(1+FedEx_Markup),2)</f>
        <v>390.1</v>
      </c>
      <c r="E120" s="218">
        <f>ROUND(IF(MinBase1Day&gt;ROUND(((1-(OverNightDiscount_21_Up+FedExExrpessEarnedDiscount))*'1Day Base'!E117),2),ROUND(MinBase1Day*(1+ExpressFuelSurcharge),2),ROUND(((1-(OverNightDiscount_21_Up+FedExExrpessEarnedDiscount))*'1Day Base'!E117)*(1+ExpressFuelSurcharge),2))*(1+FedEx_Markup),2)</f>
        <v>465.32</v>
      </c>
      <c r="F120" s="218">
        <f>ROUND(IF(MinBase1Day&gt;ROUND(((1-(OverNightDiscount_21_Up+FedExExrpessEarnedDiscount))*'1Day Base'!F117),2),ROUND(MinBase1Day*(1+ExpressFuelSurcharge),2),ROUND(((1-(OverNightDiscount_21_Up+FedExExrpessEarnedDiscount))*'1Day Base'!F117)*(1+ExpressFuelSurcharge),2))*(1+FedEx_Markup),2)</f>
        <v>475.18</v>
      </c>
      <c r="G120" s="218">
        <f>ROUND(IF(MinBase1Day&gt;ROUND(((1-(OverNightDiscount_21_Up+FedExExrpessEarnedDiscount))*'1Day Base'!G117),2),ROUND(MinBase1Day*(1+ExpressFuelSurcharge),2),ROUND(((1-(OverNightDiscount_21_Up+FedExExrpessEarnedDiscount))*'1Day Base'!G117)*(1+ExpressFuelSurcharge),2))*(1+FedEx_Markup),2)</f>
        <v>570.63</v>
      </c>
      <c r="H120" s="218">
        <f>ROUND(IF(MinBase1Day&gt;ROUND(((1-(OverNightDiscount_21_Up+FedExExrpessEarnedDiscount))*'1Day Base'!H117),2),ROUND(MinBase1Day*(1+ExpressFuelSurcharge),2),ROUND(((1-(OverNightDiscount_21_Up+FedExExrpessEarnedDiscount))*'1Day Base'!H117)*(1+ExpressFuelSurcharge),2))*(1+FedEx_Markup),2)</f>
        <v>595.01</v>
      </c>
    </row>
    <row r="121" spans="1:26" ht="12.75" customHeight="1">
      <c r="A121" s="217">
        <v>116</v>
      </c>
      <c r="B121" s="218">
        <f>ROUND(IF(MinBase1Day&gt;ROUND(((1-(OverNightDiscount_21_Up+FedExExrpessEarnedDiscount))*'1Day Base'!B118),2),ROUND(MinBase1Day*(1+ExpressFuelSurcharge),2),ROUND(((1-(OverNightDiscount_21_Up+FedExExrpessEarnedDiscount))*'1Day Base'!B118)*(1+ExpressFuelSurcharge),2))*(1+FedEx_Markup),2)</f>
        <v>154.88</v>
      </c>
      <c r="C121" s="218">
        <f>ROUND(IF(MinBase1Day&gt;ROUND(((1-(OverNightDiscount_21_Up+FedExExrpessEarnedDiscount))*'1Day Base'!C118),2),ROUND(MinBase1Day*(1+ExpressFuelSurcharge),2),ROUND(((1-(OverNightDiscount_21_Up+FedExExrpessEarnedDiscount))*'1Day Base'!C118)*(1+ExpressFuelSurcharge),2))*(1+FedEx_Markup),2)</f>
        <v>219.77</v>
      </c>
      <c r="D121" s="218">
        <f>ROUND(IF(MinBase1Day&gt;ROUND(((1-(OverNightDiscount_21_Up+FedExExrpessEarnedDiscount))*'1Day Base'!D118),2),ROUND(MinBase1Day*(1+ExpressFuelSurcharge),2),ROUND(((1-(OverNightDiscount_21_Up+FedExExrpessEarnedDiscount))*'1Day Base'!D118)*(1+ExpressFuelSurcharge),2))*(1+FedEx_Markup),2)</f>
        <v>393.5</v>
      </c>
      <c r="E121" s="218">
        <f>ROUND(IF(MinBase1Day&gt;ROUND(((1-(OverNightDiscount_21_Up+FedExExrpessEarnedDiscount))*'1Day Base'!E118),2),ROUND(MinBase1Day*(1+ExpressFuelSurcharge),2),ROUND(((1-(OverNightDiscount_21_Up+FedExExrpessEarnedDiscount))*'1Day Base'!E118)*(1+ExpressFuelSurcharge),2))*(1+FedEx_Markup),2)</f>
        <v>469.36</v>
      </c>
      <c r="F121" s="218">
        <f>ROUND(IF(MinBase1Day&gt;ROUND(((1-(OverNightDiscount_21_Up+FedExExrpessEarnedDiscount))*'1Day Base'!F118),2),ROUND(MinBase1Day*(1+ExpressFuelSurcharge),2),ROUND(((1-(OverNightDiscount_21_Up+FedExExrpessEarnedDiscount))*'1Day Base'!F118)*(1+ExpressFuelSurcharge),2))*(1+FedEx_Markup),2)</f>
        <v>479.31</v>
      </c>
      <c r="G121" s="218">
        <f>ROUND(IF(MinBase1Day&gt;ROUND(((1-(OverNightDiscount_21_Up+FedExExrpessEarnedDiscount))*'1Day Base'!G118),2),ROUND(MinBase1Day*(1+ExpressFuelSurcharge),2),ROUND(((1-(OverNightDiscount_21_Up+FedExExrpessEarnedDiscount))*'1Day Base'!G118)*(1+ExpressFuelSurcharge),2))*(1+FedEx_Markup),2)</f>
        <v>575.59</v>
      </c>
      <c r="H121" s="218">
        <f>ROUND(IF(MinBase1Day&gt;ROUND(((1-(OverNightDiscount_21_Up+FedExExrpessEarnedDiscount))*'1Day Base'!H118),2),ROUND(MinBase1Day*(1+ExpressFuelSurcharge),2),ROUND(((1-(OverNightDiscount_21_Up+FedExExrpessEarnedDiscount))*'1Day Base'!H118)*(1+ExpressFuelSurcharge),2))*(1+FedEx_Markup),2)</f>
        <v>600.19000000000005</v>
      </c>
      <c r="L121" s="4"/>
    </row>
    <row r="122" spans="1:26" ht="12.75" customHeight="1">
      <c r="A122" s="217">
        <v>117</v>
      </c>
      <c r="B122" s="218">
        <f>ROUND(IF(MinBase1Day&gt;ROUND(((1-(OverNightDiscount_21_Up+FedExExrpessEarnedDiscount))*'1Day Base'!B119),2),ROUND(MinBase1Day*(1+ExpressFuelSurcharge),2),ROUND(((1-(OverNightDiscount_21_Up+FedExExrpessEarnedDiscount))*'1Day Base'!B119)*(1+ExpressFuelSurcharge),2))*(1+FedEx_Markup),2)</f>
        <v>156.22</v>
      </c>
      <c r="C122" s="218">
        <f>ROUND(IF(MinBase1Day&gt;ROUND(((1-(OverNightDiscount_21_Up+FedExExrpessEarnedDiscount))*'1Day Base'!C119),2),ROUND(MinBase1Day*(1+ExpressFuelSurcharge),2),ROUND(((1-(OverNightDiscount_21_Up+FedExExrpessEarnedDiscount))*'1Day Base'!C119)*(1+ExpressFuelSurcharge),2))*(1+FedEx_Markup),2)</f>
        <v>221.66</v>
      </c>
      <c r="D122" s="218">
        <f>ROUND(IF(MinBase1Day&gt;ROUND(((1-(OverNightDiscount_21_Up+FedExExrpessEarnedDiscount))*'1Day Base'!D119),2),ROUND(MinBase1Day*(1+ExpressFuelSurcharge),2),ROUND(((1-(OverNightDiscount_21_Up+FedExExrpessEarnedDiscount))*'1Day Base'!D119)*(1+ExpressFuelSurcharge),2))*(1+FedEx_Markup),2)</f>
        <v>396.89</v>
      </c>
      <c r="E122" s="218">
        <f>ROUND(IF(MinBase1Day&gt;ROUND(((1-(OverNightDiscount_21_Up+FedExExrpessEarnedDiscount))*'1Day Base'!E119),2),ROUND(MinBase1Day*(1+ExpressFuelSurcharge),2),ROUND(((1-(OverNightDiscount_21_Up+FedExExrpessEarnedDiscount))*'1Day Base'!E119)*(1+ExpressFuelSurcharge),2))*(1+FedEx_Markup),2)</f>
        <v>473.41</v>
      </c>
      <c r="F122" s="218">
        <f>ROUND(IF(MinBase1Day&gt;ROUND(((1-(OverNightDiscount_21_Up+FedExExrpessEarnedDiscount))*'1Day Base'!F119),2),ROUND(MinBase1Day*(1+ExpressFuelSurcharge),2),ROUND(((1-(OverNightDiscount_21_Up+FedExExrpessEarnedDiscount))*'1Day Base'!F119)*(1+ExpressFuelSurcharge),2))*(1+FedEx_Markup),2)</f>
        <v>483.44</v>
      </c>
      <c r="G122" s="218">
        <f>ROUND(IF(MinBase1Day&gt;ROUND(((1-(OverNightDiscount_21_Up+FedExExrpessEarnedDiscount))*'1Day Base'!G119),2),ROUND(MinBase1Day*(1+ExpressFuelSurcharge),2),ROUND(((1-(OverNightDiscount_21_Up+FedExExrpessEarnedDiscount))*'1Day Base'!G119)*(1+ExpressFuelSurcharge),2))*(1+FedEx_Markup),2)</f>
        <v>580.54999999999995</v>
      </c>
      <c r="H122" s="218">
        <f>ROUND(IF(MinBase1Day&gt;ROUND(((1-(OverNightDiscount_21_Up+FedExExrpessEarnedDiscount))*'1Day Base'!H119),2),ROUND(MinBase1Day*(1+ExpressFuelSurcharge),2),ROUND(((1-(OverNightDiscount_21_Up+FedExExrpessEarnedDiscount))*'1Day Base'!H119)*(1+ExpressFuelSurcharge),2))*(1+FedEx_Markup),2)</f>
        <v>605.36</v>
      </c>
    </row>
    <row r="123" spans="1:26" ht="12.75" customHeight="1">
      <c r="A123" s="217">
        <v>118</v>
      </c>
      <c r="B123" s="218">
        <f>ROUND(IF(MinBase1Day&gt;ROUND(((1-(OverNightDiscount_21_Up+FedExExrpessEarnedDiscount))*'1Day Base'!B120),2),ROUND(MinBase1Day*(1+ExpressFuelSurcharge),2),ROUND(((1-(OverNightDiscount_21_Up+FedExExrpessEarnedDiscount))*'1Day Base'!B120)*(1+ExpressFuelSurcharge),2))*(1+FedEx_Markup),2)</f>
        <v>157.56</v>
      </c>
      <c r="C123" s="218">
        <f>ROUND(IF(MinBase1Day&gt;ROUND(((1-(OverNightDiscount_21_Up+FedExExrpessEarnedDiscount))*'1Day Base'!C120),2),ROUND(MinBase1Day*(1+ExpressFuelSurcharge),2),ROUND(((1-(OverNightDiscount_21_Up+FedExExrpessEarnedDiscount))*'1Day Base'!C120)*(1+ExpressFuelSurcharge),2))*(1+FedEx_Markup),2)</f>
        <v>223.56</v>
      </c>
      <c r="D123" s="218">
        <f>ROUND(IF(MinBase1Day&gt;ROUND(((1-(OverNightDiscount_21_Up+FedExExrpessEarnedDiscount))*'1Day Base'!D120),2),ROUND(MinBase1Day*(1+ExpressFuelSurcharge),2),ROUND(((1-(OverNightDiscount_21_Up+FedExExrpessEarnedDiscount))*'1Day Base'!D120)*(1+ExpressFuelSurcharge),2))*(1+FedEx_Markup),2)</f>
        <v>400.28</v>
      </c>
      <c r="E123" s="218">
        <f>ROUND(IF(MinBase1Day&gt;ROUND(((1-(OverNightDiscount_21_Up+FedExExrpessEarnedDiscount))*'1Day Base'!E120),2),ROUND(MinBase1Day*(1+ExpressFuelSurcharge),2),ROUND(((1-(OverNightDiscount_21_Up+FedExExrpessEarnedDiscount))*'1Day Base'!E120)*(1+ExpressFuelSurcharge),2))*(1+FedEx_Markup),2)</f>
        <v>477.46</v>
      </c>
      <c r="F123" s="218">
        <f>ROUND(IF(MinBase1Day&gt;ROUND(((1-(OverNightDiscount_21_Up+FedExExrpessEarnedDiscount))*'1Day Base'!F120),2),ROUND(MinBase1Day*(1+ExpressFuelSurcharge),2),ROUND(((1-(OverNightDiscount_21_Up+FedExExrpessEarnedDiscount))*'1Day Base'!F120)*(1+ExpressFuelSurcharge),2))*(1+FedEx_Markup),2)</f>
        <v>487.58</v>
      </c>
      <c r="G123" s="218">
        <f>ROUND(IF(MinBase1Day&gt;ROUND(((1-(OverNightDiscount_21_Up+FedExExrpessEarnedDiscount))*'1Day Base'!G120),2),ROUND(MinBase1Day*(1+ExpressFuelSurcharge),2),ROUND(((1-(OverNightDiscount_21_Up+FedExExrpessEarnedDiscount))*'1Day Base'!G120)*(1+ExpressFuelSurcharge),2))*(1+FedEx_Markup),2)</f>
        <v>585.51</v>
      </c>
      <c r="H123" s="218">
        <f>ROUND(IF(MinBase1Day&gt;ROUND(((1-(OverNightDiscount_21_Up+FedExExrpessEarnedDiscount))*'1Day Base'!H120),2),ROUND(MinBase1Day*(1+ExpressFuelSurcharge),2),ROUND(((1-(OverNightDiscount_21_Up+FedExExrpessEarnedDiscount))*'1Day Base'!H120)*(1+ExpressFuelSurcharge),2))*(1+FedEx_Markup),2)</f>
        <v>610.52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>
      <c r="A124" s="217">
        <v>119</v>
      </c>
      <c r="B124" s="218">
        <f>ROUND(IF(MinBase1Day&gt;ROUND(((1-(OverNightDiscount_21_Up+FedExExrpessEarnedDiscount))*'1Day Base'!B121),2),ROUND(MinBase1Day*(1+ExpressFuelSurcharge),2),ROUND(((1-(OverNightDiscount_21_Up+FedExExrpessEarnedDiscount))*'1Day Base'!B121)*(1+ExpressFuelSurcharge),2))*(1+FedEx_Markup),2)</f>
        <v>158.9</v>
      </c>
      <c r="C124" s="218">
        <f>ROUND(IF(MinBase1Day&gt;ROUND(((1-(OverNightDiscount_21_Up+FedExExrpessEarnedDiscount))*'1Day Base'!C121),2),ROUND(MinBase1Day*(1+ExpressFuelSurcharge),2),ROUND(((1-(OverNightDiscount_21_Up+FedExExrpessEarnedDiscount))*'1Day Base'!C121)*(1+ExpressFuelSurcharge),2))*(1+FedEx_Markup),2)</f>
        <v>225.46</v>
      </c>
      <c r="D124" s="218">
        <f>ROUND(IF(MinBase1Day&gt;ROUND(((1-(OverNightDiscount_21_Up+FedExExrpessEarnedDiscount))*'1Day Base'!D121),2),ROUND(MinBase1Day*(1+ExpressFuelSurcharge),2),ROUND(((1-(OverNightDiscount_21_Up+FedExExrpessEarnedDiscount))*'1Day Base'!D121)*(1+ExpressFuelSurcharge),2))*(1+FedEx_Markup),2)</f>
        <v>403.67</v>
      </c>
      <c r="E124" s="218">
        <f>ROUND(IF(MinBase1Day&gt;ROUND(((1-(OverNightDiscount_21_Up+FedExExrpessEarnedDiscount))*'1Day Base'!E121),2),ROUND(MinBase1Day*(1+ExpressFuelSurcharge),2),ROUND(((1-(OverNightDiscount_21_Up+FedExExrpessEarnedDiscount))*'1Day Base'!E121)*(1+ExpressFuelSurcharge),2))*(1+FedEx_Markup),2)</f>
        <v>481.51</v>
      </c>
      <c r="F124" s="218">
        <f>ROUND(IF(MinBase1Day&gt;ROUND(((1-(OverNightDiscount_21_Up+FedExExrpessEarnedDiscount))*'1Day Base'!F121),2),ROUND(MinBase1Day*(1+ExpressFuelSurcharge),2),ROUND(((1-(OverNightDiscount_21_Up+FedExExrpessEarnedDiscount))*'1Day Base'!F121)*(1+ExpressFuelSurcharge),2))*(1+FedEx_Markup),2)</f>
        <v>491.71</v>
      </c>
      <c r="G124" s="218">
        <f>ROUND(IF(MinBase1Day&gt;ROUND(((1-(OverNightDiscount_21_Up+FedExExrpessEarnedDiscount))*'1Day Base'!G121),2),ROUND(MinBase1Day*(1+ExpressFuelSurcharge),2),ROUND(((1-(OverNightDiscount_21_Up+FedExExrpessEarnedDiscount))*'1Day Base'!G121)*(1+ExpressFuelSurcharge),2))*(1+FedEx_Markup),2)</f>
        <v>590.48</v>
      </c>
      <c r="H124" s="218">
        <f>ROUND(IF(MinBase1Day&gt;ROUND(((1-(OverNightDiscount_21_Up+FedExExrpessEarnedDiscount))*'1Day Base'!H121),2),ROUND(MinBase1Day*(1+ExpressFuelSurcharge),2),ROUND(((1-(OverNightDiscount_21_Up+FedExExrpessEarnedDiscount))*'1Day Base'!H121)*(1+ExpressFuelSurcharge),2))*(1+FedEx_Markup),2)</f>
        <v>615.70000000000005</v>
      </c>
    </row>
    <row r="125" spans="1:26" ht="12.75" customHeight="1">
      <c r="A125" s="217">
        <v>120</v>
      </c>
      <c r="B125" s="218">
        <f>ROUND(IF(MinBase1Day&gt;ROUND(((1-(OverNightDiscount_21_Up+FedExExrpessEarnedDiscount))*'1Day Base'!B122),2),ROUND(MinBase1Day*(1+ExpressFuelSurcharge),2),ROUND(((1-(OverNightDiscount_21_Up+FedExExrpessEarnedDiscount))*'1Day Base'!B122)*(1+ExpressFuelSurcharge),2))*(1+FedEx_Markup),2)</f>
        <v>160.22999999999999</v>
      </c>
      <c r="C125" s="218">
        <f>ROUND(IF(MinBase1Day&gt;ROUND(((1-(OverNightDiscount_21_Up+FedExExrpessEarnedDiscount))*'1Day Base'!C122),2),ROUND(MinBase1Day*(1+ExpressFuelSurcharge),2),ROUND(((1-(OverNightDiscount_21_Up+FedExExrpessEarnedDiscount))*'1Day Base'!C122)*(1+ExpressFuelSurcharge),2))*(1+FedEx_Markup),2)</f>
        <v>227.34</v>
      </c>
      <c r="D125" s="218">
        <f>ROUND(IF(MinBase1Day&gt;ROUND(((1-(OverNightDiscount_21_Up+FedExExrpessEarnedDiscount))*'1Day Base'!D122),2),ROUND(MinBase1Day*(1+ExpressFuelSurcharge),2),ROUND(((1-(OverNightDiscount_21_Up+FedExExrpessEarnedDiscount))*'1Day Base'!D122)*(1+ExpressFuelSurcharge),2))*(1+FedEx_Markup),2)</f>
        <v>407.07</v>
      </c>
      <c r="E125" s="218">
        <f>ROUND(IF(MinBase1Day&gt;ROUND(((1-(OverNightDiscount_21_Up+FedExExrpessEarnedDiscount))*'1Day Base'!E122),2),ROUND(MinBase1Day*(1+ExpressFuelSurcharge),2),ROUND(((1-(OverNightDiscount_21_Up+FedExExrpessEarnedDiscount))*'1Day Base'!E122)*(1+ExpressFuelSurcharge),2))*(1+FedEx_Markup),2)</f>
        <v>485.55</v>
      </c>
      <c r="F125" s="218">
        <f>ROUND(IF(MinBase1Day&gt;ROUND(((1-(OverNightDiscount_21_Up+FedExExrpessEarnedDiscount))*'1Day Base'!F122),2),ROUND(MinBase1Day*(1+ExpressFuelSurcharge),2),ROUND(((1-(OverNightDiscount_21_Up+FedExExrpessEarnedDiscount))*'1Day Base'!F122)*(1+ExpressFuelSurcharge),2))*(1+FedEx_Markup),2)</f>
        <v>495.83</v>
      </c>
      <c r="G125" s="218">
        <f>ROUND(IF(MinBase1Day&gt;ROUND(((1-(OverNightDiscount_21_Up+FedExExrpessEarnedDiscount))*'1Day Base'!G122),2),ROUND(MinBase1Day*(1+ExpressFuelSurcharge),2),ROUND(((1-(OverNightDiscount_21_Up+FedExExrpessEarnedDiscount))*'1Day Base'!G122)*(1+ExpressFuelSurcharge),2))*(1+FedEx_Markup),2)</f>
        <v>595.44000000000005</v>
      </c>
      <c r="H125" s="218">
        <f>ROUND(IF(MinBase1Day&gt;ROUND(((1-(OverNightDiscount_21_Up+FedExExrpessEarnedDiscount))*'1Day Base'!H122),2),ROUND(MinBase1Day*(1+ExpressFuelSurcharge),2),ROUND(((1-(OverNightDiscount_21_Up+FedExExrpessEarnedDiscount))*'1Day Base'!H122)*(1+ExpressFuelSurcharge),2))*(1+FedEx_Markup),2)</f>
        <v>620.87</v>
      </c>
    </row>
    <row r="126" spans="1:26" ht="12.75" customHeight="1">
      <c r="A126" s="217">
        <v>121</v>
      </c>
      <c r="B126" s="218">
        <f>ROUND(IF(MinBase1Day&gt;ROUND(((1-(OverNightDiscount_21_Up+FedExExrpessEarnedDiscount))*'1Day Base'!B123),2),ROUND(MinBase1Day*(1+ExpressFuelSurcharge),2),ROUND(((1-(OverNightDiscount_21_Up+FedExExrpessEarnedDiscount))*'1Day Base'!B123)*(1+ExpressFuelSurcharge),2))*(1+FedEx_Markup),2)</f>
        <v>161.56</v>
      </c>
      <c r="C126" s="218">
        <f>ROUND(IF(MinBase1Day&gt;ROUND(((1-(OverNightDiscount_21_Up+FedExExrpessEarnedDiscount))*'1Day Base'!C123),2),ROUND(MinBase1Day*(1+ExpressFuelSurcharge),2),ROUND(((1-(OverNightDiscount_21_Up+FedExExrpessEarnedDiscount))*'1Day Base'!C123)*(1+ExpressFuelSurcharge),2))*(1+FedEx_Markup),2)</f>
        <v>229.24</v>
      </c>
      <c r="D126" s="218">
        <f>ROUND(IF(MinBase1Day&gt;ROUND(((1-(OverNightDiscount_21_Up+FedExExrpessEarnedDiscount))*'1Day Base'!D123),2),ROUND(MinBase1Day*(1+ExpressFuelSurcharge),2),ROUND(((1-(OverNightDiscount_21_Up+FedExExrpessEarnedDiscount))*'1Day Base'!D123)*(1+ExpressFuelSurcharge),2))*(1+FedEx_Markup),2)</f>
        <v>410.46</v>
      </c>
      <c r="E126" s="218">
        <f>ROUND(IF(MinBase1Day&gt;ROUND(((1-(OverNightDiscount_21_Up+FedExExrpessEarnedDiscount))*'1Day Base'!E123),2),ROUND(MinBase1Day*(1+ExpressFuelSurcharge),2),ROUND(((1-(OverNightDiscount_21_Up+FedExExrpessEarnedDiscount))*'1Day Base'!E123)*(1+ExpressFuelSurcharge),2))*(1+FedEx_Markup),2)</f>
        <v>489.6</v>
      </c>
      <c r="F126" s="218">
        <f>ROUND(IF(MinBase1Day&gt;ROUND(((1-(OverNightDiscount_21_Up+FedExExrpessEarnedDiscount))*'1Day Base'!F123),2),ROUND(MinBase1Day*(1+ExpressFuelSurcharge),2),ROUND(((1-(OverNightDiscount_21_Up+FedExExrpessEarnedDiscount))*'1Day Base'!F123)*(1+ExpressFuelSurcharge),2))*(1+FedEx_Markup),2)</f>
        <v>499.96</v>
      </c>
      <c r="G126" s="218">
        <f>ROUND(IF(MinBase1Day&gt;ROUND(((1-(OverNightDiscount_21_Up+FedExExrpessEarnedDiscount))*'1Day Base'!G123),2),ROUND(MinBase1Day*(1+ExpressFuelSurcharge),2),ROUND(((1-(OverNightDiscount_21_Up+FedExExrpessEarnedDiscount))*'1Day Base'!G123)*(1+ExpressFuelSurcharge),2))*(1+FedEx_Markup),2)</f>
        <v>600.39</v>
      </c>
      <c r="H126" s="218">
        <f>ROUND(IF(MinBase1Day&gt;ROUND(((1-(OverNightDiscount_21_Up+FedExExrpessEarnedDiscount))*'1Day Base'!H123),2),ROUND(MinBase1Day*(1+ExpressFuelSurcharge),2),ROUND(((1-(OverNightDiscount_21_Up+FedExExrpessEarnedDiscount))*'1Day Base'!H123)*(1+ExpressFuelSurcharge),2))*(1+FedEx_Markup),2)</f>
        <v>626.04999999999995</v>
      </c>
    </row>
    <row r="127" spans="1:26" ht="12.75" customHeight="1">
      <c r="A127" s="217">
        <v>122</v>
      </c>
      <c r="B127" s="218">
        <f>ROUND(IF(MinBase1Day&gt;ROUND(((1-(OverNightDiscount_21_Up+FedExExrpessEarnedDiscount))*'1Day Base'!B124),2),ROUND(MinBase1Day*(1+ExpressFuelSurcharge),2),ROUND(((1-(OverNightDiscount_21_Up+FedExExrpessEarnedDiscount))*'1Day Base'!B124)*(1+ExpressFuelSurcharge),2))*(1+FedEx_Markup),2)</f>
        <v>162.9</v>
      </c>
      <c r="C127" s="218">
        <f>ROUND(IF(MinBase1Day&gt;ROUND(((1-(OverNightDiscount_21_Up+FedExExrpessEarnedDiscount))*'1Day Base'!C124),2),ROUND(MinBase1Day*(1+ExpressFuelSurcharge),2),ROUND(((1-(OverNightDiscount_21_Up+FedExExrpessEarnedDiscount))*'1Day Base'!C124)*(1+ExpressFuelSurcharge),2))*(1+FedEx_Markup),2)</f>
        <v>231.14</v>
      </c>
      <c r="D127" s="218">
        <f>ROUND(IF(MinBase1Day&gt;ROUND(((1-(OverNightDiscount_21_Up+FedExExrpessEarnedDiscount))*'1Day Base'!D124),2),ROUND(MinBase1Day*(1+ExpressFuelSurcharge),2),ROUND(((1-(OverNightDiscount_21_Up+FedExExrpessEarnedDiscount))*'1Day Base'!D124)*(1+ExpressFuelSurcharge),2))*(1+FedEx_Markup),2)</f>
        <v>413.85</v>
      </c>
      <c r="E127" s="218">
        <f>ROUND(IF(MinBase1Day&gt;ROUND(((1-(OverNightDiscount_21_Up+FedExExrpessEarnedDiscount))*'1Day Base'!E124),2),ROUND(MinBase1Day*(1+ExpressFuelSurcharge),2),ROUND(((1-(OverNightDiscount_21_Up+FedExExrpessEarnedDiscount))*'1Day Base'!E124)*(1+ExpressFuelSurcharge),2))*(1+FedEx_Markup),2)</f>
        <v>493.64</v>
      </c>
      <c r="F127" s="218">
        <f>ROUND(IF(MinBase1Day&gt;ROUND(((1-(OverNightDiscount_21_Up+FedExExrpessEarnedDiscount))*'1Day Base'!F124),2),ROUND(MinBase1Day*(1+ExpressFuelSurcharge),2),ROUND(((1-(OverNightDiscount_21_Up+FedExExrpessEarnedDiscount))*'1Day Base'!F124)*(1+ExpressFuelSurcharge),2))*(1+FedEx_Markup),2)</f>
        <v>504.1</v>
      </c>
      <c r="G127" s="218">
        <f>ROUND(IF(MinBase1Day&gt;ROUND(((1-(OverNightDiscount_21_Up+FedExExrpessEarnedDiscount))*'1Day Base'!G124),2),ROUND(MinBase1Day*(1+ExpressFuelSurcharge),2),ROUND(((1-(OverNightDiscount_21_Up+FedExExrpessEarnedDiscount))*'1Day Base'!G124)*(1+ExpressFuelSurcharge),2))*(1+FedEx_Markup),2)</f>
        <v>605.36</v>
      </c>
      <c r="H127" s="218">
        <f>ROUND(IF(MinBase1Day&gt;ROUND(((1-(OverNightDiscount_21_Up+FedExExrpessEarnedDiscount))*'1Day Base'!H124),2),ROUND(MinBase1Day*(1+ExpressFuelSurcharge),2),ROUND(((1-(OverNightDiscount_21_Up+FedExExrpessEarnedDiscount))*'1Day Base'!H124)*(1+ExpressFuelSurcharge),2))*(1+FedEx_Markup),2)</f>
        <v>631.22</v>
      </c>
    </row>
    <row r="128" spans="1:26" ht="12.75" customHeight="1">
      <c r="A128" s="217">
        <v>123</v>
      </c>
      <c r="B128" s="218">
        <f>ROUND(IF(MinBase1Day&gt;ROUND(((1-(OverNightDiscount_21_Up+FedExExrpessEarnedDiscount))*'1Day Base'!B125),2),ROUND(MinBase1Day*(1+ExpressFuelSurcharge),2),ROUND(((1-(OverNightDiscount_21_Up+FedExExrpessEarnedDiscount))*'1Day Base'!B125)*(1+ExpressFuelSurcharge),2))*(1+FedEx_Markup),2)</f>
        <v>164.23</v>
      </c>
      <c r="C128" s="218">
        <f>ROUND(IF(MinBase1Day&gt;ROUND(((1-(OverNightDiscount_21_Up+FedExExrpessEarnedDiscount))*'1Day Base'!C125),2),ROUND(MinBase1Day*(1+ExpressFuelSurcharge),2),ROUND(((1-(OverNightDiscount_21_Up+FedExExrpessEarnedDiscount))*'1Day Base'!C125)*(1+ExpressFuelSurcharge),2))*(1+FedEx_Markup),2)</f>
        <v>233.04</v>
      </c>
      <c r="D128" s="218">
        <f>ROUND(IF(MinBase1Day&gt;ROUND(((1-(OverNightDiscount_21_Up+FedExExrpessEarnedDiscount))*'1Day Base'!D125),2),ROUND(MinBase1Day*(1+ExpressFuelSurcharge),2),ROUND(((1-(OverNightDiscount_21_Up+FedExExrpessEarnedDiscount))*'1Day Base'!D125)*(1+ExpressFuelSurcharge),2))*(1+FedEx_Markup),2)</f>
        <v>417.24</v>
      </c>
      <c r="E128" s="218">
        <f>ROUND(IF(MinBase1Day&gt;ROUND(((1-(OverNightDiscount_21_Up+FedExExrpessEarnedDiscount))*'1Day Base'!E125),2),ROUND(MinBase1Day*(1+ExpressFuelSurcharge),2),ROUND(((1-(OverNightDiscount_21_Up+FedExExrpessEarnedDiscount))*'1Day Base'!E125)*(1+ExpressFuelSurcharge),2))*(1+FedEx_Markup),2)</f>
        <v>497.69</v>
      </c>
      <c r="F128" s="218">
        <f>ROUND(IF(MinBase1Day&gt;ROUND(((1-(OverNightDiscount_21_Up+FedExExrpessEarnedDiscount))*'1Day Base'!F125),2),ROUND(MinBase1Day*(1+ExpressFuelSurcharge),2),ROUND(((1-(OverNightDiscount_21_Up+FedExExrpessEarnedDiscount))*'1Day Base'!F125)*(1+ExpressFuelSurcharge),2))*(1+FedEx_Markup),2)</f>
        <v>508.23</v>
      </c>
      <c r="G128" s="218">
        <f>ROUND(IF(MinBase1Day&gt;ROUND(((1-(OverNightDiscount_21_Up+FedExExrpessEarnedDiscount))*'1Day Base'!G125),2),ROUND(MinBase1Day*(1+ExpressFuelSurcharge),2),ROUND(((1-(OverNightDiscount_21_Up+FedExExrpessEarnedDiscount))*'1Day Base'!G125)*(1+ExpressFuelSurcharge),2))*(1+FedEx_Markup),2)</f>
        <v>610.32000000000005</v>
      </c>
      <c r="H128" s="218">
        <f>ROUND(IF(MinBase1Day&gt;ROUND(((1-(OverNightDiscount_21_Up+FedExExrpessEarnedDiscount))*'1Day Base'!H125),2),ROUND(MinBase1Day*(1+ExpressFuelSurcharge),2),ROUND(((1-(OverNightDiscount_21_Up+FedExExrpessEarnedDiscount))*'1Day Base'!H125)*(1+ExpressFuelSurcharge),2))*(1+FedEx_Markup),2)</f>
        <v>636.4</v>
      </c>
    </row>
    <row r="129" spans="1:8" ht="12.75" customHeight="1">
      <c r="A129" s="217">
        <v>124</v>
      </c>
      <c r="B129" s="218">
        <f>ROUND(IF(MinBase1Day&gt;ROUND(((1-(OverNightDiscount_21_Up+FedExExrpessEarnedDiscount))*'1Day Base'!B126),2),ROUND(MinBase1Day*(1+ExpressFuelSurcharge),2),ROUND(((1-(OverNightDiscount_21_Up+FedExExrpessEarnedDiscount))*'1Day Base'!B126)*(1+ExpressFuelSurcharge),2))*(1+FedEx_Markup),2)</f>
        <v>165.57</v>
      </c>
      <c r="C129" s="218">
        <f>ROUND(IF(MinBase1Day&gt;ROUND(((1-(OverNightDiscount_21_Up+FedExExrpessEarnedDiscount))*'1Day Base'!C126),2),ROUND(MinBase1Day*(1+ExpressFuelSurcharge),2),ROUND(((1-(OverNightDiscount_21_Up+FedExExrpessEarnedDiscount))*'1Day Base'!C126)*(1+ExpressFuelSurcharge),2))*(1+FedEx_Markup),2)</f>
        <v>234.92</v>
      </c>
      <c r="D129" s="218">
        <f>ROUND(IF(MinBase1Day&gt;ROUND(((1-(OverNightDiscount_21_Up+FedExExrpessEarnedDiscount))*'1Day Base'!D126),2),ROUND(MinBase1Day*(1+ExpressFuelSurcharge),2),ROUND(((1-(OverNightDiscount_21_Up+FedExExrpessEarnedDiscount))*'1Day Base'!D126)*(1+ExpressFuelSurcharge),2))*(1+FedEx_Markup),2)</f>
        <v>420.64</v>
      </c>
      <c r="E129" s="218">
        <f>ROUND(IF(MinBase1Day&gt;ROUND(((1-(OverNightDiscount_21_Up+FedExExrpessEarnedDiscount))*'1Day Base'!E126),2),ROUND(MinBase1Day*(1+ExpressFuelSurcharge),2),ROUND(((1-(OverNightDiscount_21_Up+FedExExrpessEarnedDiscount))*'1Day Base'!E126)*(1+ExpressFuelSurcharge),2))*(1+FedEx_Markup),2)</f>
        <v>501.73</v>
      </c>
      <c r="F129" s="218">
        <f>ROUND(IF(MinBase1Day&gt;ROUND(((1-(OverNightDiscount_21_Up+FedExExrpessEarnedDiscount))*'1Day Base'!F126),2),ROUND(MinBase1Day*(1+ExpressFuelSurcharge),2),ROUND(((1-(OverNightDiscount_21_Up+FedExExrpessEarnedDiscount))*'1Day Base'!F126)*(1+ExpressFuelSurcharge),2))*(1+FedEx_Markup),2)</f>
        <v>512.36</v>
      </c>
      <c r="G129" s="218">
        <f>ROUND(IF(MinBase1Day&gt;ROUND(((1-(OverNightDiscount_21_Up+FedExExrpessEarnedDiscount))*'1Day Base'!G126),2),ROUND(MinBase1Day*(1+ExpressFuelSurcharge),2),ROUND(((1-(OverNightDiscount_21_Up+FedExExrpessEarnedDiscount))*'1Day Base'!G126)*(1+ExpressFuelSurcharge),2))*(1+FedEx_Markup),2)</f>
        <v>615.28</v>
      </c>
      <c r="H129" s="218">
        <f>ROUND(IF(MinBase1Day&gt;ROUND(((1-(OverNightDiscount_21_Up+FedExExrpessEarnedDiscount))*'1Day Base'!H126),2),ROUND(MinBase1Day*(1+ExpressFuelSurcharge),2),ROUND(((1-(OverNightDiscount_21_Up+FedExExrpessEarnedDiscount))*'1Day Base'!H126)*(1+ExpressFuelSurcharge),2))*(1+FedEx_Markup),2)</f>
        <v>641.57000000000005</v>
      </c>
    </row>
    <row r="130" spans="1:8" ht="12.75" customHeight="1">
      <c r="A130" s="217">
        <v>125</v>
      </c>
      <c r="B130" s="218">
        <f>ROUND(IF(MinBase1Day&gt;ROUND(((1-(OverNightDiscount_21_Up+FedExExrpessEarnedDiscount))*'1Day Base'!B127),2),ROUND(MinBase1Day*(1+ExpressFuelSurcharge),2),ROUND(((1-(OverNightDiscount_21_Up+FedExExrpessEarnedDiscount))*'1Day Base'!B127)*(1+ExpressFuelSurcharge),2))*(1+FedEx_Markup),2)</f>
        <v>166.9</v>
      </c>
      <c r="C130" s="218">
        <f>ROUND(IF(MinBase1Day&gt;ROUND(((1-(OverNightDiscount_21_Up+FedExExrpessEarnedDiscount))*'1Day Base'!C127),2),ROUND(MinBase1Day*(1+ExpressFuelSurcharge),2),ROUND(((1-(OverNightDiscount_21_Up+FedExExrpessEarnedDiscount))*'1Day Base'!C127)*(1+ExpressFuelSurcharge),2))*(1+FedEx_Markup),2)</f>
        <v>236.82</v>
      </c>
      <c r="D130" s="218">
        <f>ROUND(IF(MinBase1Day&gt;ROUND(((1-(OverNightDiscount_21_Up+FedExExrpessEarnedDiscount))*'1Day Base'!D127),2),ROUND(MinBase1Day*(1+ExpressFuelSurcharge),2),ROUND(((1-(OverNightDiscount_21_Up+FedExExrpessEarnedDiscount))*'1Day Base'!D127)*(1+ExpressFuelSurcharge),2))*(1+FedEx_Markup),2)</f>
        <v>424.03</v>
      </c>
      <c r="E130" s="218">
        <f>ROUND(IF(MinBase1Day&gt;ROUND(((1-(OverNightDiscount_21_Up+FedExExrpessEarnedDiscount))*'1Day Base'!E127),2),ROUND(MinBase1Day*(1+ExpressFuelSurcharge),2),ROUND(((1-(OverNightDiscount_21_Up+FedExExrpessEarnedDiscount))*'1Day Base'!E127)*(1+ExpressFuelSurcharge),2))*(1+FedEx_Markup),2)</f>
        <v>505.78</v>
      </c>
      <c r="F130" s="218">
        <f>ROUND(IF(MinBase1Day&gt;ROUND(((1-(OverNightDiscount_21_Up+FedExExrpessEarnedDiscount))*'1Day Base'!F127),2),ROUND(MinBase1Day*(1+ExpressFuelSurcharge),2),ROUND(((1-(OverNightDiscount_21_Up+FedExExrpessEarnedDiscount))*'1Day Base'!F127)*(1+ExpressFuelSurcharge),2))*(1+FedEx_Markup),2)</f>
        <v>516.5</v>
      </c>
      <c r="G130" s="218">
        <f>ROUND(IF(MinBase1Day&gt;ROUND(((1-(OverNightDiscount_21_Up+FedExExrpessEarnedDiscount))*'1Day Base'!G127),2),ROUND(MinBase1Day*(1+ExpressFuelSurcharge),2),ROUND(((1-(OverNightDiscount_21_Up+FedExExrpessEarnedDiscount))*'1Day Base'!G127)*(1+ExpressFuelSurcharge),2))*(1+FedEx_Markup),2)</f>
        <v>620.24</v>
      </c>
      <c r="H130" s="218">
        <f>ROUND(IF(MinBase1Day&gt;ROUND(((1-(OverNightDiscount_21_Up+FedExExrpessEarnedDiscount))*'1Day Base'!H127),2),ROUND(MinBase1Day*(1+ExpressFuelSurcharge),2),ROUND(((1-(OverNightDiscount_21_Up+FedExExrpessEarnedDiscount))*'1Day Base'!H127)*(1+ExpressFuelSurcharge),2))*(1+FedEx_Markup),2)</f>
        <v>646.75</v>
      </c>
    </row>
    <row r="131" spans="1:8" ht="12.75" customHeight="1">
      <c r="A131" s="217">
        <v>126</v>
      </c>
      <c r="B131" s="218">
        <f>ROUND(IF(MinBase1Day&gt;ROUND(((1-(OverNightDiscount_21_Up+FedExExrpessEarnedDiscount))*'1Day Base'!B128),2),ROUND(MinBase1Day*(1+ExpressFuelSurcharge),2),ROUND(((1-(OverNightDiscount_21_Up+FedExExrpessEarnedDiscount))*'1Day Base'!B128)*(1+ExpressFuelSurcharge),2))*(1+FedEx_Markup),2)</f>
        <v>168.23</v>
      </c>
      <c r="C131" s="218">
        <f>ROUND(IF(MinBase1Day&gt;ROUND(((1-(OverNightDiscount_21_Up+FedExExrpessEarnedDiscount))*'1Day Base'!C128),2),ROUND(MinBase1Day*(1+ExpressFuelSurcharge),2),ROUND(((1-(OverNightDiscount_21_Up+FedExExrpessEarnedDiscount))*'1Day Base'!C128)*(1+ExpressFuelSurcharge),2))*(1+FedEx_Markup),2)</f>
        <v>238.72</v>
      </c>
      <c r="D131" s="218">
        <f>ROUND(IF(MinBase1Day&gt;ROUND(((1-(OverNightDiscount_21_Up+FedExExrpessEarnedDiscount))*'1Day Base'!D128),2),ROUND(MinBase1Day*(1+ExpressFuelSurcharge),2),ROUND(((1-(OverNightDiscount_21_Up+FedExExrpessEarnedDiscount))*'1Day Base'!D128)*(1+ExpressFuelSurcharge),2))*(1+FedEx_Markup),2)</f>
        <v>427.41</v>
      </c>
      <c r="E131" s="218">
        <f>ROUND(IF(MinBase1Day&gt;ROUND(((1-(OverNightDiscount_21_Up+FedExExrpessEarnedDiscount))*'1Day Base'!E128),2),ROUND(MinBase1Day*(1+ExpressFuelSurcharge),2),ROUND(((1-(OverNightDiscount_21_Up+FedExExrpessEarnedDiscount))*'1Day Base'!E128)*(1+ExpressFuelSurcharge),2))*(1+FedEx_Markup),2)</f>
        <v>509.83</v>
      </c>
      <c r="F131" s="218">
        <f>ROUND(IF(MinBase1Day&gt;ROUND(((1-(OverNightDiscount_21_Up+FedExExrpessEarnedDiscount))*'1Day Base'!F128),2),ROUND(MinBase1Day*(1+ExpressFuelSurcharge),2),ROUND(((1-(OverNightDiscount_21_Up+FedExExrpessEarnedDiscount))*'1Day Base'!F128)*(1+ExpressFuelSurcharge),2))*(1+FedEx_Markup),2)</f>
        <v>520.63</v>
      </c>
      <c r="G131" s="218">
        <f>ROUND(IF(MinBase1Day&gt;ROUND(((1-(OverNightDiscount_21_Up+FedExExrpessEarnedDiscount))*'1Day Base'!G128),2),ROUND(MinBase1Day*(1+ExpressFuelSurcharge),2),ROUND(((1-(OverNightDiscount_21_Up+FedExExrpessEarnedDiscount))*'1Day Base'!G128)*(1+ExpressFuelSurcharge),2))*(1+FedEx_Markup),2)</f>
        <v>625.21</v>
      </c>
      <c r="H131" s="218">
        <f>ROUND(IF(MinBase1Day&gt;ROUND(((1-(OverNightDiscount_21_Up+FedExExrpessEarnedDiscount))*'1Day Base'!H128),2),ROUND(MinBase1Day*(1+ExpressFuelSurcharge),2),ROUND(((1-(OverNightDiscount_21_Up+FedExExrpessEarnedDiscount))*'1Day Base'!H128)*(1+ExpressFuelSurcharge),2))*(1+FedEx_Markup),2)</f>
        <v>651.91999999999996</v>
      </c>
    </row>
    <row r="132" spans="1:8" ht="12.75" customHeight="1">
      <c r="A132" s="217">
        <v>127</v>
      </c>
      <c r="B132" s="218">
        <f>ROUND(IF(MinBase1Day&gt;ROUND(((1-(OverNightDiscount_21_Up+FedExExrpessEarnedDiscount))*'1Day Base'!B129),2),ROUND(MinBase1Day*(1+ExpressFuelSurcharge),2),ROUND(((1-(OverNightDiscount_21_Up+FedExExrpessEarnedDiscount))*'1Day Base'!B129)*(1+ExpressFuelSurcharge),2))*(1+FedEx_Markup),2)</f>
        <v>169.57</v>
      </c>
      <c r="C132" s="218">
        <f>ROUND(IF(MinBase1Day&gt;ROUND(((1-(OverNightDiscount_21_Up+FedExExrpessEarnedDiscount))*'1Day Base'!C129),2),ROUND(MinBase1Day*(1+ExpressFuelSurcharge),2),ROUND(((1-(OverNightDiscount_21_Up+FedExExrpessEarnedDiscount))*'1Day Base'!C129)*(1+ExpressFuelSurcharge),2))*(1+FedEx_Markup),2)</f>
        <v>240.61</v>
      </c>
      <c r="D132" s="218">
        <f>ROUND(IF(MinBase1Day&gt;ROUND(((1-(OverNightDiscount_21_Up+FedExExrpessEarnedDiscount))*'1Day Base'!D129),2),ROUND(MinBase1Day*(1+ExpressFuelSurcharge),2),ROUND(((1-(OverNightDiscount_21_Up+FedExExrpessEarnedDiscount))*'1Day Base'!D129)*(1+ExpressFuelSurcharge),2))*(1+FedEx_Markup),2)</f>
        <v>430.8</v>
      </c>
      <c r="E132" s="218">
        <f>ROUND(IF(MinBase1Day&gt;ROUND(((1-(OverNightDiscount_21_Up+FedExExrpessEarnedDiscount))*'1Day Base'!E129),2),ROUND(MinBase1Day*(1+ExpressFuelSurcharge),2),ROUND(((1-(OverNightDiscount_21_Up+FedExExrpessEarnedDiscount))*'1Day Base'!E129)*(1+ExpressFuelSurcharge),2))*(1+FedEx_Markup),2)</f>
        <v>513.88</v>
      </c>
      <c r="F132" s="218">
        <f>ROUND(IF(MinBase1Day&gt;ROUND(((1-(OverNightDiscount_21_Up+FedExExrpessEarnedDiscount))*'1Day Base'!F129),2),ROUND(MinBase1Day*(1+ExpressFuelSurcharge),2),ROUND(((1-(OverNightDiscount_21_Up+FedExExrpessEarnedDiscount))*'1Day Base'!F129)*(1+ExpressFuelSurcharge),2))*(1+FedEx_Markup),2)</f>
        <v>524.76</v>
      </c>
      <c r="G132" s="218">
        <f>ROUND(IF(MinBase1Day&gt;ROUND(((1-(OverNightDiscount_21_Up+FedExExrpessEarnedDiscount))*'1Day Base'!G129),2),ROUND(MinBase1Day*(1+ExpressFuelSurcharge),2),ROUND(((1-(OverNightDiscount_21_Up+FedExExrpessEarnedDiscount))*'1Day Base'!G129)*(1+ExpressFuelSurcharge),2))*(1+FedEx_Markup),2)</f>
        <v>630.16999999999996</v>
      </c>
      <c r="H132" s="218">
        <f>ROUND(IF(MinBase1Day&gt;ROUND(((1-(OverNightDiscount_21_Up+FedExExrpessEarnedDiscount))*'1Day Base'!H129),2),ROUND(MinBase1Day*(1+ExpressFuelSurcharge),2),ROUND(((1-(OverNightDiscount_21_Up+FedExExrpessEarnedDiscount))*'1Day Base'!H129)*(1+ExpressFuelSurcharge),2))*(1+FedEx_Markup),2)</f>
        <v>657.1</v>
      </c>
    </row>
    <row r="133" spans="1:8" ht="12.75" customHeight="1">
      <c r="A133" s="217">
        <v>128</v>
      </c>
      <c r="B133" s="218">
        <f>ROUND(IF(MinBase1Day&gt;ROUND(((1-(OverNightDiscount_21_Up+FedExExrpessEarnedDiscount))*'1Day Base'!B130),2),ROUND(MinBase1Day*(1+ExpressFuelSurcharge),2),ROUND(((1-(OverNightDiscount_21_Up+FedExExrpessEarnedDiscount))*'1Day Base'!B130)*(1+ExpressFuelSurcharge),2))*(1+FedEx_Markup),2)</f>
        <v>170.91</v>
      </c>
      <c r="C133" s="218">
        <f>ROUND(IF(MinBase1Day&gt;ROUND(((1-(OverNightDiscount_21_Up+FedExExrpessEarnedDiscount))*'1Day Base'!C130),2),ROUND(MinBase1Day*(1+ExpressFuelSurcharge),2),ROUND(((1-(OverNightDiscount_21_Up+FedExExrpessEarnedDiscount))*'1Day Base'!C130)*(1+ExpressFuelSurcharge),2))*(1+FedEx_Markup),2)</f>
        <v>242.5</v>
      </c>
      <c r="D133" s="218">
        <f>ROUND(IF(MinBase1Day&gt;ROUND(((1-(OverNightDiscount_21_Up+FedExExrpessEarnedDiscount))*'1Day Base'!D130),2),ROUND(MinBase1Day*(1+ExpressFuelSurcharge),2),ROUND(((1-(OverNightDiscount_21_Up+FedExExrpessEarnedDiscount))*'1Day Base'!D130)*(1+ExpressFuelSurcharge),2))*(1+FedEx_Markup),2)</f>
        <v>434.19</v>
      </c>
      <c r="E133" s="218">
        <f>ROUND(IF(MinBase1Day&gt;ROUND(((1-(OverNightDiscount_21_Up+FedExExrpessEarnedDiscount))*'1Day Base'!E130),2),ROUND(MinBase1Day*(1+ExpressFuelSurcharge),2),ROUND(((1-(OverNightDiscount_21_Up+FedExExrpessEarnedDiscount))*'1Day Base'!E130)*(1+ExpressFuelSurcharge),2))*(1+FedEx_Markup),2)</f>
        <v>517.92999999999995</v>
      </c>
      <c r="F133" s="218">
        <f>ROUND(IF(MinBase1Day&gt;ROUND(((1-(OverNightDiscount_21_Up+FedExExrpessEarnedDiscount))*'1Day Base'!F130),2),ROUND(MinBase1Day*(1+ExpressFuelSurcharge),2),ROUND(((1-(OverNightDiscount_21_Up+FedExExrpessEarnedDiscount))*'1Day Base'!F130)*(1+ExpressFuelSurcharge),2))*(1+FedEx_Markup),2)</f>
        <v>528.9</v>
      </c>
      <c r="G133" s="218">
        <f>ROUND(IF(MinBase1Day&gt;ROUND(((1-(OverNightDiscount_21_Up+FedExExrpessEarnedDiscount))*'1Day Base'!G130),2),ROUND(MinBase1Day*(1+ExpressFuelSurcharge),2),ROUND(((1-(OverNightDiscount_21_Up+FedExExrpessEarnedDiscount))*'1Day Base'!G130)*(1+ExpressFuelSurcharge),2))*(1+FedEx_Markup),2)</f>
        <v>635.13</v>
      </c>
      <c r="H133" s="218">
        <f>ROUND(IF(MinBase1Day&gt;ROUND(((1-(OverNightDiscount_21_Up+FedExExrpessEarnedDiscount))*'1Day Base'!H130),2),ROUND(MinBase1Day*(1+ExpressFuelSurcharge),2),ROUND(((1-(OverNightDiscount_21_Up+FedExExrpessEarnedDiscount))*'1Day Base'!H130)*(1+ExpressFuelSurcharge),2))*(1+FedEx_Markup),2)</f>
        <v>662.27</v>
      </c>
    </row>
    <row r="134" spans="1:8" ht="12.75" customHeight="1">
      <c r="A134" s="217">
        <v>129</v>
      </c>
      <c r="B134" s="218">
        <f>ROUND(IF(MinBase1Day&gt;ROUND(((1-(OverNightDiscount_21_Up+FedExExrpessEarnedDiscount))*'1Day Base'!B131),2),ROUND(MinBase1Day*(1+ExpressFuelSurcharge),2),ROUND(((1-(OverNightDiscount_21_Up+FedExExrpessEarnedDiscount))*'1Day Base'!B131)*(1+ExpressFuelSurcharge),2))*(1+FedEx_Markup),2)</f>
        <v>172.25</v>
      </c>
      <c r="C134" s="218">
        <f>ROUND(IF(MinBase1Day&gt;ROUND(((1-(OverNightDiscount_21_Up+FedExExrpessEarnedDiscount))*'1Day Base'!C131),2),ROUND(MinBase1Day*(1+ExpressFuelSurcharge),2),ROUND(((1-(OverNightDiscount_21_Up+FedExExrpessEarnedDiscount))*'1Day Base'!C131)*(1+ExpressFuelSurcharge),2))*(1+FedEx_Markup),2)</f>
        <v>244.4</v>
      </c>
      <c r="D134" s="218">
        <f>ROUND(IF(MinBase1Day&gt;ROUND(((1-(OverNightDiscount_21_Up+FedExExrpessEarnedDiscount))*'1Day Base'!D131),2),ROUND(MinBase1Day*(1+ExpressFuelSurcharge),2),ROUND(((1-(OverNightDiscount_21_Up+FedExExrpessEarnedDiscount))*'1Day Base'!D131)*(1+ExpressFuelSurcharge),2))*(1+FedEx_Markup),2)</f>
        <v>437.59</v>
      </c>
      <c r="E134" s="218">
        <f>ROUND(IF(MinBase1Day&gt;ROUND(((1-(OverNightDiscount_21_Up+FedExExrpessEarnedDiscount))*'1Day Base'!E131),2),ROUND(MinBase1Day*(1+ExpressFuelSurcharge),2),ROUND(((1-(OverNightDiscount_21_Up+FedExExrpessEarnedDiscount))*'1Day Base'!E131)*(1+ExpressFuelSurcharge),2))*(1+FedEx_Markup),2)</f>
        <v>521.96</v>
      </c>
      <c r="F134" s="218">
        <f>ROUND(IF(MinBase1Day&gt;ROUND(((1-(OverNightDiscount_21_Up+FedExExrpessEarnedDiscount))*'1Day Base'!F131),2),ROUND(MinBase1Day*(1+ExpressFuelSurcharge),2),ROUND(((1-(OverNightDiscount_21_Up+FedExExrpessEarnedDiscount))*'1Day Base'!F131)*(1+ExpressFuelSurcharge),2))*(1+FedEx_Markup),2)</f>
        <v>533.03</v>
      </c>
      <c r="G134" s="218">
        <f>ROUND(IF(MinBase1Day&gt;ROUND(((1-(OverNightDiscount_21_Up+FedExExrpessEarnedDiscount))*'1Day Base'!G131),2),ROUND(MinBase1Day*(1+ExpressFuelSurcharge),2),ROUND(((1-(OverNightDiscount_21_Up+FedExExrpessEarnedDiscount))*'1Day Base'!G131)*(1+ExpressFuelSurcharge),2))*(1+FedEx_Markup),2)</f>
        <v>640.09</v>
      </c>
      <c r="H134" s="218">
        <f>ROUND(IF(MinBase1Day&gt;ROUND(((1-(OverNightDiscount_21_Up+FedExExrpessEarnedDiscount))*'1Day Base'!H131),2),ROUND(MinBase1Day*(1+ExpressFuelSurcharge),2),ROUND(((1-(OverNightDiscount_21_Up+FedExExrpessEarnedDiscount))*'1Day Base'!H131)*(1+ExpressFuelSurcharge),2))*(1+FedEx_Markup),2)</f>
        <v>667.44</v>
      </c>
    </row>
    <row r="135" spans="1:8" ht="12.75" customHeight="1">
      <c r="A135" s="217">
        <v>130</v>
      </c>
      <c r="B135" s="218">
        <f>ROUND(IF(MinBase1Day&gt;ROUND(((1-(OverNightDiscount_21_Up+FedExExrpessEarnedDiscount))*'1Day Base'!B132),2),ROUND(MinBase1Day*(1+ExpressFuelSurcharge),2),ROUND(((1-(OverNightDiscount_21_Up+FedExExrpessEarnedDiscount))*'1Day Base'!B132)*(1+ExpressFuelSurcharge),2))*(1+FedEx_Markup),2)</f>
        <v>173.58</v>
      </c>
      <c r="C135" s="218">
        <f>ROUND(IF(MinBase1Day&gt;ROUND(((1-(OverNightDiscount_21_Up+FedExExrpessEarnedDiscount))*'1Day Base'!C132),2),ROUND(MinBase1Day*(1+ExpressFuelSurcharge),2),ROUND(((1-(OverNightDiscount_21_Up+FedExExrpessEarnedDiscount))*'1Day Base'!C132)*(1+ExpressFuelSurcharge),2))*(1+FedEx_Markup),2)</f>
        <v>246.3</v>
      </c>
      <c r="D135" s="218">
        <f>ROUND(IF(MinBase1Day&gt;ROUND(((1-(OverNightDiscount_21_Up+FedExExrpessEarnedDiscount))*'1Day Base'!D132),2),ROUND(MinBase1Day*(1+ExpressFuelSurcharge),2),ROUND(((1-(OverNightDiscount_21_Up+FedExExrpessEarnedDiscount))*'1Day Base'!D132)*(1+ExpressFuelSurcharge),2))*(1+FedEx_Markup),2)</f>
        <v>440.98</v>
      </c>
      <c r="E135" s="218">
        <f>ROUND(IF(MinBase1Day&gt;ROUND(((1-(OverNightDiscount_21_Up+FedExExrpessEarnedDiscount))*'1Day Base'!E132),2),ROUND(MinBase1Day*(1+ExpressFuelSurcharge),2),ROUND(((1-(OverNightDiscount_21_Up+FedExExrpessEarnedDiscount))*'1Day Base'!E132)*(1+ExpressFuelSurcharge),2))*(1+FedEx_Markup),2)</f>
        <v>526.01</v>
      </c>
      <c r="F135" s="218">
        <f>ROUND(IF(MinBase1Day&gt;ROUND(((1-(OverNightDiscount_21_Up+FedExExrpessEarnedDiscount))*'1Day Base'!F132),2),ROUND(MinBase1Day*(1+ExpressFuelSurcharge),2),ROUND(((1-(OverNightDiscount_21_Up+FedExExrpessEarnedDiscount))*'1Day Base'!F132)*(1+ExpressFuelSurcharge),2))*(1+FedEx_Markup),2)</f>
        <v>537.15</v>
      </c>
      <c r="G135" s="218">
        <f>ROUND(IF(MinBase1Day&gt;ROUND(((1-(OverNightDiscount_21_Up+FedExExrpessEarnedDiscount))*'1Day Base'!G132),2),ROUND(MinBase1Day*(1+ExpressFuelSurcharge),2),ROUND(((1-(OverNightDiscount_21_Up+FedExExrpessEarnedDiscount))*'1Day Base'!G132)*(1+ExpressFuelSurcharge),2))*(1+FedEx_Markup),2)</f>
        <v>645.05999999999995</v>
      </c>
      <c r="H135" s="218">
        <f>ROUND(IF(MinBase1Day&gt;ROUND(((1-(OverNightDiscount_21_Up+FedExExrpessEarnedDiscount))*'1Day Base'!H132),2),ROUND(MinBase1Day*(1+ExpressFuelSurcharge),2),ROUND(((1-(OverNightDiscount_21_Up+FedExExrpessEarnedDiscount))*'1Day Base'!H132)*(1+ExpressFuelSurcharge),2))*(1+FedEx_Markup),2)</f>
        <v>672.61</v>
      </c>
    </row>
    <row r="136" spans="1:8" ht="12.75" customHeight="1">
      <c r="A136" s="217">
        <v>131</v>
      </c>
      <c r="B136" s="218">
        <f>ROUND(IF(MinBase1Day&gt;ROUND(((1-(OverNightDiscount_21_Up+FedExExrpessEarnedDiscount))*'1Day Base'!B133),2),ROUND(MinBase1Day*(1+ExpressFuelSurcharge),2),ROUND(((1-(OverNightDiscount_21_Up+FedExExrpessEarnedDiscount))*'1Day Base'!B133)*(1+ExpressFuelSurcharge),2))*(1+FedEx_Markup),2)</f>
        <v>174.92</v>
      </c>
      <c r="C136" s="218">
        <f>ROUND(IF(MinBase1Day&gt;ROUND(((1-(OverNightDiscount_21_Up+FedExExrpessEarnedDiscount))*'1Day Base'!C133),2),ROUND(MinBase1Day*(1+ExpressFuelSurcharge),2),ROUND(((1-(OverNightDiscount_21_Up+FedExExrpessEarnedDiscount))*'1Day Base'!C133)*(1+ExpressFuelSurcharge),2))*(1+FedEx_Markup),2)</f>
        <v>248.19</v>
      </c>
      <c r="D136" s="218">
        <f>ROUND(IF(MinBase1Day&gt;ROUND(((1-(OverNightDiscount_21_Up+FedExExrpessEarnedDiscount))*'1Day Base'!D133),2),ROUND(MinBase1Day*(1+ExpressFuelSurcharge),2),ROUND(((1-(OverNightDiscount_21_Up+FedExExrpessEarnedDiscount))*'1Day Base'!D133)*(1+ExpressFuelSurcharge),2))*(1+FedEx_Markup),2)</f>
        <v>444.37</v>
      </c>
      <c r="E136" s="218">
        <f>ROUND(IF(MinBase1Day&gt;ROUND(((1-(OverNightDiscount_21_Up+FedExExrpessEarnedDiscount))*'1Day Base'!E133),2),ROUND(MinBase1Day*(1+ExpressFuelSurcharge),2),ROUND(((1-(OverNightDiscount_21_Up+FedExExrpessEarnedDiscount))*'1Day Base'!E133)*(1+ExpressFuelSurcharge),2))*(1+FedEx_Markup),2)</f>
        <v>530.05999999999995</v>
      </c>
      <c r="F136" s="218">
        <f>ROUND(IF(MinBase1Day&gt;ROUND(((1-(OverNightDiscount_21_Up+FedExExrpessEarnedDiscount))*'1Day Base'!F133),2),ROUND(MinBase1Day*(1+ExpressFuelSurcharge),2),ROUND(((1-(OverNightDiscount_21_Up+FedExExrpessEarnedDiscount))*'1Day Base'!F133)*(1+ExpressFuelSurcharge),2))*(1+FedEx_Markup),2)</f>
        <v>541.28</v>
      </c>
      <c r="G136" s="218">
        <f>ROUND(IF(MinBase1Day&gt;ROUND(((1-(OverNightDiscount_21_Up+FedExExrpessEarnedDiscount))*'1Day Base'!G133),2),ROUND(MinBase1Day*(1+ExpressFuelSurcharge),2),ROUND(((1-(OverNightDiscount_21_Up+FedExExrpessEarnedDiscount))*'1Day Base'!G133)*(1+ExpressFuelSurcharge),2))*(1+FedEx_Markup),2)</f>
        <v>650.01</v>
      </c>
      <c r="H136" s="218">
        <f>ROUND(IF(MinBase1Day&gt;ROUND(((1-(OverNightDiscount_21_Up+FedExExrpessEarnedDiscount))*'1Day Base'!H133),2),ROUND(MinBase1Day*(1+ExpressFuelSurcharge),2),ROUND(((1-(OverNightDiscount_21_Up+FedExExrpessEarnedDiscount))*'1Day Base'!H133)*(1+ExpressFuelSurcharge),2))*(1+FedEx_Markup),2)</f>
        <v>677.79</v>
      </c>
    </row>
    <row r="137" spans="1:8" ht="12.75" customHeight="1">
      <c r="A137" s="217">
        <v>132</v>
      </c>
      <c r="B137" s="218">
        <f>ROUND(IF(MinBase1Day&gt;ROUND(((1-(OverNightDiscount_21_Up+FedExExrpessEarnedDiscount))*'1Day Base'!B134),2),ROUND(MinBase1Day*(1+ExpressFuelSurcharge),2),ROUND(((1-(OverNightDiscount_21_Up+FedExExrpessEarnedDiscount))*'1Day Base'!B134)*(1+ExpressFuelSurcharge),2))*(1+FedEx_Markup),2)</f>
        <v>176.25</v>
      </c>
      <c r="C137" s="218">
        <f>ROUND(IF(MinBase1Day&gt;ROUND(((1-(OverNightDiscount_21_Up+FedExExrpessEarnedDiscount))*'1Day Base'!C134),2),ROUND(MinBase1Day*(1+ExpressFuelSurcharge),2),ROUND(((1-(OverNightDiscount_21_Up+FedExExrpessEarnedDiscount))*'1Day Base'!C134)*(1+ExpressFuelSurcharge),2))*(1+FedEx_Markup),2)</f>
        <v>250.08</v>
      </c>
      <c r="D137" s="218">
        <f>ROUND(IF(MinBase1Day&gt;ROUND(((1-(OverNightDiscount_21_Up+FedExExrpessEarnedDiscount))*'1Day Base'!D134),2),ROUND(MinBase1Day*(1+ExpressFuelSurcharge),2),ROUND(((1-(OverNightDiscount_21_Up+FedExExrpessEarnedDiscount))*'1Day Base'!D134)*(1+ExpressFuelSurcharge),2))*(1+FedEx_Markup),2)</f>
        <v>447.76</v>
      </c>
      <c r="E137" s="218">
        <f>ROUND(IF(MinBase1Day&gt;ROUND(((1-(OverNightDiscount_21_Up+FedExExrpessEarnedDiscount))*'1Day Base'!E134),2),ROUND(MinBase1Day*(1+ExpressFuelSurcharge),2),ROUND(((1-(OverNightDiscount_21_Up+FedExExrpessEarnedDiscount))*'1Day Base'!E134)*(1+ExpressFuelSurcharge),2))*(1+FedEx_Markup),2)</f>
        <v>534.11</v>
      </c>
      <c r="F137" s="218">
        <f>ROUND(IF(MinBase1Day&gt;ROUND(((1-(OverNightDiscount_21_Up+FedExExrpessEarnedDiscount))*'1Day Base'!F134),2),ROUND(MinBase1Day*(1+ExpressFuelSurcharge),2),ROUND(((1-(OverNightDiscount_21_Up+FedExExrpessEarnedDiscount))*'1Day Base'!F134)*(1+ExpressFuelSurcharge),2))*(1+FedEx_Markup),2)</f>
        <v>545.41999999999996</v>
      </c>
      <c r="G137" s="218">
        <f>ROUND(IF(MinBase1Day&gt;ROUND(((1-(OverNightDiscount_21_Up+FedExExrpessEarnedDiscount))*'1Day Base'!G134),2),ROUND(MinBase1Day*(1+ExpressFuelSurcharge),2),ROUND(((1-(OverNightDiscount_21_Up+FedExExrpessEarnedDiscount))*'1Day Base'!G134)*(1+ExpressFuelSurcharge),2))*(1+FedEx_Markup),2)</f>
        <v>654.98</v>
      </c>
      <c r="H137" s="218">
        <f>ROUND(IF(MinBase1Day&gt;ROUND(((1-(OverNightDiscount_21_Up+FedExExrpessEarnedDiscount))*'1Day Base'!H134),2),ROUND(MinBase1Day*(1+ExpressFuelSurcharge),2),ROUND(((1-(OverNightDiscount_21_Up+FedExExrpessEarnedDiscount))*'1Day Base'!H134)*(1+ExpressFuelSurcharge),2))*(1+FedEx_Markup),2)</f>
        <v>682.96</v>
      </c>
    </row>
    <row r="138" spans="1:8" ht="12.75" customHeight="1">
      <c r="A138" s="217">
        <v>133</v>
      </c>
      <c r="B138" s="218">
        <f>ROUND(IF(MinBase1Day&gt;ROUND(((1-(OverNightDiscount_21_Up+FedExExrpessEarnedDiscount))*'1Day Base'!B135),2),ROUND(MinBase1Day*(1+ExpressFuelSurcharge),2),ROUND(((1-(OverNightDiscount_21_Up+FedExExrpessEarnedDiscount))*'1Day Base'!B135)*(1+ExpressFuelSurcharge),2))*(1+FedEx_Markup),2)</f>
        <v>177.58</v>
      </c>
      <c r="C138" s="218">
        <f>ROUND(IF(MinBase1Day&gt;ROUND(((1-(OverNightDiscount_21_Up+FedExExrpessEarnedDiscount))*'1Day Base'!C135),2),ROUND(MinBase1Day*(1+ExpressFuelSurcharge),2),ROUND(((1-(OverNightDiscount_21_Up+FedExExrpessEarnedDiscount))*'1Day Base'!C135)*(1+ExpressFuelSurcharge),2))*(1+FedEx_Markup),2)</f>
        <v>251.98</v>
      </c>
      <c r="D138" s="218">
        <f>ROUND(IF(MinBase1Day&gt;ROUND(((1-(OverNightDiscount_21_Up+FedExExrpessEarnedDiscount))*'1Day Base'!D135),2),ROUND(MinBase1Day*(1+ExpressFuelSurcharge),2),ROUND(((1-(OverNightDiscount_21_Up+FedExExrpessEarnedDiscount))*'1Day Base'!D135)*(1+ExpressFuelSurcharge),2))*(1+FedEx_Markup),2)</f>
        <v>451.16</v>
      </c>
      <c r="E138" s="218">
        <f>ROUND(IF(MinBase1Day&gt;ROUND(((1-(OverNightDiscount_21_Up+FedExExrpessEarnedDiscount))*'1Day Base'!E135),2),ROUND(MinBase1Day*(1+ExpressFuelSurcharge),2),ROUND(((1-(OverNightDiscount_21_Up+FedExExrpessEarnedDiscount))*'1Day Base'!E135)*(1+ExpressFuelSurcharge),2))*(1+FedEx_Markup),2)</f>
        <v>538.15</v>
      </c>
      <c r="F138" s="218">
        <f>ROUND(IF(MinBase1Day&gt;ROUND(((1-(OverNightDiscount_21_Up+FedExExrpessEarnedDiscount))*'1Day Base'!F135),2),ROUND(MinBase1Day*(1+ExpressFuelSurcharge),2),ROUND(((1-(OverNightDiscount_21_Up+FedExExrpessEarnedDiscount))*'1Day Base'!F135)*(1+ExpressFuelSurcharge),2))*(1+FedEx_Markup),2)</f>
        <v>549.54999999999995</v>
      </c>
      <c r="G138" s="218">
        <f>ROUND(IF(MinBase1Day&gt;ROUND(((1-(OverNightDiscount_21_Up+FedExExrpessEarnedDiscount))*'1Day Base'!G135),2),ROUND(MinBase1Day*(1+ExpressFuelSurcharge),2),ROUND(((1-(OverNightDiscount_21_Up+FedExExrpessEarnedDiscount))*'1Day Base'!G135)*(1+ExpressFuelSurcharge),2))*(1+FedEx_Markup),2)</f>
        <v>659.94</v>
      </c>
      <c r="H138" s="218">
        <f>ROUND(IF(MinBase1Day&gt;ROUND(((1-(OverNightDiscount_21_Up+FedExExrpessEarnedDiscount))*'1Day Base'!H135),2),ROUND(MinBase1Day*(1+ExpressFuelSurcharge),2),ROUND(((1-(OverNightDiscount_21_Up+FedExExrpessEarnedDiscount))*'1Day Base'!H135)*(1+ExpressFuelSurcharge),2))*(1+FedEx_Markup),2)</f>
        <v>688.14</v>
      </c>
    </row>
    <row r="139" spans="1:8" ht="12.75" customHeight="1">
      <c r="A139" s="217">
        <v>134</v>
      </c>
      <c r="B139" s="218">
        <f>ROUND(IF(MinBase1Day&gt;ROUND(((1-(OverNightDiscount_21_Up+FedExExrpessEarnedDiscount))*'1Day Base'!B136),2),ROUND(MinBase1Day*(1+ExpressFuelSurcharge),2),ROUND(((1-(OverNightDiscount_21_Up+FedExExrpessEarnedDiscount))*'1Day Base'!B136)*(1+ExpressFuelSurcharge),2))*(1+FedEx_Markup),2)</f>
        <v>178.92</v>
      </c>
      <c r="C139" s="218">
        <f>ROUND(IF(MinBase1Day&gt;ROUND(((1-(OverNightDiscount_21_Up+FedExExrpessEarnedDiscount))*'1Day Base'!C136),2),ROUND(MinBase1Day*(1+ExpressFuelSurcharge),2),ROUND(((1-(OverNightDiscount_21_Up+FedExExrpessEarnedDiscount))*'1Day Base'!C136)*(1+ExpressFuelSurcharge),2))*(1+FedEx_Markup),2)</f>
        <v>253.87</v>
      </c>
      <c r="D139" s="218">
        <f>ROUND(IF(MinBase1Day&gt;ROUND(((1-(OverNightDiscount_21_Up+FedExExrpessEarnedDiscount))*'1Day Base'!D136),2),ROUND(MinBase1Day*(1+ExpressFuelSurcharge),2),ROUND(((1-(OverNightDiscount_21_Up+FedExExrpessEarnedDiscount))*'1Day Base'!D136)*(1+ExpressFuelSurcharge),2))*(1+FedEx_Markup),2)</f>
        <v>454.55</v>
      </c>
      <c r="E139" s="218">
        <f>ROUND(IF(MinBase1Day&gt;ROUND(((1-(OverNightDiscount_21_Up+FedExExrpessEarnedDiscount))*'1Day Base'!E136),2),ROUND(MinBase1Day*(1+ExpressFuelSurcharge),2),ROUND(((1-(OverNightDiscount_21_Up+FedExExrpessEarnedDiscount))*'1Day Base'!E136)*(1+ExpressFuelSurcharge),2))*(1+FedEx_Markup),2)</f>
        <v>542.20000000000005</v>
      </c>
      <c r="F139" s="218">
        <f>ROUND(IF(MinBase1Day&gt;ROUND(((1-(OverNightDiscount_21_Up+FedExExrpessEarnedDiscount))*'1Day Base'!F136),2),ROUND(MinBase1Day*(1+ExpressFuelSurcharge),2),ROUND(((1-(OverNightDiscount_21_Up+FedExExrpessEarnedDiscount))*'1Day Base'!F136)*(1+ExpressFuelSurcharge),2))*(1+FedEx_Markup),2)</f>
        <v>553.67999999999995</v>
      </c>
      <c r="G139" s="218">
        <f>ROUND(IF(MinBase1Day&gt;ROUND(((1-(OverNightDiscount_21_Up+FedExExrpessEarnedDiscount))*'1Day Base'!G136),2),ROUND(MinBase1Day*(1+ExpressFuelSurcharge),2),ROUND(((1-(OverNightDiscount_21_Up+FedExExrpessEarnedDiscount))*'1Day Base'!G136)*(1+ExpressFuelSurcharge),2))*(1+FedEx_Markup),2)</f>
        <v>664.91</v>
      </c>
      <c r="H139" s="218">
        <f>ROUND(IF(MinBase1Day&gt;ROUND(((1-(OverNightDiscount_21_Up+FedExExrpessEarnedDiscount))*'1Day Base'!H136),2),ROUND(MinBase1Day*(1+ExpressFuelSurcharge),2),ROUND(((1-(OverNightDiscount_21_Up+FedExExrpessEarnedDiscount))*'1Day Base'!H136)*(1+ExpressFuelSurcharge),2))*(1+FedEx_Markup),2)</f>
        <v>693.31</v>
      </c>
    </row>
    <row r="140" spans="1:8" ht="12.75" customHeight="1">
      <c r="A140" s="217">
        <v>135</v>
      </c>
      <c r="B140" s="218">
        <f>ROUND(IF(MinBase1Day&gt;ROUND(((1-(OverNightDiscount_21_Up+FedExExrpessEarnedDiscount))*'1Day Base'!B137),2),ROUND(MinBase1Day*(1+ExpressFuelSurcharge),2),ROUND(((1-(OverNightDiscount_21_Up+FedExExrpessEarnedDiscount))*'1Day Base'!B137)*(1+ExpressFuelSurcharge),2))*(1+FedEx_Markup),2)</f>
        <v>180.25</v>
      </c>
      <c r="C140" s="218">
        <f>ROUND(IF(MinBase1Day&gt;ROUND(((1-(OverNightDiscount_21_Up+FedExExrpessEarnedDiscount))*'1Day Base'!C137),2),ROUND(MinBase1Day*(1+ExpressFuelSurcharge),2),ROUND(((1-(OverNightDiscount_21_Up+FedExExrpessEarnedDiscount))*'1Day Base'!C137)*(1+ExpressFuelSurcharge),2))*(1+FedEx_Markup),2)</f>
        <v>255.77</v>
      </c>
      <c r="D140" s="218">
        <f>ROUND(IF(MinBase1Day&gt;ROUND(((1-(OverNightDiscount_21_Up+FedExExrpessEarnedDiscount))*'1Day Base'!D137),2),ROUND(MinBase1Day*(1+ExpressFuelSurcharge),2),ROUND(((1-(OverNightDiscount_21_Up+FedExExrpessEarnedDiscount))*'1Day Base'!D137)*(1+ExpressFuelSurcharge),2))*(1+FedEx_Markup),2)</f>
        <v>457.94</v>
      </c>
      <c r="E140" s="218">
        <f>ROUND(IF(MinBase1Day&gt;ROUND(((1-(OverNightDiscount_21_Up+FedExExrpessEarnedDiscount))*'1Day Base'!E137),2),ROUND(MinBase1Day*(1+ExpressFuelSurcharge),2),ROUND(((1-(OverNightDiscount_21_Up+FedExExrpessEarnedDiscount))*'1Day Base'!E137)*(1+ExpressFuelSurcharge),2))*(1+FedEx_Markup),2)</f>
        <v>546.25</v>
      </c>
      <c r="F140" s="218">
        <f>ROUND(IF(MinBase1Day&gt;ROUND(((1-(OverNightDiscount_21_Up+FedExExrpessEarnedDiscount))*'1Day Base'!F137),2),ROUND(MinBase1Day*(1+ExpressFuelSurcharge),2),ROUND(((1-(OverNightDiscount_21_Up+FedExExrpessEarnedDiscount))*'1Day Base'!F137)*(1+ExpressFuelSurcharge),2))*(1+FedEx_Markup),2)</f>
        <v>557.82000000000005</v>
      </c>
      <c r="G140" s="218">
        <f>ROUND(IF(MinBase1Day&gt;ROUND(((1-(OverNightDiscount_21_Up+FedExExrpessEarnedDiscount))*'1Day Base'!G137),2),ROUND(MinBase1Day*(1+ExpressFuelSurcharge),2),ROUND(((1-(OverNightDiscount_21_Up+FedExExrpessEarnedDiscount))*'1Day Base'!G137)*(1+ExpressFuelSurcharge),2))*(1+FedEx_Markup),2)</f>
        <v>669.86</v>
      </c>
      <c r="H140" s="218">
        <f>ROUND(IF(MinBase1Day&gt;ROUND(((1-(OverNightDiscount_21_Up+FedExExrpessEarnedDiscount))*'1Day Base'!H137),2),ROUND(MinBase1Day*(1+ExpressFuelSurcharge),2),ROUND(((1-(OverNightDiscount_21_Up+FedExExrpessEarnedDiscount))*'1Day Base'!H137)*(1+ExpressFuelSurcharge),2))*(1+FedEx_Markup),2)</f>
        <v>698.49</v>
      </c>
    </row>
    <row r="141" spans="1:8" ht="12.75" customHeight="1">
      <c r="A141" s="217">
        <v>136</v>
      </c>
      <c r="B141" s="218">
        <f>ROUND(IF(MinBase1Day&gt;ROUND(((1-(OverNightDiscount_21_Up+FedExExrpessEarnedDiscount))*'1Day Base'!B138),2),ROUND(MinBase1Day*(1+ExpressFuelSurcharge),2),ROUND(((1-(OverNightDiscount_21_Up+FedExExrpessEarnedDiscount))*'1Day Base'!B138)*(1+ExpressFuelSurcharge),2))*(1+FedEx_Markup),2)</f>
        <v>181.59</v>
      </c>
      <c r="C141" s="218">
        <f>ROUND(IF(MinBase1Day&gt;ROUND(((1-(OverNightDiscount_21_Up+FedExExrpessEarnedDiscount))*'1Day Base'!C138),2),ROUND(MinBase1Day*(1+ExpressFuelSurcharge),2),ROUND(((1-(OverNightDiscount_21_Up+FedExExrpessEarnedDiscount))*'1Day Base'!C138)*(1+ExpressFuelSurcharge),2))*(1+FedEx_Markup),2)</f>
        <v>257.66000000000003</v>
      </c>
      <c r="D141" s="218">
        <f>ROUND(IF(MinBase1Day&gt;ROUND(((1-(OverNightDiscount_21_Up+FedExExrpessEarnedDiscount))*'1Day Base'!D138),2),ROUND(MinBase1Day*(1+ExpressFuelSurcharge),2),ROUND(((1-(OverNightDiscount_21_Up+FedExExrpessEarnedDiscount))*'1Day Base'!D138)*(1+ExpressFuelSurcharge),2))*(1+FedEx_Markup),2)</f>
        <v>461.33</v>
      </c>
      <c r="E141" s="218">
        <f>ROUND(IF(MinBase1Day&gt;ROUND(((1-(OverNightDiscount_21_Up+FedExExrpessEarnedDiscount))*'1Day Base'!E138),2),ROUND(MinBase1Day*(1+ExpressFuelSurcharge),2),ROUND(((1-(OverNightDiscount_21_Up+FedExExrpessEarnedDiscount))*'1Day Base'!E138)*(1+ExpressFuelSurcharge),2))*(1+FedEx_Markup),2)</f>
        <v>550.29</v>
      </c>
      <c r="F141" s="218">
        <f>ROUND(IF(MinBase1Day&gt;ROUND(((1-(OverNightDiscount_21_Up+FedExExrpessEarnedDiscount))*'1Day Base'!F138),2),ROUND(MinBase1Day*(1+ExpressFuelSurcharge),2),ROUND(((1-(OverNightDiscount_21_Up+FedExExrpessEarnedDiscount))*'1Day Base'!F138)*(1+ExpressFuelSurcharge),2))*(1+FedEx_Markup),2)</f>
        <v>561.95000000000005</v>
      </c>
      <c r="G141" s="218">
        <f>ROUND(IF(MinBase1Day&gt;ROUND(((1-(OverNightDiscount_21_Up+FedExExrpessEarnedDiscount))*'1Day Base'!G138),2),ROUND(MinBase1Day*(1+ExpressFuelSurcharge),2),ROUND(((1-(OverNightDiscount_21_Up+FedExExrpessEarnedDiscount))*'1Day Base'!G138)*(1+ExpressFuelSurcharge),2))*(1+FedEx_Markup),2)</f>
        <v>674.83</v>
      </c>
      <c r="H141" s="218">
        <f>ROUND(IF(MinBase1Day&gt;ROUND(((1-(OverNightDiscount_21_Up+FedExExrpessEarnedDiscount))*'1Day Base'!H138),2),ROUND(MinBase1Day*(1+ExpressFuelSurcharge),2),ROUND(((1-(OverNightDiscount_21_Up+FedExExrpessEarnedDiscount))*'1Day Base'!H138)*(1+ExpressFuelSurcharge),2))*(1+FedEx_Markup),2)</f>
        <v>703.66</v>
      </c>
    </row>
    <row r="142" spans="1:8" ht="12.75" customHeight="1">
      <c r="A142" s="217">
        <v>137</v>
      </c>
      <c r="B142" s="218">
        <f>ROUND(IF(MinBase1Day&gt;ROUND(((1-(OverNightDiscount_21_Up+FedExExrpessEarnedDiscount))*'1Day Base'!B139),2),ROUND(MinBase1Day*(1+ExpressFuelSurcharge),2),ROUND(((1-(OverNightDiscount_21_Up+FedExExrpessEarnedDiscount))*'1Day Base'!B139)*(1+ExpressFuelSurcharge),2))*(1+FedEx_Markup),2)</f>
        <v>182.93</v>
      </c>
      <c r="C142" s="218">
        <f>ROUND(IF(MinBase1Day&gt;ROUND(((1-(OverNightDiscount_21_Up+FedExExrpessEarnedDiscount))*'1Day Base'!C139),2),ROUND(MinBase1Day*(1+ExpressFuelSurcharge),2),ROUND(((1-(OverNightDiscount_21_Up+FedExExrpessEarnedDiscount))*'1Day Base'!C139)*(1+ExpressFuelSurcharge),2))*(1+FedEx_Markup),2)</f>
        <v>259.56</v>
      </c>
      <c r="D142" s="218">
        <f>ROUND(IF(MinBase1Day&gt;ROUND(((1-(OverNightDiscount_21_Up+FedExExrpessEarnedDiscount))*'1Day Base'!D139),2),ROUND(MinBase1Day*(1+ExpressFuelSurcharge),2),ROUND(((1-(OverNightDiscount_21_Up+FedExExrpessEarnedDiscount))*'1Day Base'!D139)*(1+ExpressFuelSurcharge),2))*(1+FedEx_Markup),2)</f>
        <v>464.73</v>
      </c>
      <c r="E142" s="218">
        <f>ROUND(IF(MinBase1Day&gt;ROUND(((1-(OverNightDiscount_21_Up+FedExExrpessEarnedDiscount))*'1Day Base'!E139),2),ROUND(MinBase1Day*(1+ExpressFuelSurcharge),2),ROUND(((1-(OverNightDiscount_21_Up+FedExExrpessEarnedDiscount))*'1Day Base'!E139)*(1+ExpressFuelSurcharge),2))*(1+FedEx_Markup),2)</f>
        <v>554.33000000000004</v>
      </c>
      <c r="F142" s="218">
        <f>ROUND(IF(MinBase1Day&gt;ROUND(((1-(OverNightDiscount_21_Up+FedExExrpessEarnedDiscount))*'1Day Base'!F139),2),ROUND(MinBase1Day*(1+ExpressFuelSurcharge),2),ROUND(((1-(OverNightDiscount_21_Up+FedExExrpessEarnedDiscount))*'1Day Base'!F139)*(1+ExpressFuelSurcharge),2))*(1+FedEx_Markup),2)</f>
        <v>566.08000000000004</v>
      </c>
      <c r="G142" s="218">
        <f>ROUND(IF(MinBase1Day&gt;ROUND(((1-(OverNightDiscount_21_Up+FedExExrpessEarnedDiscount))*'1Day Base'!G139),2),ROUND(MinBase1Day*(1+ExpressFuelSurcharge),2),ROUND(((1-(OverNightDiscount_21_Up+FedExExrpessEarnedDiscount))*'1Day Base'!G139)*(1+ExpressFuelSurcharge),2))*(1+FedEx_Markup),2)</f>
        <v>679.79</v>
      </c>
      <c r="H142" s="218">
        <f>ROUND(IF(MinBase1Day&gt;ROUND(((1-(OverNightDiscount_21_Up+FedExExrpessEarnedDiscount))*'1Day Base'!H139),2),ROUND(MinBase1Day*(1+ExpressFuelSurcharge),2),ROUND(((1-(OverNightDiscount_21_Up+FedExExrpessEarnedDiscount))*'1Day Base'!H139)*(1+ExpressFuelSurcharge),2))*(1+FedEx_Markup),2)</f>
        <v>708.84</v>
      </c>
    </row>
    <row r="143" spans="1:8" ht="12.75" customHeight="1">
      <c r="A143" s="217">
        <v>138</v>
      </c>
      <c r="B143" s="218">
        <f>ROUND(IF(MinBase1Day&gt;ROUND(((1-(OverNightDiscount_21_Up+FedExExrpessEarnedDiscount))*'1Day Base'!B140),2),ROUND(MinBase1Day*(1+ExpressFuelSurcharge),2),ROUND(((1-(OverNightDiscount_21_Up+FedExExrpessEarnedDiscount))*'1Day Base'!B140)*(1+ExpressFuelSurcharge),2))*(1+FedEx_Markup),2)</f>
        <v>184.26</v>
      </c>
      <c r="C143" s="218">
        <f>ROUND(IF(MinBase1Day&gt;ROUND(((1-(OverNightDiscount_21_Up+FedExExrpessEarnedDiscount))*'1Day Base'!C140),2),ROUND(MinBase1Day*(1+ExpressFuelSurcharge),2),ROUND(((1-(OverNightDiscount_21_Up+FedExExrpessEarnedDiscount))*'1Day Base'!C140)*(1+ExpressFuelSurcharge),2))*(1+FedEx_Markup),2)</f>
        <v>261.45</v>
      </c>
      <c r="D143" s="218">
        <f>ROUND(IF(MinBase1Day&gt;ROUND(((1-(OverNightDiscount_21_Up+FedExExrpessEarnedDiscount))*'1Day Base'!D140),2),ROUND(MinBase1Day*(1+ExpressFuelSurcharge),2),ROUND(((1-(OverNightDiscount_21_Up+FedExExrpessEarnedDiscount))*'1Day Base'!D140)*(1+ExpressFuelSurcharge),2))*(1+FedEx_Markup),2)</f>
        <v>468.12</v>
      </c>
      <c r="E143" s="218">
        <f>ROUND(IF(MinBase1Day&gt;ROUND(((1-(OverNightDiscount_21_Up+FedExExrpessEarnedDiscount))*'1Day Base'!E140),2),ROUND(MinBase1Day*(1+ExpressFuelSurcharge),2),ROUND(((1-(OverNightDiscount_21_Up+FedExExrpessEarnedDiscount))*'1Day Base'!E140)*(1+ExpressFuelSurcharge),2))*(1+FedEx_Markup),2)</f>
        <v>558.38</v>
      </c>
      <c r="F143" s="218">
        <f>ROUND(IF(MinBase1Day&gt;ROUND(((1-(OverNightDiscount_21_Up+FedExExrpessEarnedDiscount))*'1Day Base'!F140),2),ROUND(MinBase1Day*(1+ExpressFuelSurcharge),2),ROUND(((1-(OverNightDiscount_21_Up+FedExExrpessEarnedDiscount))*'1Day Base'!F140)*(1+ExpressFuelSurcharge),2))*(1+FedEx_Markup),2)</f>
        <v>570.22</v>
      </c>
      <c r="G143" s="218">
        <f>ROUND(IF(MinBase1Day&gt;ROUND(((1-(OverNightDiscount_21_Up+FedExExrpessEarnedDiscount))*'1Day Base'!G140),2),ROUND(MinBase1Day*(1+ExpressFuelSurcharge),2),ROUND(((1-(OverNightDiscount_21_Up+FedExExrpessEarnedDiscount))*'1Day Base'!G140)*(1+ExpressFuelSurcharge),2))*(1+FedEx_Markup),2)</f>
        <v>684.76</v>
      </c>
      <c r="H143" s="218">
        <f>ROUND(IF(MinBase1Day&gt;ROUND(((1-(OverNightDiscount_21_Up+FedExExrpessEarnedDiscount))*'1Day Base'!H140),2),ROUND(MinBase1Day*(1+ExpressFuelSurcharge),2),ROUND(((1-(OverNightDiscount_21_Up+FedExExrpessEarnedDiscount))*'1Day Base'!H140)*(1+ExpressFuelSurcharge),2))*(1+FedEx_Markup),2)</f>
        <v>714.01</v>
      </c>
    </row>
    <row r="144" spans="1:8" ht="12.75" customHeight="1">
      <c r="A144" s="217">
        <v>139</v>
      </c>
      <c r="B144" s="218">
        <f>ROUND(IF(MinBase1Day&gt;ROUND(((1-(OverNightDiscount_21_Up+FedExExrpessEarnedDiscount))*'1Day Base'!B141),2),ROUND(MinBase1Day*(1+ExpressFuelSurcharge),2),ROUND(((1-(OverNightDiscount_21_Up+FedExExrpessEarnedDiscount))*'1Day Base'!B141)*(1+ExpressFuelSurcharge),2))*(1+FedEx_Markup),2)</f>
        <v>185.6</v>
      </c>
      <c r="C144" s="218">
        <f>ROUND(IF(MinBase1Day&gt;ROUND(((1-(OverNightDiscount_21_Up+FedExExrpessEarnedDiscount))*'1Day Base'!C141),2),ROUND(MinBase1Day*(1+ExpressFuelSurcharge),2),ROUND(((1-(OverNightDiscount_21_Up+FedExExrpessEarnedDiscount))*'1Day Base'!C141)*(1+ExpressFuelSurcharge),2))*(1+FedEx_Markup),2)</f>
        <v>263.35000000000002</v>
      </c>
      <c r="D144" s="218">
        <f>ROUND(IF(MinBase1Day&gt;ROUND(((1-(OverNightDiscount_21_Up+FedExExrpessEarnedDiscount))*'1Day Base'!D141),2),ROUND(MinBase1Day*(1+ExpressFuelSurcharge),2),ROUND(((1-(OverNightDiscount_21_Up+FedExExrpessEarnedDiscount))*'1Day Base'!D141)*(1+ExpressFuelSurcharge),2))*(1+FedEx_Markup),2)</f>
        <v>471.51</v>
      </c>
      <c r="E144" s="218">
        <f>ROUND(IF(MinBase1Day&gt;ROUND(((1-(OverNightDiscount_21_Up+FedExExrpessEarnedDiscount))*'1Day Base'!E141),2),ROUND(MinBase1Day*(1+ExpressFuelSurcharge),2),ROUND(((1-(OverNightDiscount_21_Up+FedExExrpessEarnedDiscount))*'1Day Base'!E141)*(1+ExpressFuelSurcharge),2))*(1+FedEx_Markup),2)</f>
        <v>562.42999999999995</v>
      </c>
      <c r="F144" s="218">
        <f>ROUND(IF(MinBase1Day&gt;ROUND(((1-(OverNightDiscount_21_Up+FedExExrpessEarnedDiscount))*'1Day Base'!F141),2),ROUND(MinBase1Day*(1+ExpressFuelSurcharge),2),ROUND(((1-(OverNightDiscount_21_Up+FedExExrpessEarnedDiscount))*'1Day Base'!F141)*(1+ExpressFuelSurcharge),2))*(1+FedEx_Markup),2)</f>
        <v>574.34</v>
      </c>
      <c r="G144" s="218">
        <f>ROUND(IF(MinBase1Day&gt;ROUND(((1-(OverNightDiscount_21_Up+FedExExrpessEarnedDiscount))*'1Day Base'!G141),2),ROUND(MinBase1Day*(1+ExpressFuelSurcharge),2),ROUND(((1-(OverNightDiscount_21_Up+FedExExrpessEarnedDiscount))*'1Day Base'!G141)*(1+ExpressFuelSurcharge),2))*(1+FedEx_Markup),2)</f>
        <v>689.71</v>
      </c>
      <c r="H144" s="218">
        <f>ROUND(IF(MinBase1Day&gt;ROUND(((1-(OverNightDiscount_21_Up+FedExExrpessEarnedDiscount))*'1Day Base'!H141),2),ROUND(MinBase1Day*(1+ExpressFuelSurcharge),2),ROUND(((1-(OverNightDiscount_21_Up+FedExExrpessEarnedDiscount))*'1Day Base'!H141)*(1+ExpressFuelSurcharge),2))*(1+FedEx_Markup),2)</f>
        <v>719.19</v>
      </c>
    </row>
    <row r="145" spans="1:8" ht="12.75" customHeight="1">
      <c r="A145" s="217">
        <v>140</v>
      </c>
      <c r="B145" s="218">
        <f>ROUND(IF(MinBase1Day&gt;ROUND(((1-(OverNightDiscount_21_Up+FedExExrpessEarnedDiscount))*'1Day Base'!B142),2),ROUND(MinBase1Day*(1+ExpressFuelSurcharge),2),ROUND(((1-(OverNightDiscount_21_Up+FedExExrpessEarnedDiscount))*'1Day Base'!B142)*(1+ExpressFuelSurcharge),2))*(1+FedEx_Markup),2)</f>
        <v>186.93</v>
      </c>
      <c r="C145" s="218">
        <f>ROUND(IF(MinBase1Day&gt;ROUND(((1-(OverNightDiscount_21_Up+FedExExrpessEarnedDiscount))*'1Day Base'!C142),2),ROUND(MinBase1Day*(1+ExpressFuelSurcharge),2),ROUND(((1-(OverNightDiscount_21_Up+FedExExrpessEarnedDiscount))*'1Day Base'!C142)*(1+ExpressFuelSurcharge),2))*(1+FedEx_Markup),2)</f>
        <v>265.24</v>
      </c>
      <c r="D145" s="218">
        <f>ROUND(IF(MinBase1Day&gt;ROUND(((1-(OverNightDiscount_21_Up+FedExExrpessEarnedDiscount))*'1Day Base'!D142),2),ROUND(MinBase1Day*(1+ExpressFuelSurcharge),2),ROUND(((1-(OverNightDiscount_21_Up+FedExExrpessEarnedDiscount))*'1Day Base'!D142)*(1+ExpressFuelSurcharge),2))*(1+FedEx_Markup),2)</f>
        <v>474.9</v>
      </c>
      <c r="E145" s="218">
        <f>ROUND(IF(MinBase1Day&gt;ROUND(((1-(OverNightDiscount_21_Up+FedExExrpessEarnedDiscount))*'1Day Base'!E142),2),ROUND(MinBase1Day*(1+ExpressFuelSurcharge),2),ROUND(((1-(OverNightDiscount_21_Up+FedExExrpessEarnedDiscount))*'1Day Base'!E142)*(1+ExpressFuelSurcharge),2))*(1+FedEx_Markup),2)</f>
        <v>566.48</v>
      </c>
      <c r="F145" s="218">
        <f>ROUND(IF(MinBase1Day&gt;ROUND(((1-(OverNightDiscount_21_Up+FedExExrpessEarnedDiscount))*'1Day Base'!F142),2),ROUND(MinBase1Day*(1+ExpressFuelSurcharge),2),ROUND(((1-(OverNightDiscount_21_Up+FedExExrpessEarnedDiscount))*'1Day Base'!F142)*(1+ExpressFuelSurcharge),2))*(1+FedEx_Markup),2)</f>
        <v>578.47</v>
      </c>
      <c r="G145" s="218">
        <f>ROUND(IF(MinBase1Day&gt;ROUND(((1-(OverNightDiscount_21_Up+FedExExrpessEarnedDiscount))*'1Day Base'!G142),2),ROUND(MinBase1Day*(1+ExpressFuelSurcharge),2),ROUND(((1-(OverNightDiscount_21_Up+FedExExrpessEarnedDiscount))*'1Day Base'!G142)*(1+ExpressFuelSurcharge),2))*(1+FedEx_Markup),2)</f>
        <v>694.68</v>
      </c>
      <c r="H145" s="218">
        <f>ROUND(IF(MinBase1Day&gt;ROUND(((1-(OverNightDiscount_21_Up+FedExExrpessEarnedDiscount))*'1Day Base'!H142),2),ROUND(MinBase1Day*(1+ExpressFuelSurcharge),2),ROUND(((1-(OverNightDiscount_21_Up+FedExExrpessEarnedDiscount))*'1Day Base'!H142)*(1+ExpressFuelSurcharge),2))*(1+FedEx_Markup),2)</f>
        <v>724.36</v>
      </c>
    </row>
    <row r="146" spans="1:8" ht="12.75" customHeight="1">
      <c r="A146" s="217">
        <v>141</v>
      </c>
      <c r="B146" s="218">
        <f>ROUND(IF(MinBase1Day&gt;ROUND(((1-(OverNightDiscount_21_Up+FedExExrpessEarnedDiscount))*'1Day Base'!B143),2),ROUND(MinBase1Day*(1+ExpressFuelSurcharge),2),ROUND(((1-(OverNightDiscount_21_Up+FedExExrpessEarnedDiscount))*'1Day Base'!B143)*(1+ExpressFuelSurcharge),2))*(1+FedEx_Markup),2)</f>
        <v>188.27</v>
      </c>
      <c r="C146" s="218">
        <f>ROUND(IF(MinBase1Day&gt;ROUND(((1-(OverNightDiscount_21_Up+FedExExrpessEarnedDiscount))*'1Day Base'!C143),2),ROUND(MinBase1Day*(1+ExpressFuelSurcharge),2),ROUND(((1-(OverNightDiscount_21_Up+FedExExrpessEarnedDiscount))*'1Day Base'!C143)*(1+ExpressFuelSurcharge),2))*(1+FedEx_Markup),2)</f>
        <v>267.13</v>
      </c>
      <c r="D146" s="218">
        <f>ROUND(IF(MinBase1Day&gt;ROUND(((1-(OverNightDiscount_21_Up+FedExExrpessEarnedDiscount))*'1Day Base'!D143),2),ROUND(MinBase1Day*(1+ExpressFuelSurcharge),2),ROUND(((1-(OverNightDiscount_21_Up+FedExExrpessEarnedDiscount))*'1Day Base'!D143)*(1+ExpressFuelSurcharge),2))*(1+FedEx_Markup),2)</f>
        <v>478.3</v>
      </c>
      <c r="E146" s="218">
        <f>ROUND(IF(MinBase1Day&gt;ROUND(((1-(OverNightDiscount_21_Up+FedExExrpessEarnedDiscount))*'1Day Base'!E143),2),ROUND(MinBase1Day*(1+ExpressFuelSurcharge),2),ROUND(((1-(OverNightDiscount_21_Up+FedExExrpessEarnedDiscount))*'1Day Base'!E143)*(1+ExpressFuelSurcharge),2))*(1+FedEx_Markup),2)</f>
        <v>570.53</v>
      </c>
      <c r="F146" s="218">
        <f>ROUND(IF(MinBase1Day&gt;ROUND(((1-(OverNightDiscount_21_Up+FedExExrpessEarnedDiscount))*'1Day Base'!F143),2),ROUND(MinBase1Day*(1+ExpressFuelSurcharge),2),ROUND(((1-(OverNightDiscount_21_Up+FedExExrpessEarnedDiscount))*'1Day Base'!F143)*(1+ExpressFuelSurcharge),2))*(1+FedEx_Markup),2)</f>
        <v>582.6</v>
      </c>
      <c r="G146" s="218">
        <f>ROUND(IF(MinBase1Day&gt;ROUND(((1-(OverNightDiscount_21_Up+FedExExrpessEarnedDiscount))*'1Day Base'!G143),2),ROUND(MinBase1Day*(1+ExpressFuelSurcharge),2),ROUND(((1-(OverNightDiscount_21_Up+FedExExrpessEarnedDiscount))*'1Day Base'!G143)*(1+ExpressFuelSurcharge),2))*(1+FedEx_Markup),2)</f>
        <v>699.64</v>
      </c>
      <c r="H146" s="218">
        <f>ROUND(IF(MinBase1Day&gt;ROUND(((1-(OverNightDiscount_21_Up+FedExExrpessEarnedDiscount))*'1Day Base'!H143),2),ROUND(MinBase1Day*(1+ExpressFuelSurcharge),2),ROUND(((1-(OverNightDiscount_21_Up+FedExExrpessEarnedDiscount))*'1Day Base'!H143)*(1+ExpressFuelSurcharge),2))*(1+FedEx_Markup),2)</f>
        <v>729.53</v>
      </c>
    </row>
    <row r="147" spans="1:8" ht="12.75" customHeight="1">
      <c r="A147" s="217">
        <v>142</v>
      </c>
      <c r="B147" s="218">
        <f>ROUND(IF(MinBase1Day&gt;ROUND(((1-(OverNightDiscount_21_Up+FedExExrpessEarnedDiscount))*'1Day Base'!B144),2),ROUND(MinBase1Day*(1+ExpressFuelSurcharge),2),ROUND(((1-(OverNightDiscount_21_Up+FedExExrpessEarnedDiscount))*'1Day Base'!B144)*(1+ExpressFuelSurcharge),2))*(1+FedEx_Markup),2)</f>
        <v>189.6</v>
      </c>
      <c r="C147" s="218">
        <f>ROUND(IF(MinBase1Day&gt;ROUND(((1-(OverNightDiscount_21_Up+FedExExrpessEarnedDiscount))*'1Day Base'!C144),2),ROUND(MinBase1Day*(1+ExpressFuelSurcharge),2),ROUND(((1-(OverNightDiscount_21_Up+FedExExrpessEarnedDiscount))*'1Day Base'!C144)*(1+ExpressFuelSurcharge),2))*(1+FedEx_Markup),2)</f>
        <v>269.02999999999997</v>
      </c>
      <c r="D147" s="218">
        <f>ROUND(IF(MinBase1Day&gt;ROUND(((1-(OverNightDiscount_21_Up+FedExExrpessEarnedDiscount))*'1Day Base'!D144),2),ROUND(MinBase1Day*(1+ExpressFuelSurcharge),2),ROUND(((1-(OverNightDiscount_21_Up+FedExExrpessEarnedDiscount))*'1Day Base'!D144)*(1+ExpressFuelSurcharge),2))*(1+FedEx_Markup),2)</f>
        <v>481.69</v>
      </c>
      <c r="E147" s="218">
        <f>ROUND(IF(MinBase1Day&gt;ROUND(((1-(OverNightDiscount_21_Up+FedExExrpessEarnedDiscount))*'1Day Base'!E144),2),ROUND(MinBase1Day*(1+ExpressFuelSurcharge),2),ROUND(((1-(OverNightDiscount_21_Up+FedExExrpessEarnedDiscount))*'1Day Base'!E144)*(1+ExpressFuelSurcharge),2))*(1+FedEx_Markup),2)</f>
        <v>574.55999999999995</v>
      </c>
      <c r="F147" s="218">
        <f>ROUND(IF(MinBase1Day&gt;ROUND(((1-(OverNightDiscount_21_Up+FedExExrpessEarnedDiscount))*'1Day Base'!F144),2),ROUND(MinBase1Day*(1+ExpressFuelSurcharge),2),ROUND(((1-(OverNightDiscount_21_Up+FedExExrpessEarnedDiscount))*'1Day Base'!F144)*(1+ExpressFuelSurcharge),2))*(1+FedEx_Markup),2)</f>
        <v>586.74</v>
      </c>
      <c r="G147" s="218">
        <f>ROUND(IF(MinBase1Day&gt;ROUND(((1-(OverNightDiscount_21_Up+FedExExrpessEarnedDiscount))*'1Day Base'!G144),2),ROUND(MinBase1Day*(1+ExpressFuelSurcharge),2),ROUND(((1-(OverNightDiscount_21_Up+FedExExrpessEarnedDiscount))*'1Day Base'!G144)*(1+ExpressFuelSurcharge),2))*(1+FedEx_Markup),2)</f>
        <v>704.59</v>
      </c>
      <c r="H147" s="218">
        <f>ROUND(IF(MinBase1Day&gt;ROUND(((1-(OverNightDiscount_21_Up+FedExExrpessEarnedDiscount))*'1Day Base'!H144),2),ROUND(MinBase1Day*(1+ExpressFuelSurcharge),2),ROUND(((1-(OverNightDiscount_21_Up+FedExExrpessEarnedDiscount))*'1Day Base'!H144)*(1+ExpressFuelSurcharge),2))*(1+FedEx_Markup),2)</f>
        <v>734.7</v>
      </c>
    </row>
    <row r="148" spans="1:8" ht="12.75" customHeight="1">
      <c r="A148" s="217">
        <v>143</v>
      </c>
      <c r="B148" s="218">
        <f>ROUND(IF(MinBase1Day&gt;ROUND(((1-(OverNightDiscount_21_Up+FedExExrpessEarnedDiscount))*'1Day Base'!B145),2),ROUND(MinBase1Day*(1+ExpressFuelSurcharge),2),ROUND(((1-(OverNightDiscount_21_Up+FedExExrpessEarnedDiscount))*'1Day Base'!B145)*(1+ExpressFuelSurcharge),2))*(1+FedEx_Markup),2)</f>
        <v>190.93</v>
      </c>
      <c r="C148" s="218">
        <f>ROUND(IF(MinBase1Day&gt;ROUND(((1-(OverNightDiscount_21_Up+FedExExrpessEarnedDiscount))*'1Day Base'!C145),2),ROUND(MinBase1Day*(1+ExpressFuelSurcharge),2),ROUND(((1-(OverNightDiscount_21_Up+FedExExrpessEarnedDiscount))*'1Day Base'!C145)*(1+ExpressFuelSurcharge),2))*(1+FedEx_Markup),2)</f>
        <v>270.93</v>
      </c>
      <c r="D148" s="218">
        <f>ROUND(IF(MinBase1Day&gt;ROUND(((1-(OverNightDiscount_21_Up+FedExExrpessEarnedDiscount))*'1Day Base'!D145),2),ROUND(MinBase1Day*(1+ExpressFuelSurcharge),2),ROUND(((1-(OverNightDiscount_21_Up+FedExExrpessEarnedDiscount))*'1Day Base'!D145)*(1+ExpressFuelSurcharge),2))*(1+FedEx_Markup),2)</f>
        <v>485.08</v>
      </c>
      <c r="E148" s="218">
        <f>ROUND(IF(MinBase1Day&gt;ROUND(((1-(OverNightDiscount_21_Up+FedExExrpessEarnedDiscount))*'1Day Base'!E145),2),ROUND(MinBase1Day*(1+ExpressFuelSurcharge),2),ROUND(((1-(OverNightDiscount_21_Up+FedExExrpessEarnedDiscount))*'1Day Base'!E145)*(1+ExpressFuelSurcharge),2))*(1+FedEx_Markup),2)</f>
        <v>578.61</v>
      </c>
      <c r="F148" s="218">
        <f>ROUND(IF(MinBase1Day&gt;ROUND(((1-(OverNightDiscount_21_Up+FedExExrpessEarnedDiscount))*'1Day Base'!F145),2),ROUND(MinBase1Day*(1+ExpressFuelSurcharge),2),ROUND(((1-(OverNightDiscount_21_Up+FedExExrpessEarnedDiscount))*'1Day Base'!F145)*(1+ExpressFuelSurcharge),2))*(1+FedEx_Markup),2)</f>
        <v>590.87</v>
      </c>
      <c r="G148" s="218">
        <f>ROUND(IF(MinBase1Day&gt;ROUND(((1-(OverNightDiscount_21_Up+FedExExrpessEarnedDiscount))*'1Day Base'!G145),2),ROUND(MinBase1Day*(1+ExpressFuelSurcharge),2),ROUND(((1-(OverNightDiscount_21_Up+FedExExrpessEarnedDiscount))*'1Day Base'!G145)*(1+ExpressFuelSurcharge),2))*(1+FedEx_Markup),2)</f>
        <v>709.56</v>
      </c>
      <c r="H148" s="218">
        <f>ROUND(IF(MinBase1Day&gt;ROUND(((1-(OverNightDiscount_21_Up+FedExExrpessEarnedDiscount))*'1Day Base'!H145),2),ROUND(MinBase1Day*(1+ExpressFuelSurcharge),2),ROUND(((1-(OverNightDiscount_21_Up+FedExExrpessEarnedDiscount))*'1Day Base'!H145)*(1+ExpressFuelSurcharge),2))*(1+FedEx_Markup),2)</f>
        <v>739.88</v>
      </c>
    </row>
    <row r="149" spans="1:8" ht="12.75" customHeight="1">
      <c r="A149" s="217">
        <v>144</v>
      </c>
      <c r="B149" s="218">
        <f>ROUND(IF(MinBase1Day&gt;ROUND(((1-(OverNightDiscount_21_Up+FedExExrpessEarnedDiscount))*'1Day Base'!B146),2),ROUND(MinBase1Day*(1+ExpressFuelSurcharge),2),ROUND(((1-(OverNightDiscount_21_Up+FedExExrpessEarnedDiscount))*'1Day Base'!B146)*(1+ExpressFuelSurcharge),2))*(1+FedEx_Markup),2)</f>
        <v>192.27</v>
      </c>
      <c r="C149" s="218">
        <f>ROUND(IF(MinBase1Day&gt;ROUND(((1-(OverNightDiscount_21_Up+FedExExrpessEarnedDiscount))*'1Day Base'!C146),2),ROUND(MinBase1Day*(1+ExpressFuelSurcharge),2),ROUND(((1-(OverNightDiscount_21_Up+FedExExrpessEarnedDiscount))*'1Day Base'!C146)*(1+ExpressFuelSurcharge),2))*(1+FedEx_Markup),2)</f>
        <v>272.81</v>
      </c>
      <c r="D149" s="218">
        <f>ROUND(IF(MinBase1Day&gt;ROUND(((1-(OverNightDiscount_21_Up+FedExExrpessEarnedDiscount))*'1Day Base'!D146),2),ROUND(MinBase1Day*(1+ExpressFuelSurcharge),2),ROUND(((1-(OverNightDiscount_21_Up+FedExExrpessEarnedDiscount))*'1Day Base'!D146)*(1+ExpressFuelSurcharge),2))*(1+FedEx_Markup),2)</f>
        <v>488.47</v>
      </c>
      <c r="E149" s="218">
        <f>ROUND(IF(MinBase1Day&gt;ROUND(((1-(OverNightDiscount_21_Up+FedExExrpessEarnedDiscount))*'1Day Base'!E146),2),ROUND(MinBase1Day*(1+ExpressFuelSurcharge),2),ROUND(((1-(OverNightDiscount_21_Up+FedExExrpessEarnedDiscount))*'1Day Base'!E146)*(1+ExpressFuelSurcharge),2))*(1+FedEx_Markup),2)</f>
        <v>582.66</v>
      </c>
      <c r="F149" s="218">
        <f>ROUND(IF(MinBase1Day&gt;ROUND(((1-(OverNightDiscount_21_Up+FedExExrpessEarnedDiscount))*'1Day Base'!F146),2),ROUND(MinBase1Day*(1+ExpressFuelSurcharge),2),ROUND(((1-(OverNightDiscount_21_Up+FedExExrpessEarnedDiscount))*'1Day Base'!F146)*(1+ExpressFuelSurcharge),2))*(1+FedEx_Markup),2)</f>
        <v>595</v>
      </c>
      <c r="G149" s="218">
        <f>ROUND(IF(MinBase1Day&gt;ROUND(((1-(OverNightDiscount_21_Up+FedExExrpessEarnedDiscount))*'1Day Base'!G146),2),ROUND(MinBase1Day*(1+ExpressFuelSurcharge),2),ROUND(((1-(OverNightDiscount_21_Up+FedExExrpessEarnedDiscount))*'1Day Base'!G146)*(1+ExpressFuelSurcharge),2))*(1+FedEx_Markup),2)</f>
        <v>714.52</v>
      </c>
      <c r="H149" s="218">
        <f>ROUND(IF(MinBase1Day&gt;ROUND(((1-(OverNightDiscount_21_Up+FedExExrpessEarnedDiscount))*'1Day Base'!H146),2),ROUND(MinBase1Day*(1+ExpressFuelSurcharge),2),ROUND(((1-(OverNightDiscount_21_Up+FedExExrpessEarnedDiscount))*'1Day Base'!H146)*(1+ExpressFuelSurcharge),2))*(1+FedEx_Markup),2)</f>
        <v>745.05</v>
      </c>
    </row>
    <row r="150" spans="1:8" ht="12.75" customHeight="1">
      <c r="A150" s="217">
        <v>145</v>
      </c>
      <c r="B150" s="218">
        <f>ROUND(IF(MinBase1Day&gt;ROUND(((1-(OverNightDiscount_21_Up+FedExExrpessEarnedDiscount))*'1Day Base'!B147),2),ROUND(MinBase1Day*(1+ExpressFuelSurcharge),2),ROUND(((1-(OverNightDiscount_21_Up+FedExExrpessEarnedDiscount))*'1Day Base'!B147)*(1+ExpressFuelSurcharge),2))*(1+FedEx_Markup),2)</f>
        <v>193.6</v>
      </c>
      <c r="C150" s="218">
        <f>ROUND(IF(MinBase1Day&gt;ROUND(((1-(OverNightDiscount_21_Up+FedExExrpessEarnedDiscount))*'1Day Base'!C147),2),ROUND(MinBase1Day*(1+ExpressFuelSurcharge),2),ROUND(((1-(OverNightDiscount_21_Up+FedExExrpessEarnedDiscount))*'1Day Base'!C147)*(1+ExpressFuelSurcharge),2))*(1+FedEx_Markup),2)</f>
        <v>274.70999999999998</v>
      </c>
      <c r="D150" s="218">
        <f>ROUND(IF(MinBase1Day&gt;ROUND(((1-(OverNightDiscount_21_Up+FedExExrpessEarnedDiscount))*'1Day Base'!D147),2),ROUND(MinBase1Day*(1+ExpressFuelSurcharge),2),ROUND(((1-(OverNightDiscount_21_Up+FedExExrpessEarnedDiscount))*'1Day Base'!D147)*(1+ExpressFuelSurcharge),2))*(1+FedEx_Markup),2)</f>
        <v>491.87</v>
      </c>
      <c r="E150" s="218">
        <f>ROUND(IF(MinBase1Day&gt;ROUND(((1-(OverNightDiscount_21_Up+FedExExrpessEarnedDiscount))*'1Day Base'!E147),2),ROUND(MinBase1Day*(1+ExpressFuelSurcharge),2),ROUND(((1-(OverNightDiscount_21_Up+FedExExrpessEarnedDiscount))*'1Day Base'!E147)*(1+ExpressFuelSurcharge),2))*(1+FedEx_Markup),2)</f>
        <v>586.71</v>
      </c>
      <c r="F150" s="218">
        <f>ROUND(IF(MinBase1Day&gt;ROUND(((1-(OverNightDiscount_21_Up+FedExExrpessEarnedDiscount))*'1Day Base'!F147),2),ROUND(MinBase1Day*(1+ExpressFuelSurcharge),2),ROUND(((1-(OverNightDiscount_21_Up+FedExExrpessEarnedDiscount))*'1Day Base'!F147)*(1+ExpressFuelSurcharge),2))*(1+FedEx_Markup),2)</f>
        <v>599.14</v>
      </c>
      <c r="G150" s="218">
        <f>ROUND(IF(MinBase1Day&gt;ROUND(((1-(OverNightDiscount_21_Up+FedExExrpessEarnedDiscount))*'1Day Base'!G147),2),ROUND(MinBase1Day*(1+ExpressFuelSurcharge),2),ROUND(((1-(OverNightDiscount_21_Up+FedExExrpessEarnedDiscount))*'1Day Base'!G147)*(1+ExpressFuelSurcharge),2))*(1+FedEx_Markup),2)</f>
        <v>719.49</v>
      </c>
      <c r="H150" s="218">
        <f>ROUND(IF(MinBase1Day&gt;ROUND(((1-(OverNightDiscount_21_Up+FedExExrpessEarnedDiscount))*'1Day Base'!H147),2),ROUND(MinBase1Day*(1+ExpressFuelSurcharge),2),ROUND(((1-(OverNightDiscount_21_Up+FedExExrpessEarnedDiscount))*'1Day Base'!H147)*(1+ExpressFuelSurcharge),2))*(1+FedEx_Markup),2)</f>
        <v>750.23</v>
      </c>
    </row>
    <row r="151" spans="1:8" ht="12.75" customHeight="1">
      <c r="A151" s="217">
        <v>146</v>
      </c>
      <c r="B151" s="218">
        <f>ROUND(IF(MinBase1Day&gt;ROUND(((1-(OverNightDiscount_21_Up+FedExExrpessEarnedDiscount))*'1Day Base'!B148),2),ROUND(MinBase1Day*(1+ExpressFuelSurcharge),2),ROUND(((1-(OverNightDiscount_21_Up+FedExExrpessEarnedDiscount))*'1Day Base'!B148)*(1+ExpressFuelSurcharge),2))*(1+FedEx_Markup),2)</f>
        <v>194.94</v>
      </c>
      <c r="C151" s="218">
        <f>ROUND(IF(MinBase1Day&gt;ROUND(((1-(OverNightDiscount_21_Up+FedExExrpessEarnedDiscount))*'1Day Base'!C148),2),ROUND(MinBase1Day*(1+ExpressFuelSurcharge),2),ROUND(((1-(OverNightDiscount_21_Up+FedExExrpessEarnedDiscount))*'1Day Base'!C148)*(1+ExpressFuelSurcharge),2))*(1+FedEx_Markup),2)</f>
        <v>276.61</v>
      </c>
      <c r="D151" s="218">
        <f>ROUND(IF(MinBase1Day&gt;ROUND(((1-(OverNightDiscount_21_Up+FedExExrpessEarnedDiscount))*'1Day Base'!D148),2),ROUND(MinBase1Day*(1+ExpressFuelSurcharge),2),ROUND(((1-(OverNightDiscount_21_Up+FedExExrpessEarnedDiscount))*'1Day Base'!D148)*(1+ExpressFuelSurcharge),2))*(1+FedEx_Markup),2)</f>
        <v>495.26</v>
      </c>
      <c r="E151" s="218">
        <f>ROUND(IF(MinBase1Day&gt;ROUND(((1-(OverNightDiscount_21_Up+FedExExrpessEarnedDiscount))*'1Day Base'!E148),2),ROUND(MinBase1Day*(1+ExpressFuelSurcharge),2),ROUND(((1-(OverNightDiscount_21_Up+FedExExrpessEarnedDiscount))*'1Day Base'!E148)*(1+ExpressFuelSurcharge),2))*(1+FedEx_Markup),2)</f>
        <v>590.76</v>
      </c>
      <c r="F151" s="218">
        <f>ROUND(IF(MinBase1Day&gt;ROUND(((1-(OverNightDiscount_21_Up+FedExExrpessEarnedDiscount))*'1Day Base'!F148),2),ROUND(MinBase1Day*(1+ExpressFuelSurcharge),2),ROUND(((1-(OverNightDiscount_21_Up+FedExExrpessEarnedDiscount))*'1Day Base'!F148)*(1+ExpressFuelSurcharge),2))*(1+FedEx_Markup),2)</f>
        <v>603.27</v>
      </c>
      <c r="G151" s="218">
        <f>ROUND(IF(MinBase1Day&gt;ROUND(((1-(OverNightDiscount_21_Up+FedExExrpessEarnedDiscount))*'1Day Base'!G148),2),ROUND(MinBase1Day*(1+ExpressFuelSurcharge),2),ROUND(((1-(OverNightDiscount_21_Up+FedExExrpessEarnedDiscount))*'1Day Base'!G148)*(1+ExpressFuelSurcharge),2))*(1+FedEx_Markup),2)</f>
        <v>724.44</v>
      </c>
      <c r="H151" s="218">
        <f>ROUND(IF(MinBase1Day&gt;ROUND(((1-(OverNightDiscount_21_Up+FedExExrpessEarnedDiscount))*'1Day Base'!H148),2),ROUND(MinBase1Day*(1+ExpressFuelSurcharge),2),ROUND(((1-(OverNightDiscount_21_Up+FedExExrpessEarnedDiscount))*'1Day Base'!H148)*(1+ExpressFuelSurcharge),2))*(1+FedEx_Markup),2)</f>
        <v>755.4</v>
      </c>
    </row>
    <row r="152" spans="1:8" ht="12.75" customHeight="1">
      <c r="A152" s="217">
        <v>147</v>
      </c>
      <c r="B152" s="218">
        <f>ROUND(IF(MinBase1Day&gt;ROUND(((1-(OverNightDiscount_21_Up+FedExExrpessEarnedDiscount))*'1Day Base'!B149),2),ROUND(MinBase1Day*(1+ExpressFuelSurcharge),2),ROUND(((1-(OverNightDiscount_21_Up+FedExExrpessEarnedDiscount))*'1Day Base'!B149)*(1+ExpressFuelSurcharge),2))*(1+FedEx_Markup),2)</f>
        <v>196.28</v>
      </c>
      <c r="C152" s="218">
        <f>ROUND(IF(MinBase1Day&gt;ROUND(((1-(OverNightDiscount_21_Up+FedExExrpessEarnedDiscount))*'1Day Base'!C149),2),ROUND(MinBase1Day*(1+ExpressFuelSurcharge),2),ROUND(((1-(OverNightDiscount_21_Up+FedExExrpessEarnedDiscount))*'1Day Base'!C149)*(1+ExpressFuelSurcharge),2))*(1+FedEx_Markup),2)</f>
        <v>278.51</v>
      </c>
      <c r="D152" s="218">
        <f>ROUND(IF(MinBase1Day&gt;ROUND(((1-(OverNightDiscount_21_Up+FedExExrpessEarnedDiscount))*'1Day Base'!D149),2),ROUND(MinBase1Day*(1+ExpressFuelSurcharge),2),ROUND(((1-(OverNightDiscount_21_Up+FedExExrpessEarnedDiscount))*'1Day Base'!D149)*(1+ExpressFuelSurcharge),2))*(1+FedEx_Markup),2)</f>
        <v>498.65</v>
      </c>
      <c r="E152" s="218">
        <f>ROUND(IF(MinBase1Day&gt;ROUND(((1-(OverNightDiscount_21_Up+FedExExrpessEarnedDiscount))*'1Day Base'!E149),2),ROUND(MinBase1Day*(1+ExpressFuelSurcharge),2),ROUND(((1-(OverNightDiscount_21_Up+FedExExrpessEarnedDiscount))*'1Day Base'!E149)*(1+ExpressFuelSurcharge),2))*(1+FedEx_Markup),2)</f>
        <v>594.79999999999995</v>
      </c>
      <c r="F152" s="218">
        <f>ROUND(IF(MinBase1Day&gt;ROUND(((1-(OverNightDiscount_21_Up+FedExExrpessEarnedDiscount))*'1Day Base'!F149),2),ROUND(MinBase1Day*(1+ExpressFuelSurcharge),2),ROUND(((1-(OverNightDiscount_21_Up+FedExExrpessEarnedDiscount))*'1Day Base'!F149)*(1+ExpressFuelSurcharge),2))*(1+FedEx_Markup),2)</f>
        <v>607.4</v>
      </c>
      <c r="G152" s="218">
        <f>ROUND(IF(MinBase1Day&gt;ROUND(((1-(OverNightDiscount_21_Up+FedExExrpessEarnedDiscount))*'1Day Base'!G149),2),ROUND(MinBase1Day*(1+ExpressFuelSurcharge),2),ROUND(((1-(OverNightDiscount_21_Up+FedExExrpessEarnedDiscount))*'1Day Base'!G149)*(1+ExpressFuelSurcharge),2))*(1+FedEx_Markup),2)</f>
        <v>729.41</v>
      </c>
      <c r="H152" s="218">
        <f>ROUND(IF(MinBase1Day&gt;ROUND(((1-(OverNightDiscount_21_Up+FedExExrpessEarnedDiscount))*'1Day Base'!H149),2),ROUND(MinBase1Day*(1+ExpressFuelSurcharge),2),ROUND(((1-(OverNightDiscount_21_Up+FedExExrpessEarnedDiscount))*'1Day Base'!H149)*(1+ExpressFuelSurcharge),2))*(1+FedEx_Markup),2)</f>
        <v>760.58</v>
      </c>
    </row>
    <row r="153" spans="1:8" ht="12.75" customHeight="1">
      <c r="A153" s="217">
        <v>148</v>
      </c>
      <c r="B153" s="218">
        <f>ROUND(IF(MinBase1Day&gt;ROUND(((1-(OverNightDiscount_21_Up+FedExExrpessEarnedDiscount))*'1Day Base'!B150),2),ROUND(MinBase1Day*(1+ExpressFuelSurcharge),2),ROUND(((1-(OverNightDiscount_21_Up+FedExExrpessEarnedDiscount))*'1Day Base'!B150)*(1+ExpressFuelSurcharge),2))*(1+FedEx_Markup),2)</f>
        <v>197.62</v>
      </c>
      <c r="C153" s="218">
        <f>ROUND(IF(MinBase1Day&gt;ROUND(((1-(OverNightDiscount_21_Up+FedExExrpessEarnedDiscount))*'1Day Base'!C150),2),ROUND(MinBase1Day*(1+ExpressFuelSurcharge),2),ROUND(((1-(OverNightDiscount_21_Up+FedExExrpessEarnedDiscount))*'1Day Base'!C150)*(1+ExpressFuelSurcharge),2))*(1+FedEx_Markup),2)</f>
        <v>280.39</v>
      </c>
      <c r="D153" s="218">
        <f>ROUND(IF(MinBase1Day&gt;ROUND(((1-(OverNightDiscount_21_Up+FedExExrpessEarnedDiscount))*'1Day Base'!D150),2),ROUND(MinBase1Day*(1+ExpressFuelSurcharge),2),ROUND(((1-(OverNightDiscount_21_Up+FedExExrpessEarnedDiscount))*'1Day Base'!D150)*(1+ExpressFuelSurcharge),2))*(1+FedEx_Markup),2)</f>
        <v>502.04</v>
      </c>
      <c r="E153" s="218">
        <f>ROUND(IF(MinBase1Day&gt;ROUND(((1-(OverNightDiscount_21_Up+FedExExrpessEarnedDiscount))*'1Day Base'!E150),2),ROUND(MinBase1Day*(1+ExpressFuelSurcharge),2),ROUND(((1-(OverNightDiscount_21_Up+FedExExrpessEarnedDiscount))*'1Day Base'!E150)*(1+ExpressFuelSurcharge),2))*(1+FedEx_Markup),2)</f>
        <v>598.85</v>
      </c>
      <c r="F153" s="218">
        <f>ROUND(IF(MinBase1Day&gt;ROUND(((1-(OverNightDiscount_21_Up+FedExExrpessEarnedDiscount))*'1Day Base'!F150),2),ROUND(MinBase1Day*(1+ExpressFuelSurcharge),2),ROUND(((1-(OverNightDiscount_21_Up+FedExExrpessEarnedDiscount))*'1Day Base'!F150)*(1+ExpressFuelSurcharge),2))*(1+FedEx_Markup),2)</f>
        <v>611.54</v>
      </c>
      <c r="G153" s="218">
        <f>ROUND(IF(MinBase1Day&gt;ROUND(((1-(OverNightDiscount_21_Up+FedExExrpessEarnedDiscount))*'1Day Base'!G150),2),ROUND(MinBase1Day*(1+ExpressFuelSurcharge),2),ROUND(((1-(OverNightDiscount_21_Up+FedExExrpessEarnedDiscount))*'1Day Base'!G150)*(1+ExpressFuelSurcharge),2))*(1+FedEx_Markup),2)</f>
        <v>734.37</v>
      </c>
      <c r="H153" s="218">
        <f>ROUND(IF(MinBase1Day&gt;ROUND(((1-(OverNightDiscount_21_Up+FedExExrpessEarnedDiscount))*'1Day Base'!H150),2),ROUND(MinBase1Day*(1+ExpressFuelSurcharge),2),ROUND(((1-(OverNightDiscount_21_Up+FedExExrpessEarnedDiscount))*'1Day Base'!H150)*(1+ExpressFuelSurcharge),2))*(1+FedEx_Markup),2)</f>
        <v>765.75</v>
      </c>
    </row>
    <row r="154" spans="1:8" ht="12.75" customHeight="1">
      <c r="A154" s="217">
        <v>149</v>
      </c>
      <c r="B154" s="218">
        <f>ROUND(IF(MinBase1Day&gt;ROUND(((1-(OverNightDiscount_21_Up+FedExExrpessEarnedDiscount))*'1Day Base'!B151),2),ROUND(MinBase1Day*(1+ExpressFuelSurcharge),2),ROUND(((1-(OverNightDiscount_21_Up+FedExExrpessEarnedDiscount))*'1Day Base'!B151)*(1+ExpressFuelSurcharge),2))*(1+FedEx_Markup),2)</f>
        <v>198.95</v>
      </c>
      <c r="C154" s="218">
        <f>ROUND(IF(MinBase1Day&gt;ROUND(((1-(OverNightDiscount_21_Up+FedExExrpessEarnedDiscount))*'1Day Base'!C151),2),ROUND(MinBase1Day*(1+ExpressFuelSurcharge),2),ROUND(((1-(OverNightDiscount_21_Up+FedExExrpessEarnedDiscount))*'1Day Base'!C151)*(1+ExpressFuelSurcharge),2))*(1+FedEx_Markup),2)</f>
        <v>282.29000000000002</v>
      </c>
      <c r="D154" s="218">
        <f>ROUND(IF(MinBase1Day&gt;ROUND(((1-(OverNightDiscount_21_Up+FedExExrpessEarnedDiscount))*'1Day Base'!D151),2),ROUND(MinBase1Day*(1+ExpressFuelSurcharge),2),ROUND(((1-(OverNightDiscount_21_Up+FedExExrpessEarnedDiscount))*'1Day Base'!D151)*(1+ExpressFuelSurcharge),2))*(1+FedEx_Markup),2)</f>
        <v>505.44</v>
      </c>
      <c r="E154" s="218">
        <f>ROUND(IF(MinBase1Day&gt;ROUND(((1-(OverNightDiscount_21_Up+FedExExrpessEarnedDiscount))*'1Day Base'!E151),2),ROUND(MinBase1Day*(1+ExpressFuelSurcharge),2),ROUND(((1-(OverNightDiscount_21_Up+FedExExrpessEarnedDiscount))*'1Day Base'!E151)*(1+ExpressFuelSurcharge),2))*(1+FedEx_Markup),2)</f>
        <v>602.89</v>
      </c>
      <c r="F154" s="218">
        <f>ROUND(IF(MinBase1Day&gt;ROUND(((1-(OverNightDiscount_21_Up+FedExExrpessEarnedDiscount))*'1Day Base'!F151),2),ROUND(MinBase1Day*(1+ExpressFuelSurcharge),2),ROUND(((1-(OverNightDiscount_21_Up+FedExExrpessEarnedDiscount))*'1Day Base'!F151)*(1+ExpressFuelSurcharge),2))*(1+FedEx_Markup),2)</f>
        <v>615.66</v>
      </c>
      <c r="G154" s="218">
        <f>ROUND(IF(MinBase1Day&gt;ROUND(((1-(OverNightDiscount_21_Up+FedExExrpessEarnedDiscount))*'1Day Base'!G151),2),ROUND(MinBase1Day*(1+ExpressFuelSurcharge),2),ROUND(((1-(OverNightDiscount_21_Up+FedExExrpessEarnedDiscount))*'1Day Base'!G151)*(1+ExpressFuelSurcharge),2))*(1+FedEx_Markup),2)</f>
        <v>739.34</v>
      </c>
      <c r="H154" s="218">
        <f>ROUND(IF(MinBase1Day&gt;ROUND(((1-(OverNightDiscount_21_Up+FedExExrpessEarnedDiscount))*'1Day Base'!H151),2),ROUND(MinBase1Day*(1+ExpressFuelSurcharge),2),ROUND(((1-(OverNightDiscount_21_Up+FedExExrpessEarnedDiscount))*'1Day Base'!H151)*(1+ExpressFuelSurcharge),2))*(1+FedEx_Markup),2)</f>
        <v>770.93</v>
      </c>
    </row>
    <row r="155" spans="1:8" ht="12.75" customHeight="1">
      <c r="A155" s="217">
        <v>150</v>
      </c>
      <c r="B155" s="218">
        <f>ROUND(IF(MinBase1Day&gt;ROUND(((1-(OverNightDiscount_21_Up+FedExExrpessEarnedDiscount))*'1Day Base'!B152),2),ROUND(MinBase1Day*(1+ExpressFuelSurcharge),2),ROUND(((1-(OverNightDiscount_21_Up+FedExExrpessEarnedDiscount))*'1Day Base'!B152)*(1+ExpressFuelSurcharge),2))*(1+FedEx_Markup),2)</f>
        <v>200.28</v>
      </c>
      <c r="C155" s="218">
        <f>ROUND(IF(MinBase1Day&gt;ROUND(((1-(OverNightDiscount_21_Up+FedExExrpessEarnedDiscount))*'1Day Base'!C152),2),ROUND(MinBase1Day*(1+ExpressFuelSurcharge),2),ROUND(((1-(OverNightDiscount_21_Up+FedExExrpessEarnedDiscount))*'1Day Base'!C152)*(1+ExpressFuelSurcharge),2))*(1+FedEx_Markup),2)</f>
        <v>284.19</v>
      </c>
      <c r="D155" s="218">
        <f>ROUND(IF(MinBase1Day&gt;ROUND(((1-(OverNightDiscount_21_Up+FedExExrpessEarnedDiscount))*'1Day Base'!D152),2),ROUND(MinBase1Day*(1+ExpressFuelSurcharge),2),ROUND(((1-(OverNightDiscount_21_Up+FedExExrpessEarnedDiscount))*'1Day Base'!D152)*(1+ExpressFuelSurcharge),2))*(1+FedEx_Markup),2)</f>
        <v>508.83</v>
      </c>
      <c r="E155" s="218">
        <f>ROUND(IF(MinBase1Day&gt;ROUND(((1-(OverNightDiscount_21_Up+FedExExrpessEarnedDiscount))*'1Day Base'!E152),2),ROUND(MinBase1Day*(1+ExpressFuelSurcharge),2),ROUND(((1-(OverNightDiscount_21_Up+FedExExrpessEarnedDiscount))*'1Day Base'!E152)*(1+ExpressFuelSurcharge),2))*(1+FedEx_Markup),2)</f>
        <v>606.94000000000005</v>
      </c>
      <c r="F155" s="218">
        <f>ROUND(IF(MinBase1Day&gt;ROUND(((1-(OverNightDiscount_21_Up+FedExExrpessEarnedDiscount))*'1Day Base'!F152),2),ROUND(MinBase1Day*(1+ExpressFuelSurcharge),2),ROUND(((1-(OverNightDiscount_21_Up+FedExExrpessEarnedDiscount))*'1Day Base'!F152)*(1+ExpressFuelSurcharge),2))*(1+FedEx_Markup),2)</f>
        <v>619.79</v>
      </c>
      <c r="G155" s="218">
        <f>ROUND(IF(MinBase1Day&gt;ROUND(((1-(OverNightDiscount_21_Up+FedExExrpessEarnedDiscount))*'1Day Base'!G152),2),ROUND(MinBase1Day*(1+ExpressFuelSurcharge),2),ROUND(((1-(OverNightDiscount_21_Up+FedExExrpessEarnedDiscount))*'1Day Base'!G152)*(1+ExpressFuelSurcharge),2))*(1+FedEx_Markup),2)</f>
        <v>744.29</v>
      </c>
      <c r="H155" s="218">
        <f>ROUND(IF(MinBase1Day&gt;ROUND(((1-(OverNightDiscount_21_Up+FedExExrpessEarnedDiscount))*'1Day Base'!H152),2),ROUND(MinBase1Day*(1+ExpressFuelSurcharge),2),ROUND(((1-(OverNightDiscount_21_Up+FedExExrpessEarnedDiscount))*'1Day Base'!H152)*(1+ExpressFuelSurcharge),2))*(1+FedEx_Markup),2)</f>
        <v>776.1</v>
      </c>
    </row>
    <row r="156" spans="1:8" ht="12.75" customHeight="1"/>
    <row r="157" spans="1:8" ht="12.75" customHeight="1"/>
    <row r="158" spans="1:8" ht="12.75" customHeight="1"/>
    <row r="159" spans="1:8" ht="12.75" customHeight="1"/>
    <row r="160" spans="1:8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H155">
    <cfRule type="expression" dxfId="17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BE4D5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12" width="8.140625" customWidth="1"/>
    <col min="13" max="26" width="8.5703125" customWidth="1"/>
  </cols>
  <sheetData>
    <row r="1" spans="1:26" ht="12.75" customHeight="1">
      <c r="B1" s="220" t="s">
        <v>83</v>
      </c>
      <c r="C1" s="209"/>
      <c r="D1" s="209"/>
      <c r="E1" s="221">
        <f>ExpressResWithFS</f>
        <v>4.55</v>
      </c>
      <c r="H1" s="212" t="s">
        <v>84</v>
      </c>
    </row>
    <row r="2" spans="1:26" ht="12.75" customHeight="1">
      <c r="B2" s="213" t="s">
        <v>85</v>
      </c>
      <c r="H2" s="212" t="s">
        <v>89</v>
      </c>
    </row>
    <row r="3" spans="1:26" ht="12.75" customHeight="1">
      <c r="B3" s="213" t="s">
        <v>90</v>
      </c>
    </row>
    <row r="4" spans="1:26" ht="12.75" customHeight="1">
      <c r="A4" s="222" t="s">
        <v>5</v>
      </c>
      <c r="B4" s="223" t="s">
        <v>0</v>
      </c>
      <c r="C4" s="223" t="s">
        <v>0</v>
      </c>
      <c r="D4" s="223" t="s">
        <v>0</v>
      </c>
      <c r="E4" s="223" t="s">
        <v>0</v>
      </c>
      <c r="F4" s="223" t="s">
        <v>0</v>
      </c>
      <c r="G4" s="223" t="s">
        <v>0</v>
      </c>
      <c r="H4" s="223" t="s">
        <v>0</v>
      </c>
      <c r="I4" s="223" t="s">
        <v>91</v>
      </c>
      <c r="J4" s="223" t="s">
        <v>92</v>
      </c>
      <c r="K4" s="223" t="s">
        <v>93</v>
      </c>
      <c r="L4" s="223" t="s">
        <v>94</v>
      </c>
    </row>
    <row r="5" spans="1:26" ht="12.75" customHeight="1">
      <c r="A5" s="215" t="s">
        <v>49</v>
      </c>
      <c r="B5" s="216">
        <v>2</v>
      </c>
      <c r="C5" s="216">
        <v>3</v>
      </c>
      <c r="D5" s="216">
        <v>4</v>
      </c>
      <c r="E5" s="216">
        <v>5</v>
      </c>
      <c r="F5" s="216">
        <v>6</v>
      </c>
      <c r="G5" s="216">
        <v>7</v>
      </c>
      <c r="H5" s="216">
        <v>8</v>
      </c>
      <c r="I5" s="216">
        <v>9</v>
      </c>
      <c r="J5" s="216">
        <v>9</v>
      </c>
      <c r="K5" s="216">
        <v>10</v>
      </c>
      <c r="L5" s="216">
        <v>11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217" t="s">
        <v>88</v>
      </c>
      <c r="B6" s="218">
        <f>ROUND((IF(MinBase2Day&gt;ROUND(((1-(TwoDayDiscount_1_to_10+FedExExrpessEarnedDiscount))*'2Day Base'!B3),2),ROUND(MinBase2Day*(1+ExpressFuelSurcharge),2),ROUND(((1-(TwoDayDiscount_1_to_10+FedExExrpessEarnedDiscount))*'2Day Base'!B3)*(1+ExpressFuelSurcharge),2)))*(1+FedEx_Markup),2)</f>
        <v>23.51</v>
      </c>
      <c r="C6" s="218">
        <f>ROUND((IF(MinBase2Day&gt;ROUND(((1-(TwoDayDiscount_1_to_10+FedExExrpessEarnedDiscount))*'2Day Base'!C3),2),ROUND(MinBase2Day*(1+ExpressFuelSurcharge),2),ROUND(((1-(TwoDayDiscount_1_to_10+FedExExrpessEarnedDiscount))*'2Day Base'!C3)*(1+ExpressFuelSurcharge),2)))*(1+FedEx_Markup),2)</f>
        <v>23.51</v>
      </c>
      <c r="D6" s="218">
        <f>ROUND((IF(MinBase2Day&gt;ROUND(((1-(TwoDayDiscount_1_to_10+FedExExrpessEarnedDiscount))*'2Day Base'!D3),2),ROUND(MinBase2Day*(1+ExpressFuelSurcharge),2),ROUND(((1-(TwoDayDiscount_1_to_10+FedExExrpessEarnedDiscount))*'2Day Base'!D3)*(1+ExpressFuelSurcharge),2)))*(1+FedEx_Markup),2)</f>
        <v>23.51</v>
      </c>
      <c r="E6" s="218">
        <f>ROUND((IF(MinBase2Day&gt;ROUND(((1-(TwoDayDiscount_1_to_10+FedExExrpessEarnedDiscount))*'2Day Base'!E3),2),ROUND(MinBase2Day*(1+ExpressFuelSurcharge),2),ROUND(((1-(TwoDayDiscount_1_to_10+FedExExrpessEarnedDiscount))*'2Day Base'!E3)*(1+ExpressFuelSurcharge),2)))*(1+FedEx_Markup),2)</f>
        <v>23.51</v>
      </c>
      <c r="F6" s="218">
        <f>ROUND((IF(MinBase2Day&gt;ROUND(((1-(TwoDayDiscount_1_to_10+FedExExrpessEarnedDiscount))*'2Day Base'!F3),2),ROUND(MinBase2Day*(1+ExpressFuelSurcharge),2),ROUND(((1-(TwoDayDiscount_1_to_10+FedExExrpessEarnedDiscount))*'2Day Base'!F3)*(1+ExpressFuelSurcharge),2)))*(1+FedEx_Markup),2)</f>
        <v>27.67</v>
      </c>
      <c r="G6" s="218">
        <f>ROUND((IF(MinBase2Day&gt;ROUND(((1-(TwoDayDiscount_1_to_10+FedExExrpessEarnedDiscount))*'2Day Base'!G3),2),ROUND(MinBase2Day*(1+ExpressFuelSurcharge),2),ROUND(((1-(TwoDayDiscount_1_to_10+FedExExrpessEarnedDiscount))*'2Day Base'!G3)*(1+ExpressFuelSurcharge),2)))*(1+FedEx_Markup),2)</f>
        <v>29.76</v>
      </c>
      <c r="H6" s="218">
        <f>ROUND((IF(MinBase2Day&gt;ROUND(((1-(TwoDayDiscount_1_to_10+FedExExrpessEarnedDiscount))*'2Day Base'!H3),2),ROUND(MinBase2Day*(1+ExpressFuelSurcharge),2),ROUND(((1-(TwoDayDiscount_1_to_10+FedExExrpessEarnedDiscount))*'2Day Base'!H3)*(1+ExpressFuelSurcharge),2)))*(1+FedEx_Markup),2)</f>
        <v>30.37</v>
      </c>
      <c r="I6" s="218">
        <f>ROUND((IF(MinBase2Day&gt;ROUND(((1-(TwoDayDiscount_1_to_10+FedExExrpessEarnedDiscount))*'2Day Base'!I3),2),ROUND(MinBase2Day*(1+ExpressFuelSurcharge),2),ROUND(((1-(TwoDayDiscount_1_to_10+FedExExrpessEarnedDiscount))*'2Day Base'!I3)*(1+ExpressFuelSurcharge),2)))*(1+FedEx_Markup),2)</f>
        <v>43.99</v>
      </c>
      <c r="J6" s="218">
        <f>ROUND((IF(MinBase2Day&gt;ROUND(((1-(TwoDayDiscount_1_to_10+FedExExrpessEarnedDiscount))*'2Day Base'!J3),2),ROUND(MinBase2Day*(1+ExpressFuelSurcharge),2),ROUND(((1-(TwoDayDiscount_1_to_10+FedExExrpessEarnedDiscount))*'2Day Base'!J3)*(1+ExpressFuelSurcharge),2)))*(1+FedEx_Markup),2)</f>
        <v>43.99</v>
      </c>
      <c r="K6" s="218">
        <f>ROUND((IF(MinBase2Day&gt;ROUND(((1-(TwoDayDiscount_1_to_10+FedExExrpessEarnedDiscount))*'2Day Base'!K3),2),ROUND(MinBase2Day*(1+ExpressFuelSurcharge),2),ROUND(((1-(TwoDayDiscount_1_to_10+FedExExrpessEarnedDiscount))*'2Day Base'!K3)*(1+ExpressFuelSurcharge),2)))*(1+FedEx_Markup),2)</f>
        <v>56.22</v>
      </c>
      <c r="L6" s="218">
        <f>ROUND((IF(MinBase2Day&gt;ROUND(((1-(TwoDayDiscount_1_to_10+FedExExrpessEarnedDiscount))*'2Day Base'!L3),2),ROUND(MinBase2Day*(1+ExpressFuelSurcharge),2),ROUND(((1-(TwoDayDiscount_1_to_10+FedExExrpessEarnedDiscount))*'2Day Base'!L3)*(1+ExpressFuelSurcharge),2)))*(1+FedEx_Markup),2)</f>
        <v>56.22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217">
        <v>2</v>
      </c>
      <c r="B7" s="218">
        <f>ROUND((IF(MinBase2Day&gt;ROUND(((1-(TwoDayDiscount_1_to_10+FedExExrpessEarnedDiscount))*'2Day Base'!B4),2),ROUND(MinBase2Day*(1+ExpressFuelSurcharge),2),ROUND(((1-(TwoDayDiscount_1_to_10+FedExExrpessEarnedDiscount))*'2Day Base'!B4)*(1+ExpressFuelSurcharge),2)))*(1+FedEx_Markup),2)</f>
        <v>23.51</v>
      </c>
      <c r="C7" s="218">
        <f>ROUND((IF(MinBase2Day&gt;ROUND(((1-(TwoDayDiscount_1_to_10+FedExExrpessEarnedDiscount))*'2Day Base'!C4),2),ROUND(MinBase2Day*(1+ExpressFuelSurcharge),2),ROUND(((1-(TwoDayDiscount_1_to_10+FedExExrpessEarnedDiscount))*'2Day Base'!C4)*(1+ExpressFuelSurcharge),2)))*(1+FedEx_Markup),2)</f>
        <v>23.51</v>
      </c>
      <c r="D7" s="218">
        <f>ROUND((IF(MinBase2Day&gt;ROUND(((1-(TwoDayDiscount_1_to_10+FedExExrpessEarnedDiscount))*'2Day Base'!D4),2),ROUND(MinBase2Day*(1+ExpressFuelSurcharge),2),ROUND(((1-(TwoDayDiscount_1_to_10+FedExExrpessEarnedDiscount))*'2Day Base'!D4)*(1+ExpressFuelSurcharge),2)))*(1+FedEx_Markup),2)</f>
        <v>23.51</v>
      </c>
      <c r="E7" s="218">
        <f>ROUND((IF(MinBase2Day&gt;ROUND(((1-(TwoDayDiscount_1_to_10+FedExExrpessEarnedDiscount))*'2Day Base'!E4),2),ROUND(MinBase2Day*(1+ExpressFuelSurcharge),2),ROUND(((1-(TwoDayDiscount_1_to_10+FedExExrpessEarnedDiscount))*'2Day Base'!E4)*(1+ExpressFuelSurcharge),2)))*(1+FedEx_Markup),2)</f>
        <v>25.24</v>
      </c>
      <c r="F7" s="218">
        <f>ROUND((IF(MinBase2Day&gt;ROUND(((1-(TwoDayDiscount_1_to_10+FedExExrpessEarnedDiscount))*'2Day Base'!F4),2),ROUND(MinBase2Day*(1+ExpressFuelSurcharge),2),ROUND(((1-(TwoDayDiscount_1_to_10+FedExExrpessEarnedDiscount))*'2Day Base'!F4)*(1+ExpressFuelSurcharge),2)))*(1+FedEx_Markup),2)</f>
        <v>31.46</v>
      </c>
      <c r="G7" s="218">
        <f>ROUND((IF(MinBase2Day&gt;ROUND(((1-(TwoDayDiscount_1_to_10+FedExExrpessEarnedDiscount))*'2Day Base'!G4),2),ROUND(MinBase2Day*(1+ExpressFuelSurcharge),2),ROUND(((1-(TwoDayDiscount_1_to_10+FedExExrpessEarnedDiscount))*'2Day Base'!G4)*(1+ExpressFuelSurcharge),2)))*(1+FedEx_Markup),2)</f>
        <v>34.479999999999997</v>
      </c>
      <c r="H7" s="218">
        <f>ROUND((IF(MinBase2Day&gt;ROUND(((1-(TwoDayDiscount_1_to_10+FedExExrpessEarnedDiscount))*'2Day Base'!H4),2),ROUND(MinBase2Day*(1+ExpressFuelSurcharge),2),ROUND(((1-(TwoDayDiscount_1_to_10+FedExExrpessEarnedDiscount))*'2Day Base'!H4)*(1+ExpressFuelSurcharge),2)))*(1+FedEx_Markup),2)</f>
        <v>36.28</v>
      </c>
      <c r="I7" s="218">
        <f>ROUND((IF(MinBase2Day&gt;ROUND(((1-(TwoDayDiscount_1_to_10+FedExExrpessEarnedDiscount))*'2Day Base'!I4),2),ROUND(MinBase2Day*(1+ExpressFuelSurcharge),2),ROUND(((1-(TwoDayDiscount_1_to_10+FedExExrpessEarnedDiscount))*'2Day Base'!I4)*(1+ExpressFuelSurcharge),2)))*(1+FedEx_Markup),2)</f>
        <v>48.48</v>
      </c>
      <c r="J7" s="218">
        <f>ROUND((IF(MinBase2Day&gt;ROUND(((1-(TwoDayDiscount_1_to_10+FedExExrpessEarnedDiscount))*'2Day Base'!J4),2),ROUND(MinBase2Day*(1+ExpressFuelSurcharge),2),ROUND(((1-(TwoDayDiscount_1_to_10+FedExExrpessEarnedDiscount))*'2Day Base'!J4)*(1+ExpressFuelSurcharge),2)))*(1+FedEx_Markup),2)</f>
        <v>48.48</v>
      </c>
      <c r="K7" s="218">
        <f>ROUND((IF(MinBase2Day&gt;ROUND(((1-(TwoDayDiscount_1_to_10+FedExExrpessEarnedDiscount))*'2Day Base'!K4),2),ROUND(MinBase2Day*(1+ExpressFuelSurcharge),2),ROUND(((1-(TwoDayDiscount_1_to_10+FedExExrpessEarnedDiscount))*'2Day Base'!K4)*(1+ExpressFuelSurcharge),2)))*(1+FedEx_Markup),2)</f>
        <v>68.66</v>
      </c>
      <c r="L7" s="218">
        <f>ROUND((IF(MinBase2Day&gt;ROUND(((1-(TwoDayDiscount_1_to_10+FedExExrpessEarnedDiscount))*'2Day Base'!L4),2),ROUND(MinBase2Day*(1+ExpressFuelSurcharge),2),ROUND(((1-(TwoDayDiscount_1_to_10+FedExExrpessEarnedDiscount))*'2Day Base'!L4)*(1+ExpressFuelSurcharge),2)))*(1+FedEx_Markup),2)</f>
        <v>68.66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217">
        <v>3</v>
      </c>
      <c r="B8" s="218">
        <f>ROUND((IF(MinBase2Day&gt;ROUND(((1-(TwoDayDiscount_1_to_10+FedExExrpessEarnedDiscount))*'2Day Base'!B5),2),ROUND(MinBase2Day*(1+ExpressFuelSurcharge),2),ROUND(((1-(TwoDayDiscount_1_to_10+FedExExrpessEarnedDiscount))*'2Day Base'!B5)*(1+ExpressFuelSurcharge),2)))*(1+FedEx_Markup),2)</f>
        <v>23.51</v>
      </c>
      <c r="C8" s="218">
        <f>ROUND((IF(MinBase2Day&gt;ROUND(((1-(TwoDayDiscount_1_to_10+FedExExrpessEarnedDiscount))*'2Day Base'!C5),2),ROUND(MinBase2Day*(1+ExpressFuelSurcharge),2),ROUND(((1-(TwoDayDiscount_1_to_10+FedExExrpessEarnedDiscount))*'2Day Base'!C5)*(1+ExpressFuelSurcharge),2)))*(1+FedEx_Markup),2)</f>
        <v>23.51</v>
      </c>
      <c r="D8" s="218">
        <f>ROUND((IF(MinBase2Day&gt;ROUND(((1-(TwoDayDiscount_1_to_10+FedExExrpessEarnedDiscount))*'2Day Base'!D5),2),ROUND(MinBase2Day*(1+ExpressFuelSurcharge),2),ROUND(((1-(TwoDayDiscount_1_to_10+FedExExrpessEarnedDiscount))*'2Day Base'!D5)*(1+ExpressFuelSurcharge),2)))*(1+FedEx_Markup),2)</f>
        <v>23.51</v>
      </c>
      <c r="E8" s="218">
        <f>ROUND((IF(MinBase2Day&gt;ROUND(((1-(TwoDayDiscount_1_to_10+FedExExrpessEarnedDiscount))*'2Day Base'!E5),2),ROUND(MinBase2Day*(1+ExpressFuelSurcharge),2),ROUND(((1-(TwoDayDiscount_1_to_10+FedExExrpessEarnedDiscount))*'2Day Base'!E5)*(1+ExpressFuelSurcharge),2)))*(1+FedEx_Markup),2)</f>
        <v>27.8</v>
      </c>
      <c r="F8" s="218">
        <f>ROUND((IF(MinBase2Day&gt;ROUND(((1-(TwoDayDiscount_1_to_10+FedExExrpessEarnedDiscount))*'2Day Base'!F5),2),ROUND(MinBase2Day*(1+ExpressFuelSurcharge),2),ROUND(((1-(TwoDayDiscount_1_to_10+FedExExrpessEarnedDiscount))*'2Day Base'!F5)*(1+ExpressFuelSurcharge),2)))*(1+FedEx_Markup),2)</f>
        <v>35.68</v>
      </c>
      <c r="G8" s="218">
        <f>ROUND((IF(MinBase2Day&gt;ROUND(((1-(TwoDayDiscount_1_to_10+FedExExrpessEarnedDiscount))*'2Day Base'!G5),2),ROUND(MinBase2Day*(1+ExpressFuelSurcharge),2),ROUND(((1-(TwoDayDiscount_1_to_10+FedExExrpessEarnedDiscount))*'2Day Base'!G5)*(1+ExpressFuelSurcharge),2)))*(1+FedEx_Markup),2)</f>
        <v>39.94</v>
      </c>
      <c r="H8" s="218">
        <f>ROUND((IF(MinBase2Day&gt;ROUND(((1-(TwoDayDiscount_1_to_10+FedExExrpessEarnedDiscount))*'2Day Base'!H5),2),ROUND(MinBase2Day*(1+ExpressFuelSurcharge),2),ROUND(((1-(TwoDayDiscount_1_to_10+FedExExrpessEarnedDiscount))*'2Day Base'!H5)*(1+ExpressFuelSurcharge),2)))*(1+FedEx_Markup),2)</f>
        <v>41.63</v>
      </c>
      <c r="I8" s="218">
        <f>ROUND((IF(MinBase2Day&gt;ROUND(((1-(TwoDayDiscount_1_to_10+FedExExrpessEarnedDiscount))*'2Day Base'!I5),2),ROUND(MinBase2Day*(1+ExpressFuelSurcharge),2),ROUND(((1-(TwoDayDiscount_1_to_10+FedExExrpessEarnedDiscount))*'2Day Base'!I5)*(1+ExpressFuelSurcharge),2)))*(1+FedEx_Markup),2)</f>
        <v>55.35</v>
      </c>
      <c r="J8" s="218">
        <f>ROUND((IF(MinBase2Day&gt;ROUND(((1-(TwoDayDiscount_1_to_10+FedExExrpessEarnedDiscount))*'2Day Base'!J5),2),ROUND(MinBase2Day*(1+ExpressFuelSurcharge),2),ROUND(((1-(TwoDayDiscount_1_to_10+FedExExrpessEarnedDiscount))*'2Day Base'!J5)*(1+ExpressFuelSurcharge),2)))*(1+FedEx_Markup),2)</f>
        <v>55.35</v>
      </c>
      <c r="K8" s="218">
        <f>ROUND((IF(MinBase2Day&gt;ROUND(((1-(TwoDayDiscount_1_to_10+FedExExrpessEarnedDiscount))*'2Day Base'!K5),2),ROUND(MinBase2Day*(1+ExpressFuelSurcharge),2),ROUND(((1-(TwoDayDiscount_1_to_10+FedExExrpessEarnedDiscount))*'2Day Base'!K5)*(1+ExpressFuelSurcharge),2)))*(1+FedEx_Markup),2)</f>
        <v>69.91</v>
      </c>
      <c r="L8" s="218">
        <f>ROUND((IF(MinBase2Day&gt;ROUND(((1-(TwoDayDiscount_1_to_10+FedExExrpessEarnedDiscount))*'2Day Base'!L5),2),ROUND(MinBase2Day*(1+ExpressFuelSurcharge),2),ROUND(((1-(TwoDayDiscount_1_to_10+FedExExrpessEarnedDiscount))*'2Day Base'!L5)*(1+ExpressFuelSurcharge),2)))*(1+FedEx_Markup),2)</f>
        <v>69.91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17">
        <v>4</v>
      </c>
      <c r="B9" s="218">
        <f>ROUND((IF(MinBase2Day&gt;ROUND(((1-(TwoDayDiscount_1_to_10+FedExExrpessEarnedDiscount))*'2Day Base'!B6),2),ROUND(MinBase2Day*(1+ExpressFuelSurcharge),2),ROUND(((1-(TwoDayDiscount_1_to_10+FedExExrpessEarnedDiscount))*'2Day Base'!B6)*(1+ExpressFuelSurcharge),2)))*(1+FedEx_Markup),2)</f>
        <v>23.51</v>
      </c>
      <c r="C9" s="218">
        <f>ROUND((IF(MinBase2Day&gt;ROUND(((1-(TwoDayDiscount_1_to_10+FedExExrpessEarnedDiscount))*'2Day Base'!C6),2),ROUND(MinBase2Day*(1+ExpressFuelSurcharge),2),ROUND(((1-(TwoDayDiscount_1_to_10+FedExExrpessEarnedDiscount))*'2Day Base'!C6)*(1+ExpressFuelSurcharge),2)))*(1+FedEx_Markup),2)</f>
        <v>23.51</v>
      </c>
      <c r="D9" s="218">
        <f>ROUND((IF(MinBase2Day&gt;ROUND(((1-(TwoDayDiscount_1_to_10+FedExExrpessEarnedDiscount))*'2Day Base'!D6),2),ROUND(MinBase2Day*(1+ExpressFuelSurcharge),2),ROUND(((1-(TwoDayDiscount_1_to_10+FedExExrpessEarnedDiscount))*'2Day Base'!D6)*(1+ExpressFuelSurcharge),2)))*(1+FedEx_Markup),2)</f>
        <v>23.51</v>
      </c>
      <c r="E9" s="218">
        <f>ROUND((IF(MinBase2Day&gt;ROUND(((1-(TwoDayDiscount_1_to_10+FedExExrpessEarnedDiscount))*'2Day Base'!E6),2),ROUND(MinBase2Day*(1+ExpressFuelSurcharge),2),ROUND(((1-(TwoDayDiscount_1_to_10+FedExExrpessEarnedDiscount))*'2Day Base'!E6)*(1+ExpressFuelSurcharge),2)))*(1+FedEx_Markup),2)</f>
        <v>32.04</v>
      </c>
      <c r="F9" s="218">
        <f>ROUND((IF(MinBase2Day&gt;ROUND(((1-(TwoDayDiscount_1_to_10+FedExExrpessEarnedDiscount))*'2Day Base'!F6),2),ROUND(MinBase2Day*(1+ExpressFuelSurcharge),2),ROUND(((1-(TwoDayDiscount_1_to_10+FedExExrpessEarnedDiscount))*'2Day Base'!F6)*(1+ExpressFuelSurcharge),2)))*(1+FedEx_Markup),2)</f>
        <v>41.24</v>
      </c>
      <c r="G9" s="218">
        <f>ROUND((IF(MinBase2Day&gt;ROUND(((1-(TwoDayDiscount_1_to_10+FedExExrpessEarnedDiscount))*'2Day Base'!G6),2),ROUND(MinBase2Day*(1+ExpressFuelSurcharge),2),ROUND(((1-(TwoDayDiscount_1_to_10+FedExExrpessEarnedDiscount))*'2Day Base'!G6)*(1+ExpressFuelSurcharge),2)))*(1+FedEx_Markup),2)</f>
        <v>45.61</v>
      </c>
      <c r="H9" s="218">
        <f>ROUND((IF(MinBase2Day&gt;ROUND(((1-(TwoDayDiscount_1_to_10+FedExExrpessEarnedDiscount))*'2Day Base'!H6),2),ROUND(MinBase2Day*(1+ExpressFuelSurcharge),2),ROUND(((1-(TwoDayDiscount_1_to_10+FedExExrpessEarnedDiscount))*'2Day Base'!H6)*(1+ExpressFuelSurcharge),2)))*(1+FedEx_Markup),2)</f>
        <v>47.39</v>
      </c>
      <c r="I9" s="218">
        <f>ROUND((IF(MinBase2Day&gt;ROUND(((1-(TwoDayDiscount_1_to_10+FedExExrpessEarnedDiscount))*'2Day Base'!I6),2),ROUND(MinBase2Day*(1+ExpressFuelSurcharge),2),ROUND(((1-(TwoDayDiscount_1_to_10+FedExExrpessEarnedDiscount))*'2Day Base'!I6)*(1+ExpressFuelSurcharge),2)))*(1+FedEx_Markup),2)</f>
        <v>58.98</v>
      </c>
      <c r="J9" s="218">
        <f>ROUND((IF(MinBase2Day&gt;ROUND(((1-(TwoDayDiscount_1_to_10+FedExExrpessEarnedDiscount))*'2Day Base'!J6),2),ROUND(MinBase2Day*(1+ExpressFuelSurcharge),2),ROUND(((1-(TwoDayDiscount_1_to_10+FedExExrpessEarnedDiscount))*'2Day Base'!J6)*(1+ExpressFuelSurcharge),2)))*(1+FedEx_Markup),2)</f>
        <v>58.98</v>
      </c>
      <c r="K9" s="218">
        <f>ROUND((IF(MinBase2Day&gt;ROUND(((1-(TwoDayDiscount_1_to_10+FedExExrpessEarnedDiscount))*'2Day Base'!K6),2),ROUND(MinBase2Day*(1+ExpressFuelSurcharge),2),ROUND(((1-(TwoDayDiscount_1_to_10+FedExExrpessEarnedDiscount))*'2Day Base'!K6)*(1+ExpressFuelSurcharge),2)))*(1+FedEx_Markup),2)</f>
        <v>72.97</v>
      </c>
      <c r="L9" s="218">
        <f>ROUND((IF(MinBase2Day&gt;ROUND(((1-(TwoDayDiscount_1_to_10+FedExExrpessEarnedDiscount))*'2Day Base'!L6),2),ROUND(MinBase2Day*(1+ExpressFuelSurcharge),2),ROUND(((1-(TwoDayDiscount_1_to_10+FedExExrpessEarnedDiscount))*'2Day Base'!L6)*(1+ExpressFuelSurcharge),2)))*(1+FedEx_Markup),2)</f>
        <v>72.97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5</v>
      </c>
      <c r="B10" s="218">
        <f>ROUND((IF(MinBase2Day&gt;ROUND(((1-(TwoDayDiscount_1_to_10+FedExExrpessEarnedDiscount))*'2Day Base'!B7),2),ROUND(MinBase2Day*(1+ExpressFuelSurcharge),2),ROUND(((1-(TwoDayDiscount_1_to_10+FedExExrpessEarnedDiscount))*'2Day Base'!B7)*(1+ExpressFuelSurcharge),2)))*(1+FedEx_Markup),2)</f>
        <v>23.51</v>
      </c>
      <c r="C10" s="218">
        <f>ROUND((IF(MinBase2Day&gt;ROUND(((1-(TwoDayDiscount_1_to_10+FedExExrpessEarnedDiscount))*'2Day Base'!C7),2),ROUND(MinBase2Day*(1+ExpressFuelSurcharge),2),ROUND(((1-(TwoDayDiscount_1_to_10+FedExExrpessEarnedDiscount))*'2Day Base'!C7)*(1+ExpressFuelSurcharge),2)))*(1+FedEx_Markup),2)</f>
        <v>23.51</v>
      </c>
      <c r="D10" s="218">
        <f>ROUND((IF(MinBase2Day&gt;ROUND(((1-(TwoDayDiscount_1_to_10+FedExExrpessEarnedDiscount))*'2Day Base'!D7),2),ROUND(MinBase2Day*(1+ExpressFuelSurcharge),2),ROUND(((1-(TwoDayDiscount_1_to_10+FedExExrpessEarnedDiscount))*'2Day Base'!D7)*(1+ExpressFuelSurcharge),2)))*(1+FedEx_Markup),2)</f>
        <v>24.64</v>
      </c>
      <c r="E10" s="218">
        <f>ROUND((IF(MinBase2Day&gt;ROUND(((1-(TwoDayDiscount_1_to_10+FedExExrpessEarnedDiscount))*'2Day Base'!E7),2),ROUND(MinBase2Day*(1+ExpressFuelSurcharge),2),ROUND(((1-(TwoDayDiscount_1_to_10+FedExExrpessEarnedDiscount))*'2Day Base'!E7)*(1+ExpressFuelSurcharge),2)))*(1+FedEx_Markup),2)</f>
        <v>35.6</v>
      </c>
      <c r="F10" s="218">
        <f>ROUND((IF(MinBase2Day&gt;ROUND(((1-(TwoDayDiscount_1_to_10+FedExExrpessEarnedDiscount))*'2Day Base'!F7),2),ROUND(MinBase2Day*(1+ExpressFuelSurcharge),2),ROUND(((1-(TwoDayDiscount_1_to_10+FedExExrpessEarnedDiscount))*'2Day Base'!F7)*(1+ExpressFuelSurcharge),2)))*(1+FedEx_Markup),2)</f>
        <v>46.06</v>
      </c>
      <c r="G10" s="218">
        <f>ROUND((IF(MinBase2Day&gt;ROUND(((1-(TwoDayDiscount_1_to_10+FedExExrpessEarnedDiscount))*'2Day Base'!G7),2),ROUND(MinBase2Day*(1+ExpressFuelSurcharge),2),ROUND(((1-(TwoDayDiscount_1_to_10+FedExExrpessEarnedDiscount))*'2Day Base'!G7)*(1+ExpressFuelSurcharge),2)))*(1+FedEx_Markup),2)</f>
        <v>50.82</v>
      </c>
      <c r="H10" s="218">
        <f>ROUND((IF(MinBase2Day&gt;ROUND(((1-(TwoDayDiscount_1_to_10+FedExExrpessEarnedDiscount))*'2Day Base'!H7),2),ROUND(MinBase2Day*(1+ExpressFuelSurcharge),2),ROUND(((1-(TwoDayDiscount_1_to_10+FedExExrpessEarnedDiscount))*'2Day Base'!H7)*(1+ExpressFuelSurcharge),2)))*(1+FedEx_Markup),2)</f>
        <v>53.91</v>
      </c>
      <c r="I10" s="218">
        <f>ROUND((IF(MinBase2Day&gt;ROUND(((1-(TwoDayDiscount_1_to_10+FedExExrpessEarnedDiscount))*'2Day Base'!I7),2),ROUND(MinBase2Day*(1+ExpressFuelSurcharge),2),ROUND(((1-(TwoDayDiscount_1_to_10+FedExExrpessEarnedDiscount))*'2Day Base'!I7)*(1+ExpressFuelSurcharge),2)))*(1+FedEx_Markup),2)</f>
        <v>64.099999999999994</v>
      </c>
      <c r="J10" s="218">
        <f>ROUND((IF(MinBase2Day&gt;ROUND(((1-(TwoDayDiscount_1_to_10+FedExExrpessEarnedDiscount))*'2Day Base'!J7),2),ROUND(MinBase2Day*(1+ExpressFuelSurcharge),2),ROUND(((1-(TwoDayDiscount_1_to_10+FedExExrpessEarnedDiscount))*'2Day Base'!J7)*(1+ExpressFuelSurcharge),2)))*(1+FedEx_Markup),2)</f>
        <v>64.099999999999994</v>
      </c>
      <c r="K10" s="218">
        <f>ROUND((IF(MinBase2Day&gt;ROUND(((1-(TwoDayDiscount_1_to_10+FedExExrpessEarnedDiscount))*'2Day Base'!K7),2),ROUND(MinBase2Day*(1+ExpressFuelSurcharge),2),ROUND(((1-(TwoDayDiscount_1_to_10+FedExExrpessEarnedDiscount))*'2Day Base'!K7)*(1+ExpressFuelSurcharge),2)))*(1+FedEx_Markup),2)</f>
        <v>75.510000000000005</v>
      </c>
      <c r="L10" s="218">
        <f>ROUND((IF(MinBase2Day&gt;ROUND(((1-(TwoDayDiscount_1_to_10+FedExExrpessEarnedDiscount))*'2Day Base'!L7),2),ROUND(MinBase2Day*(1+ExpressFuelSurcharge),2),ROUND(((1-(TwoDayDiscount_1_to_10+FedExExrpessEarnedDiscount))*'2Day Base'!L7)*(1+ExpressFuelSurcharge),2)))*(1+FedEx_Markup),2)</f>
        <v>75.510000000000005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6</v>
      </c>
      <c r="B11" s="218">
        <f>ROUND((IF(MinBase2Day&gt;ROUND(((1-(TwoDayDiscount_1_to_10+FedExExrpessEarnedDiscount))*'2Day Base'!B8),2),ROUND(MinBase2Day*(1+ExpressFuelSurcharge),2),ROUND(((1-(TwoDayDiscount_1_to_10+FedExExrpessEarnedDiscount))*'2Day Base'!B8)*(1+ExpressFuelSurcharge),2)))*(1+FedEx_Markup),2)</f>
        <v>23.51</v>
      </c>
      <c r="C11" s="218">
        <f>ROUND((IF(MinBase2Day&gt;ROUND(((1-(TwoDayDiscount_1_to_10+FedExExrpessEarnedDiscount))*'2Day Base'!C8),2),ROUND(MinBase2Day*(1+ExpressFuelSurcharge),2),ROUND(((1-(TwoDayDiscount_1_to_10+FedExExrpessEarnedDiscount))*'2Day Base'!C8)*(1+ExpressFuelSurcharge),2)))*(1+FedEx_Markup),2)</f>
        <v>23.51</v>
      </c>
      <c r="D11" s="218">
        <f>ROUND((IF(MinBase2Day&gt;ROUND(((1-(TwoDayDiscount_1_to_10+FedExExrpessEarnedDiscount))*'2Day Base'!D8),2),ROUND(MinBase2Day*(1+ExpressFuelSurcharge),2),ROUND(((1-(TwoDayDiscount_1_to_10+FedExExrpessEarnedDiscount))*'2Day Base'!D8)*(1+ExpressFuelSurcharge),2)))*(1+FedEx_Markup),2)</f>
        <v>26.85</v>
      </c>
      <c r="E11" s="218">
        <f>ROUND((IF(MinBase2Day&gt;ROUND(((1-(TwoDayDiscount_1_to_10+FedExExrpessEarnedDiscount))*'2Day Base'!E8),2),ROUND(MinBase2Day*(1+ExpressFuelSurcharge),2),ROUND(((1-(TwoDayDiscount_1_to_10+FedExExrpessEarnedDiscount))*'2Day Base'!E8)*(1+ExpressFuelSurcharge),2)))*(1+FedEx_Markup),2)</f>
        <v>38.869999999999997</v>
      </c>
      <c r="F11" s="218">
        <f>ROUND((IF(MinBase2Day&gt;ROUND(((1-(TwoDayDiscount_1_to_10+FedExExrpessEarnedDiscount))*'2Day Base'!F8),2),ROUND(MinBase2Day*(1+ExpressFuelSurcharge),2),ROUND(((1-(TwoDayDiscount_1_to_10+FedExExrpessEarnedDiscount))*'2Day Base'!F8)*(1+ExpressFuelSurcharge),2)))*(1+FedEx_Markup),2)</f>
        <v>51.21</v>
      </c>
      <c r="G11" s="218">
        <f>ROUND((IF(MinBase2Day&gt;ROUND(((1-(TwoDayDiscount_1_to_10+FedExExrpessEarnedDiscount))*'2Day Base'!G8),2),ROUND(MinBase2Day*(1+ExpressFuelSurcharge),2),ROUND(((1-(TwoDayDiscount_1_to_10+FedExExrpessEarnedDiscount))*'2Day Base'!G8)*(1+ExpressFuelSurcharge),2)))*(1+FedEx_Markup),2)</f>
        <v>56.48</v>
      </c>
      <c r="H11" s="218">
        <f>ROUND((IF(MinBase2Day&gt;ROUND(((1-(TwoDayDiscount_1_to_10+FedExExrpessEarnedDiscount))*'2Day Base'!H8),2),ROUND(MinBase2Day*(1+ExpressFuelSurcharge),2),ROUND(((1-(TwoDayDiscount_1_to_10+FedExExrpessEarnedDiscount))*'2Day Base'!H8)*(1+ExpressFuelSurcharge),2)))*(1+FedEx_Markup),2)</f>
        <v>57.6</v>
      </c>
      <c r="I11" s="218">
        <f>ROUND((IF(MinBase2Day&gt;ROUND(((1-(TwoDayDiscount_1_to_10+FedExExrpessEarnedDiscount))*'2Day Base'!I8),2),ROUND(MinBase2Day*(1+ExpressFuelSurcharge),2),ROUND(((1-(TwoDayDiscount_1_to_10+FedExExrpessEarnedDiscount))*'2Day Base'!I8)*(1+ExpressFuelSurcharge),2)))*(1+FedEx_Markup),2)</f>
        <v>72.61</v>
      </c>
      <c r="J11" s="218">
        <f>ROUND((IF(MinBase2Day&gt;ROUND(((1-(TwoDayDiscount_1_to_10+FedExExrpessEarnedDiscount))*'2Day Base'!J8),2),ROUND(MinBase2Day*(1+ExpressFuelSurcharge),2),ROUND(((1-(TwoDayDiscount_1_to_10+FedExExrpessEarnedDiscount))*'2Day Base'!J8)*(1+ExpressFuelSurcharge),2)))*(1+FedEx_Markup),2)</f>
        <v>72.61</v>
      </c>
      <c r="K11" s="218">
        <f>ROUND((IF(MinBase2Day&gt;ROUND(((1-(TwoDayDiscount_1_to_10+FedExExrpessEarnedDiscount))*'2Day Base'!K8),2),ROUND(MinBase2Day*(1+ExpressFuelSurcharge),2),ROUND(((1-(TwoDayDiscount_1_to_10+FedExExrpessEarnedDiscount))*'2Day Base'!K8)*(1+ExpressFuelSurcharge),2)))*(1+FedEx_Markup),2)</f>
        <v>82.46</v>
      </c>
      <c r="L11" s="218">
        <f>ROUND((IF(MinBase2Day&gt;ROUND(((1-(TwoDayDiscount_1_to_10+FedExExrpessEarnedDiscount))*'2Day Base'!L8),2),ROUND(MinBase2Day*(1+ExpressFuelSurcharge),2),ROUND(((1-(TwoDayDiscount_1_to_10+FedExExrpessEarnedDiscount))*'2Day Base'!L8)*(1+ExpressFuelSurcharge),2)))*(1+FedEx_Markup),2)</f>
        <v>82.46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7</v>
      </c>
      <c r="B12" s="218">
        <f>ROUND((IF(MinBase2Day&gt;ROUND(((1-(TwoDayDiscount_1_to_10+FedExExrpessEarnedDiscount))*'2Day Base'!B9),2),ROUND(MinBase2Day*(1+ExpressFuelSurcharge),2),ROUND(((1-(TwoDayDiscount_1_to_10+FedExExrpessEarnedDiscount))*'2Day Base'!B9)*(1+ExpressFuelSurcharge),2)))*(1+FedEx_Markup),2)</f>
        <v>23.51</v>
      </c>
      <c r="C12" s="218">
        <f>ROUND((IF(MinBase2Day&gt;ROUND(((1-(TwoDayDiscount_1_to_10+FedExExrpessEarnedDiscount))*'2Day Base'!C9),2),ROUND(MinBase2Day*(1+ExpressFuelSurcharge),2),ROUND(((1-(TwoDayDiscount_1_to_10+FedExExrpessEarnedDiscount))*'2Day Base'!C9)*(1+ExpressFuelSurcharge),2)))*(1+FedEx_Markup),2)</f>
        <v>23.63</v>
      </c>
      <c r="D12" s="218">
        <f>ROUND((IF(MinBase2Day&gt;ROUND(((1-(TwoDayDiscount_1_to_10+FedExExrpessEarnedDiscount))*'2Day Base'!D9),2),ROUND(MinBase2Day*(1+ExpressFuelSurcharge),2),ROUND(((1-(TwoDayDiscount_1_to_10+FedExExrpessEarnedDiscount))*'2Day Base'!D9)*(1+ExpressFuelSurcharge),2)))*(1+FedEx_Markup),2)</f>
        <v>29.13</v>
      </c>
      <c r="E12" s="218">
        <f>ROUND((IF(MinBase2Day&gt;ROUND(((1-(TwoDayDiscount_1_to_10+FedExExrpessEarnedDiscount))*'2Day Base'!E9),2),ROUND(MinBase2Day*(1+ExpressFuelSurcharge),2),ROUND(((1-(TwoDayDiscount_1_to_10+FedExExrpessEarnedDiscount))*'2Day Base'!E9)*(1+ExpressFuelSurcharge),2)))*(1+FedEx_Markup),2)</f>
        <v>42.48</v>
      </c>
      <c r="F12" s="218">
        <f>ROUND((IF(MinBase2Day&gt;ROUND(((1-(TwoDayDiscount_1_to_10+FedExExrpessEarnedDiscount))*'2Day Base'!F9),2),ROUND(MinBase2Day*(1+ExpressFuelSurcharge),2),ROUND(((1-(TwoDayDiscount_1_to_10+FedExExrpessEarnedDiscount))*'2Day Base'!F9)*(1+ExpressFuelSurcharge),2)))*(1+FedEx_Markup),2)</f>
        <v>57.59</v>
      </c>
      <c r="G12" s="218">
        <f>ROUND((IF(MinBase2Day&gt;ROUND(((1-(TwoDayDiscount_1_to_10+FedExExrpessEarnedDiscount))*'2Day Base'!G9),2),ROUND(MinBase2Day*(1+ExpressFuelSurcharge),2),ROUND(((1-(TwoDayDiscount_1_to_10+FedExExrpessEarnedDiscount))*'2Day Base'!G9)*(1+ExpressFuelSurcharge),2)))*(1+FedEx_Markup),2)</f>
        <v>61.05</v>
      </c>
      <c r="H12" s="218">
        <f>ROUND((IF(MinBase2Day&gt;ROUND(((1-(TwoDayDiscount_1_to_10+FedExExrpessEarnedDiscount))*'2Day Base'!H9),2),ROUND(MinBase2Day*(1+ExpressFuelSurcharge),2),ROUND(((1-(TwoDayDiscount_1_to_10+FedExExrpessEarnedDiscount))*'2Day Base'!H9)*(1+ExpressFuelSurcharge),2)))*(1+FedEx_Markup),2)</f>
        <v>62.28</v>
      </c>
      <c r="I12" s="218">
        <f>ROUND((IF(MinBase2Day&gt;ROUND(((1-(TwoDayDiscount_1_to_10+FedExExrpessEarnedDiscount))*'2Day Base'!I9),2),ROUND(MinBase2Day*(1+ExpressFuelSurcharge),2),ROUND(((1-(TwoDayDiscount_1_to_10+FedExExrpessEarnedDiscount))*'2Day Base'!I9)*(1+ExpressFuelSurcharge),2)))*(1+FedEx_Markup),2)</f>
        <v>73.459999999999994</v>
      </c>
      <c r="J12" s="218">
        <f>ROUND((IF(MinBase2Day&gt;ROUND(((1-(TwoDayDiscount_1_to_10+FedExExrpessEarnedDiscount))*'2Day Base'!J9),2),ROUND(MinBase2Day*(1+ExpressFuelSurcharge),2),ROUND(((1-(TwoDayDiscount_1_to_10+FedExExrpessEarnedDiscount))*'2Day Base'!J9)*(1+ExpressFuelSurcharge),2)))*(1+FedEx_Markup),2)</f>
        <v>73.459999999999994</v>
      </c>
      <c r="K12" s="218">
        <f>ROUND((IF(MinBase2Day&gt;ROUND(((1-(TwoDayDiscount_1_to_10+FedExExrpessEarnedDiscount))*'2Day Base'!K9),2),ROUND(MinBase2Day*(1+ExpressFuelSurcharge),2),ROUND(((1-(TwoDayDiscount_1_to_10+FedExExrpessEarnedDiscount))*'2Day Base'!K9)*(1+ExpressFuelSurcharge),2)))*(1+FedEx_Markup),2)</f>
        <v>83.16</v>
      </c>
      <c r="L12" s="218">
        <f>ROUND((IF(MinBase2Day&gt;ROUND(((1-(TwoDayDiscount_1_to_10+FedExExrpessEarnedDiscount))*'2Day Base'!L9),2),ROUND(MinBase2Day*(1+ExpressFuelSurcharge),2),ROUND(((1-(TwoDayDiscount_1_to_10+FedExExrpessEarnedDiscount))*'2Day Base'!L9)*(1+ExpressFuelSurcharge),2)))*(1+FedEx_Markup),2)</f>
        <v>83.16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8</v>
      </c>
      <c r="B13" s="218">
        <f>ROUND((IF(MinBase2Day&gt;ROUND(((1-(TwoDayDiscount_1_to_10+FedExExrpessEarnedDiscount))*'2Day Base'!B10),2),ROUND(MinBase2Day*(1+ExpressFuelSurcharge),2),ROUND(((1-(TwoDayDiscount_1_to_10+FedExExrpessEarnedDiscount))*'2Day Base'!B10)*(1+ExpressFuelSurcharge),2)))*(1+FedEx_Markup),2)</f>
        <v>23.51</v>
      </c>
      <c r="C13" s="218">
        <f>ROUND((IF(MinBase2Day&gt;ROUND(((1-(TwoDayDiscount_1_to_10+FedExExrpessEarnedDiscount))*'2Day Base'!C10),2),ROUND(MinBase2Day*(1+ExpressFuelSurcharge),2),ROUND(((1-(TwoDayDiscount_1_to_10+FedExExrpessEarnedDiscount))*'2Day Base'!C10)*(1+ExpressFuelSurcharge),2)))*(1+FedEx_Markup),2)</f>
        <v>25.78</v>
      </c>
      <c r="D13" s="218">
        <f>ROUND((IF(MinBase2Day&gt;ROUND(((1-(TwoDayDiscount_1_to_10+FedExExrpessEarnedDiscount))*'2Day Base'!D10),2),ROUND(MinBase2Day*(1+ExpressFuelSurcharge),2),ROUND(((1-(TwoDayDiscount_1_to_10+FedExExrpessEarnedDiscount))*'2Day Base'!D10)*(1+ExpressFuelSurcharge),2)))*(1+FedEx_Markup),2)</f>
        <v>31.18</v>
      </c>
      <c r="E13" s="218">
        <f>ROUND((IF(MinBase2Day&gt;ROUND(((1-(TwoDayDiscount_1_to_10+FedExExrpessEarnedDiscount))*'2Day Base'!E10),2),ROUND(MinBase2Day*(1+ExpressFuelSurcharge),2),ROUND(((1-(TwoDayDiscount_1_to_10+FedExExrpessEarnedDiscount))*'2Day Base'!E10)*(1+ExpressFuelSurcharge),2)))*(1+FedEx_Markup),2)</f>
        <v>46.35</v>
      </c>
      <c r="F13" s="218">
        <f>ROUND((IF(MinBase2Day&gt;ROUND(((1-(TwoDayDiscount_1_to_10+FedExExrpessEarnedDiscount))*'2Day Base'!F10),2),ROUND(MinBase2Day*(1+ExpressFuelSurcharge),2),ROUND(((1-(TwoDayDiscount_1_to_10+FedExExrpessEarnedDiscount))*'2Day Base'!F10)*(1+ExpressFuelSurcharge),2)))*(1+FedEx_Markup),2)</f>
        <v>63.73</v>
      </c>
      <c r="G13" s="218">
        <f>ROUND((IF(MinBase2Day&gt;ROUND(((1-(TwoDayDiscount_1_to_10+FedExExrpessEarnedDiscount))*'2Day Base'!G10),2),ROUND(MinBase2Day*(1+ExpressFuelSurcharge),2),ROUND(((1-(TwoDayDiscount_1_to_10+FedExExrpessEarnedDiscount))*'2Day Base'!G10)*(1+ExpressFuelSurcharge),2)))*(1+FedEx_Markup),2)</f>
        <v>69.06</v>
      </c>
      <c r="H13" s="218">
        <f>ROUND((IF(MinBase2Day&gt;ROUND(((1-(TwoDayDiscount_1_to_10+FedExExrpessEarnedDiscount))*'2Day Base'!H10),2),ROUND(MinBase2Day*(1+ExpressFuelSurcharge),2),ROUND(((1-(TwoDayDiscount_1_to_10+FedExExrpessEarnedDiscount))*'2Day Base'!H10)*(1+ExpressFuelSurcharge),2)))*(1+FedEx_Markup),2)</f>
        <v>71.56</v>
      </c>
      <c r="I13" s="218">
        <f>ROUND((IF(MinBase2Day&gt;ROUND(((1-(TwoDayDiscount_1_to_10+FedExExrpessEarnedDiscount))*'2Day Base'!I10),2),ROUND(MinBase2Day*(1+ExpressFuelSurcharge),2),ROUND(((1-(TwoDayDiscount_1_to_10+FedExExrpessEarnedDiscount))*'2Day Base'!I10)*(1+ExpressFuelSurcharge),2)))*(1+FedEx_Markup),2)</f>
        <v>82.33</v>
      </c>
      <c r="J13" s="218">
        <f>ROUND((IF(MinBase2Day&gt;ROUND(((1-(TwoDayDiscount_1_to_10+FedExExrpessEarnedDiscount))*'2Day Base'!J10),2),ROUND(MinBase2Day*(1+ExpressFuelSurcharge),2),ROUND(((1-(TwoDayDiscount_1_to_10+FedExExrpessEarnedDiscount))*'2Day Base'!J10)*(1+ExpressFuelSurcharge),2)))*(1+FedEx_Markup),2)</f>
        <v>82.33</v>
      </c>
      <c r="K13" s="218">
        <f>ROUND((IF(MinBase2Day&gt;ROUND(((1-(TwoDayDiscount_1_to_10+FedExExrpessEarnedDiscount))*'2Day Base'!K10),2),ROUND(MinBase2Day*(1+ExpressFuelSurcharge),2),ROUND(((1-(TwoDayDiscount_1_to_10+FedExExrpessEarnedDiscount))*'2Day Base'!K10)*(1+ExpressFuelSurcharge),2)))*(1+FedEx_Markup),2)</f>
        <v>93.06</v>
      </c>
      <c r="L13" s="218">
        <f>ROUND((IF(MinBase2Day&gt;ROUND(((1-(TwoDayDiscount_1_to_10+FedExExrpessEarnedDiscount))*'2Day Base'!L10),2),ROUND(MinBase2Day*(1+ExpressFuelSurcharge),2),ROUND(((1-(TwoDayDiscount_1_to_10+FedExExrpessEarnedDiscount))*'2Day Base'!L10)*(1+ExpressFuelSurcharge),2)))*(1+FedEx_Markup),2)</f>
        <v>93.06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9</v>
      </c>
      <c r="B14" s="218">
        <f>ROUND((IF(MinBase2Day&gt;ROUND(((1-(TwoDayDiscount_1_to_10+FedExExrpessEarnedDiscount))*'2Day Base'!B11),2),ROUND(MinBase2Day*(1+ExpressFuelSurcharge),2),ROUND(((1-(TwoDayDiscount_1_to_10+FedExExrpessEarnedDiscount))*'2Day Base'!B11)*(1+ExpressFuelSurcharge),2)))*(1+FedEx_Markup),2)</f>
        <v>23.51</v>
      </c>
      <c r="C14" s="218">
        <f>ROUND((IF(MinBase2Day&gt;ROUND(((1-(TwoDayDiscount_1_to_10+FedExExrpessEarnedDiscount))*'2Day Base'!C11),2),ROUND(MinBase2Day*(1+ExpressFuelSurcharge),2),ROUND(((1-(TwoDayDiscount_1_to_10+FedExExrpessEarnedDiscount))*'2Day Base'!C11)*(1+ExpressFuelSurcharge),2)))*(1+FedEx_Markup),2)</f>
        <v>26.92</v>
      </c>
      <c r="D14" s="218">
        <f>ROUND((IF(MinBase2Day&gt;ROUND(((1-(TwoDayDiscount_1_to_10+FedExExrpessEarnedDiscount))*'2Day Base'!D11),2),ROUND(MinBase2Day*(1+ExpressFuelSurcharge),2),ROUND(((1-(TwoDayDiscount_1_to_10+FedExExrpessEarnedDiscount))*'2Day Base'!D11)*(1+ExpressFuelSurcharge),2)))*(1+FedEx_Markup),2)</f>
        <v>33.68</v>
      </c>
      <c r="E14" s="218">
        <f>ROUND((IF(MinBase2Day&gt;ROUND(((1-(TwoDayDiscount_1_to_10+FedExExrpessEarnedDiscount))*'2Day Base'!E11),2),ROUND(MinBase2Day*(1+ExpressFuelSurcharge),2),ROUND(((1-(TwoDayDiscount_1_to_10+FedExExrpessEarnedDiscount))*'2Day Base'!E11)*(1+ExpressFuelSurcharge),2)))*(1+FedEx_Markup),2)</f>
        <v>49.75</v>
      </c>
      <c r="F14" s="218">
        <f>ROUND((IF(MinBase2Day&gt;ROUND(((1-(TwoDayDiscount_1_to_10+FedExExrpessEarnedDiscount))*'2Day Base'!F11),2),ROUND(MinBase2Day*(1+ExpressFuelSurcharge),2),ROUND(((1-(TwoDayDiscount_1_to_10+FedExExrpessEarnedDiscount))*'2Day Base'!F11)*(1+ExpressFuelSurcharge),2)))*(1+FedEx_Markup),2)</f>
        <v>66.39</v>
      </c>
      <c r="G14" s="218">
        <f>ROUND((IF(MinBase2Day&gt;ROUND(((1-(TwoDayDiscount_1_to_10+FedExExrpessEarnedDiscount))*'2Day Base'!G11),2),ROUND(MinBase2Day*(1+ExpressFuelSurcharge),2),ROUND(((1-(TwoDayDiscount_1_to_10+FedExExrpessEarnedDiscount))*'2Day Base'!G11)*(1+ExpressFuelSurcharge),2)))*(1+FedEx_Markup),2)</f>
        <v>75.73</v>
      </c>
      <c r="H14" s="218">
        <f>ROUND((IF(MinBase2Day&gt;ROUND(((1-(TwoDayDiscount_1_to_10+FedExExrpessEarnedDiscount))*'2Day Base'!H11),2),ROUND(MinBase2Day*(1+ExpressFuelSurcharge),2),ROUND(((1-(TwoDayDiscount_1_to_10+FedExExrpessEarnedDiscount))*'2Day Base'!H11)*(1+ExpressFuelSurcharge),2)))*(1+FedEx_Markup),2)</f>
        <v>78.56</v>
      </c>
      <c r="I14" s="218">
        <f>ROUND((IF(MinBase2Day&gt;ROUND(((1-(TwoDayDiscount_1_to_10+FedExExrpessEarnedDiscount))*'2Day Base'!I11),2),ROUND(MinBase2Day*(1+ExpressFuelSurcharge),2),ROUND(((1-(TwoDayDiscount_1_to_10+FedExExrpessEarnedDiscount))*'2Day Base'!I11)*(1+ExpressFuelSurcharge),2)))*(1+FedEx_Markup),2)</f>
        <v>83.23</v>
      </c>
      <c r="J14" s="218">
        <f>ROUND((IF(MinBase2Day&gt;ROUND(((1-(TwoDayDiscount_1_to_10+FedExExrpessEarnedDiscount))*'2Day Base'!J11),2),ROUND(MinBase2Day*(1+ExpressFuelSurcharge),2),ROUND(((1-(TwoDayDiscount_1_to_10+FedExExrpessEarnedDiscount))*'2Day Base'!J11)*(1+ExpressFuelSurcharge),2)))*(1+FedEx_Markup),2)</f>
        <v>83.23</v>
      </c>
      <c r="K14" s="218">
        <f>ROUND((IF(MinBase2Day&gt;ROUND(((1-(TwoDayDiscount_1_to_10+FedExExrpessEarnedDiscount))*'2Day Base'!K11),2),ROUND(MinBase2Day*(1+ExpressFuelSurcharge),2),ROUND(((1-(TwoDayDiscount_1_to_10+FedExExrpessEarnedDiscount))*'2Day Base'!K11)*(1+ExpressFuelSurcharge),2)))*(1+FedEx_Markup),2)</f>
        <v>97.99</v>
      </c>
      <c r="L14" s="218">
        <f>ROUND((IF(MinBase2Day&gt;ROUND(((1-(TwoDayDiscount_1_to_10+FedExExrpessEarnedDiscount))*'2Day Base'!L11),2),ROUND(MinBase2Day*(1+ExpressFuelSurcharge),2),ROUND(((1-(TwoDayDiscount_1_to_10+FedExExrpessEarnedDiscount))*'2Day Base'!L11)*(1+ExpressFuelSurcharge),2)))*(1+FedEx_Markup),2)</f>
        <v>97.99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10</v>
      </c>
      <c r="B15" s="218">
        <f>ROUND((IF(MinBase2Day&gt;ROUND(((1-(TwoDayDiscount_1_to_10+FedExExrpessEarnedDiscount))*'2Day Base'!B12),2),ROUND(MinBase2Day*(1+ExpressFuelSurcharge),2),ROUND(((1-(TwoDayDiscount_1_to_10+FedExExrpessEarnedDiscount))*'2Day Base'!B12)*(1+ExpressFuelSurcharge),2)))*(1+FedEx_Markup),2)</f>
        <v>23.51</v>
      </c>
      <c r="C15" s="218">
        <f>ROUND((IF(MinBase2Day&gt;ROUND(((1-(TwoDayDiscount_1_to_10+FedExExrpessEarnedDiscount))*'2Day Base'!C12),2),ROUND(MinBase2Day*(1+ExpressFuelSurcharge),2),ROUND(((1-(TwoDayDiscount_1_to_10+FedExExrpessEarnedDiscount))*'2Day Base'!C12)*(1+ExpressFuelSurcharge),2)))*(1+FedEx_Markup),2)</f>
        <v>28.7</v>
      </c>
      <c r="D15" s="218">
        <f>ROUND((IF(MinBase2Day&gt;ROUND(((1-(TwoDayDiscount_1_to_10+FedExExrpessEarnedDiscount))*'2Day Base'!D12),2),ROUND(MinBase2Day*(1+ExpressFuelSurcharge),2),ROUND(((1-(TwoDayDiscount_1_to_10+FedExExrpessEarnedDiscount))*'2Day Base'!D12)*(1+ExpressFuelSurcharge),2)))*(1+FedEx_Markup),2)</f>
        <v>36.28</v>
      </c>
      <c r="E15" s="218">
        <f>ROUND((IF(MinBase2Day&gt;ROUND(((1-(TwoDayDiscount_1_to_10+FedExExrpessEarnedDiscount))*'2Day Base'!E12),2),ROUND(MinBase2Day*(1+ExpressFuelSurcharge),2),ROUND(((1-(TwoDayDiscount_1_to_10+FedExExrpessEarnedDiscount))*'2Day Base'!E12)*(1+ExpressFuelSurcharge),2)))*(1+FedEx_Markup),2)</f>
        <v>53.14</v>
      </c>
      <c r="F15" s="218">
        <f>ROUND((IF(MinBase2Day&gt;ROUND(((1-(TwoDayDiscount_1_to_10+FedExExrpessEarnedDiscount))*'2Day Base'!F12),2),ROUND(MinBase2Day*(1+ExpressFuelSurcharge),2),ROUND(((1-(TwoDayDiscount_1_to_10+FedExExrpessEarnedDiscount))*'2Day Base'!F12)*(1+ExpressFuelSurcharge),2)))*(1+FedEx_Markup),2)</f>
        <v>74.03</v>
      </c>
      <c r="G15" s="218">
        <f>ROUND((IF(MinBase2Day&gt;ROUND(((1-(TwoDayDiscount_1_to_10+FedExExrpessEarnedDiscount))*'2Day Base'!G12),2),ROUND(MinBase2Day*(1+ExpressFuelSurcharge),2),ROUND(((1-(TwoDayDiscount_1_to_10+FedExExrpessEarnedDiscount))*'2Day Base'!G12)*(1+ExpressFuelSurcharge),2)))*(1+FedEx_Markup),2)</f>
        <v>82.37</v>
      </c>
      <c r="H15" s="218">
        <f>ROUND((IF(MinBase2Day&gt;ROUND(((1-(TwoDayDiscount_1_to_10+FedExExrpessEarnedDiscount))*'2Day Base'!H12),2),ROUND(MinBase2Day*(1+ExpressFuelSurcharge),2),ROUND(((1-(TwoDayDiscount_1_to_10+FedExExrpessEarnedDiscount))*'2Day Base'!H12)*(1+ExpressFuelSurcharge),2)))*(1+FedEx_Markup),2)</f>
        <v>84.99</v>
      </c>
      <c r="I15" s="218">
        <f>ROUND((IF(MinBase2Day&gt;ROUND(((1-(TwoDayDiscount_1_to_10+FedExExrpessEarnedDiscount))*'2Day Base'!I12),2),ROUND(MinBase2Day*(1+ExpressFuelSurcharge),2),ROUND(((1-(TwoDayDiscount_1_to_10+FedExExrpessEarnedDiscount))*'2Day Base'!I12)*(1+ExpressFuelSurcharge),2)))*(1+FedEx_Markup),2)</f>
        <v>95.58</v>
      </c>
      <c r="J15" s="218">
        <f>ROUND((IF(MinBase2Day&gt;ROUND(((1-(TwoDayDiscount_1_to_10+FedExExrpessEarnedDiscount))*'2Day Base'!J12),2),ROUND(MinBase2Day*(1+ExpressFuelSurcharge),2),ROUND(((1-(TwoDayDiscount_1_to_10+FedExExrpessEarnedDiscount))*'2Day Base'!J12)*(1+ExpressFuelSurcharge),2)))*(1+FedEx_Markup),2)</f>
        <v>95.58</v>
      </c>
      <c r="K15" s="218">
        <f>ROUND((IF(MinBase2Day&gt;ROUND(((1-(TwoDayDiscount_1_to_10+FedExExrpessEarnedDiscount))*'2Day Base'!K12),2),ROUND(MinBase2Day*(1+ExpressFuelSurcharge),2),ROUND(((1-(TwoDayDiscount_1_to_10+FedExExrpessEarnedDiscount))*'2Day Base'!K12)*(1+ExpressFuelSurcharge),2)))*(1+FedEx_Markup),2)</f>
        <v>102.14</v>
      </c>
      <c r="L15" s="218">
        <f>ROUND((IF(MinBase2Day&gt;ROUND(((1-(TwoDayDiscount_1_to_10+FedExExrpessEarnedDiscount))*'2Day Base'!L12),2),ROUND(MinBase2Day*(1+ExpressFuelSurcharge),2),ROUND(((1-(TwoDayDiscount_1_to_10+FedExExrpessEarnedDiscount))*'2Day Base'!L12)*(1+ExpressFuelSurcharge),2)))*(1+FedEx_Markup),2)</f>
        <v>102.14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11</v>
      </c>
      <c r="B16" s="218">
        <f>ROUND((IF(MinBase2Day&gt;ROUND(((1-(TwoDayDiscount_11_20+FedExExrpessEarnedDiscount))*'2Day Base'!B13),2),ROUND(MinBase2Day*(1+ExpressFuelSurcharge),2),ROUND(((1-(TwoDayDiscount_11_20+FedExExrpessEarnedDiscount))*'2Day Base'!B13)*(1+ExpressFuelSurcharge),2)))*(1+FedEx_Markup),2)</f>
        <v>23.51</v>
      </c>
      <c r="C16" s="218">
        <f>ROUND((IF(MinBase2Day&gt;ROUND(((1-(TwoDayDiscount_11_20+FedExExrpessEarnedDiscount))*'2Day Base'!C13),2),ROUND(MinBase2Day*(1+ExpressFuelSurcharge),2),ROUND(((1-(TwoDayDiscount_11_20+FedExExrpessEarnedDiscount))*'2Day Base'!C13)*(1+ExpressFuelSurcharge),2)))*(1+FedEx_Markup),2)</f>
        <v>28.12</v>
      </c>
      <c r="D16" s="218">
        <f>ROUND((IF(MinBase2Day&gt;ROUND(((1-(TwoDayDiscount_11_20+FedExExrpessEarnedDiscount))*'2Day Base'!D13),2),ROUND(MinBase2Day*(1+ExpressFuelSurcharge),2),ROUND(((1-(TwoDayDiscount_11_20+FedExExrpessEarnedDiscount))*'2Day Base'!D13)*(1+ExpressFuelSurcharge),2)))*(1+FedEx_Markup),2)</f>
        <v>34.81</v>
      </c>
      <c r="E16" s="218">
        <f>ROUND((IF(MinBase2Day&gt;ROUND(((1-(TwoDayDiscount_11_20+FedExExrpessEarnedDiscount))*'2Day Base'!E13),2),ROUND(MinBase2Day*(1+ExpressFuelSurcharge),2),ROUND(((1-(TwoDayDiscount_11_20+FedExExrpessEarnedDiscount))*'2Day Base'!E13)*(1+ExpressFuelSurcharge),2)))*(1+FedEx_Markup),2)</f>
        <v>52.87</v>
      </c>
      <c r="F16" s="218">
        <f>ROUND((IF(MinBase2Day&gt;ROUND(((1-(TwoDayDiscount_11_20+FedExExrpessEarnedDiscount))*'2Day Base'!F13),2),ROUND(MinBase2Day*(1+ExpressFuelSurcharge),2),ROUND(((1-(TwoDayDiscount_11_20+FedExExrpessEarnedDiscount))*'2Day Base'!F13)*(1+ExpressFuelSurcharge),2)))*(1+FedEx_Markup),2)</f>
        <v>74.34</v>
      </c>
      <c r="G16" s="218">
        <f>ROUND((IF(MinBase2Day&gt;ROUND(((1-(TwoDayDiscount_11_20+FedExExrpessEarnedDiscount))*'2Day Base'!G13),2),ROUND(MinBase2Day*(1+ExpressFuelSurcharge),2),ROUND(((1-(TwoDayDiscount_11_20+FedExExrpessEarnedDiscount))*'2Day Base'!G13)*(1+ExpressFuelSurcharge),2)))*(1+FedEx_Markup),2)</f>
        <v>82.14</v>
      </c>
      <c r="H16" s="218">
        <f>ROUND((IF(MinBase2Day&gt;ROUND(((1-(TwoDayDiscount_11_20+FedExExrpessEarnedDiscount))*'2Day Base'!H13),2),ROUND(MinBase2Day*(1+ExpressFuelSurcharge),2),ROUND(((1-(TwoDayDiscount_11_20+FedExExrpessEarnedDiscount))*'2Day Base'!H13)*(1+ExpressFuelSurcharge),2)))*(1+FedEx_Markup),2)</f>
        <v>85.65</v>
      </c>
      <c r="I16" s="218">
        <f>ROUND((IF(MinBase2Day&gt;ROUND(((1-(TwoDayDiscount_11_20+FedExExrpessEarnedDiscount))*'2Day Base'!I13),2),ROUND(MinBase2Day*(1+ExpressFuelSurcharge),2),ROUND(((1-(TwoDayDiscount_11_20+FedExExrpessEarnedDiscount))*'2Day Base'!I13)*(1+ExpressFuelSurcharge),2)))*(1+FedEx_Markup),2)</f>
        <v>90.06</v>
      </c>
      <c r="J16" s="218">
        <f>ROUND((IF(MinBase2Day&gt;ROUND(((1-(TwoDayDiscount_11_20+FedExExrpessEarnedDiscount))*'2Day Base'!J13),2),ROUND(MinBase2Day*(1+ExpressFuelSurcharge),2),ROUND(((1-(TwoDayDiscount_11_20+FedExExrpessEarnedDiscount))*'2Day Base'!J13)*(1+ExpressFuelSurcharge),2)))*(1+FedEx_Markup),2)</f>
        <v>90.06</v>
      </c>
      <c r="K16" s="218">
        <f>ROUND((IF(MinBase2Day&gt;ROUND(((1-(TwoDayDiscount_11_20+FedExExrpessEarnedDiscount))*'2Day Base'!K13),2),ROUND(MinBase2Day*(1+ExpressFuelSurcharge),2),ROUND(((1-(TwoDayDiscount_11_20+FedExExrpessEarnedDiscount))*'2Day Base'!K13)*(1+ExpressFuelSurcharge),2)))*(1+FedEx_Markup),2)</f>
        <v>95.42</v>
      </c>
      <c r="L16" s="218">
        <f>ROUND((IF(MinBase2Day&gt;ROUND(((1-(TwoDayDiscount_11_20+FedExExrpessEarnedDiscount))*'2Day Base'!L13),2),ROUND(MinBase2Day*(1+ExpressFuelSurcharge),2),ROUND(((1-(TwoDayDiscount_11_20+FedExExrpessEarnedDiscount))*'2Day Base'!L13)*(1+ExpressFuelSurcharge),2)))*(1+FedEx_Markup),2)</f>
        <v>95.42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12</v>
      </c>
      <c r="B17" s="218">
        <f>ROUND((IF(MinBase2Day&gt;ROUND(((1-(TwoDayDiscount_11_20+FedExExrpessEarnedDiscount))*'2Day Base'!B14),2),ROUND(MinBase2Day*(1+ExpressFuelSurcharge),2),ROUND(((1-(TwoDayDiscount_11_20+FedExExrpessEarnedDiscount))*'2Day Base'!B14)*(1+ExpressFuelSurcharge),2)))*(1+FedEx_Markup),2)</f>
        <v>24.53</v>
      </c>
      <c r="C17" s="218">
        <f>ROUND((IF(MinBase2Day&gt;ROUND(((1-(TwoDayDiscount_11_20+FedExExrpessEarnedDiscount))*'2Day Base'!C14),2),ROUND(MinBase2Day*(1+ExpressFuelSurcharge),2),ROUND(((1-(TwoDayDiscount_11_20+FedExExrpessEarnedDiscount))*'2Day Base'!C14)*(1+ExpressFuelSurcharge),2)))*(1+FedEx_Markup),2)</f>
        <v>29.77</v>
      </c>
      <c r="D17" s="218">
        <f>ROUND((IF(MinBase2Day&gt;ROUND(((1-(TwoDayDiscount_11_20+FedExExrpessEarnedDiscount))*'2Day Base'!D14),2),ROUND(MinBase2Day*(1+ExpressFuelSurcharge),2),ROUND(((1-(TwoDayDiscount_11_20+FedExExrpessEarnedDiscount))*'2Day Base'!D14)*(1+ExpressFuelSurcharge),2)))*(1+FedEx_Markup),2)</f>
        <v>36.72</v>
      </c>
      <c r="E17" s="218">
        <f>ROUND((IF(MinBase2Day&gt;ROUND(((1-(TwoDayDiscount_11_20+FedExExrpessEarnedDiscount))*'2Day Base'!E14),2),ROUND(MinBase2Day*(1+ExpressFuelSurcharge),2),ROUND(((1-(TwoDayDiscount_11_20+FedExExrpessEarnedDiscount))*'2Day Base'!E14)*(1+ExpressFuelSurcharge),2)))*(1+FedEx_Markup),2)</f>
        <v>55.84</v>
      </c>
      <c r="F17" s="218">
        <f>ROUND((IF(MinBase2Day&gt;ROUND(((1-(TwoDayDiscount_11_20+FedExExrpessEarnedDiscount))*'2Day Base'!F14),2),ROUND(MinBase2Day*(1+ExpressFuelSurcharge),2),ROUND(((1-(TwoDayDiscount_11_20+FedExExrpessEarnedDiscount))*'2Day Base'!F14)*(1+ExpressFuelSurcharge),2)))*(1+FedEx_Markup),2)</f>
        <v>76.67</v>
      </c>
      <c r="G17" s="218">
        <f>ROUND((IF(MinBase2Day&gt;ROUND(((1-(TwoDayDiscount_11_20+FedExExrpessEarnedDiscount))*'2Day Base'!G14),2),ROUND(MinBase2Day*(1+ExpressFuelSurcharge),2),ROUND(((1-(TwoDayDiscount_11_20+FedExExrpessEarnedDiscount))*'2Day Base'!G14)*(1+ExpressFuelSurcharge),2)))*(1+FedEx_Markup),2)</f>
        <v>84.62</v>
      </c>
      <c r="H17" s="218">
        <f>ROUND((IF(MinBase2Day&gt;ROUND(((1-(TwoDayDiscount_11_20+FedExExrpessEarnedDiscount))*'2Day Base'!H14),2),ROUND(MinBase2Day*(1+ExpressFuelSurcharge),2),ROUND(((1-(TwoDayDiscount_11_20+FedExExrpessEarnedDiscount))*'2Day Base'!H14)*(1+ExpressFuelSurcharge),2)))*(1+FedEx_Markup),2)</f>
        <v>86.32</v>
      </c>
      <c r="I17" s="218">
        <f>ROUND((IF(MinBase2Day&gt;ROUND(((1-(TwoDayDiscount_11_20+FedExExrpessEarnedDiscount))*'2Day Base'!I14),2),ROUND(MinBase2Day*(1+ExpressFuelSurcharge),2),ROUND(((1-(TwoDayDiscount_11_20+FedExExrpessEarnedDiscount))*'2Day Base'!I14)*(1+ExpressFuelSurcharge),2)))*(1+FedEx_Markup),2)</f>
        <v>91.57</v>
      </c>
      <c r="J17" s="218">
        <f>ROUND((IF(MinBase2Day&gt;ROUND(((1-(TwoDayDiscount_11_20+FedExExrpessEarnedDiscount))*'2Day Base'!J14),2),ROUND(MinBase2Day*(1+ExpressFuelSurcharge),2),ROUND(((1-(TwoDayDiscount_11_20+FedExExrpessEarnedDiscount))*'2Day Base'!J14)*(1+ExpressFuelSurcharge),2)))*(1+FedEx_Markup),2)</f>
        <v>91.57</v>
      </c>
      <c r="K17" s="218">
        <f>ROUND((IF(MinBase2Day&gt;ROUND(((1-(TwoDayDiscount_11_20+FedExExrpessEarnedDiscount))*'2Day Base'!K14),2),ROUND(MinBase2Day*(1+ExpressFuelSurcharge),2),ROUND(((1-(TwoDayDiscount_11_20+FedExExrpessEarnedDiscount))*'2Day Base'!K14)*(1+ExpressFuelSurcharge),2)))*(1+FedEx_Markup),2)</f>
        <v>95.85</v>
      </c>
      <c r="L17" s="218">
        <f>ROUND((IF(MinBase2Day&gt;ROUND(((1-(TwoDayDiscount_11_20+FedExExrpessEarnedDiscount))*'2Day Base'!L14),2),ROUND(MinBase2Day*(1+ExpressFuelSurcharge),2),ROUND(((1-(TwoDayDiscount_11_20+FedExExrpessEarnedDiscount))*'2Day Base'!L14)*(1+ExpressFuelSurcharge),2)))*(1+FedEx_Markup),2)</f>
        <v>95.85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13</v>
      </c>
      <c r="B18" s="218">
        <f>ROUND((IF(MinBase2Day&gt;ROUND(((1-(TwoDayDiscount_11_20+FedExExrpessEarnedDiscount))*'2Day Base'!B15),2),ROUND(MinBase2Day*(1+ExpressFuelSurcharge),2),ROUND(((1-(TwoDayDiscount_11_20+FedExExrpessEarnedDiscount))*'2Day Base'!B15)*(1+ExpressFuelSurcharge),2)))*(1+FedEx_Markup),2)</f>
        <v>26.25</v>
      </c>
      <c r="C18" s="218">
        <f>ROUND((IF(MinBase2Day&gt;ROUND(((1-(TwoDayDiscount_11_20+FedExExrpessEarnedDiscount))*'2Day Base'!C15),2),ROUND(MinBase2Day*(1+ExpressFuelSurcharge),2),ROUND(((1-(TwoDayDiscount_11_20+FedExExrpessEarnedDiscount))*'2Day Base'!C15)*(1+ExpressFuelSurcharge),2)))*(1+FedEx_Markup),2)</f>
        <v>31.33</v>
      </c>
      <c r="D18" s="218">
        <f>ROUND((IF(MinBase2Day&gt;ROUND(((1-(TwoDayDiscount_11_20+FedExExrpessEarnedDiscount))*'2Day Base'!D15),2),ROUND(MinBase2Day*(1+ExpressFuelSurcharge),2),ROUND(((1-(TwoDayDiscount_11_20+FedExExrpessEarnedDiscount))*'2Day Base'!D15)*(1+ExpressFuelSurcharge),2)))*(1+FedEx_Markup),2)</f>
        <v>38.659999999999997</v>
      </c>
      <c r="E18" s="218">
        <f>ROUND((IF(MinBase2Day&gt;ROUND(((1-(TwoDayDiscount_11_20+FedExExrpessEarnedDiscount))*'2Day Base'!E15),2),ROUND(MinBase2Day*(1+ExpressFuelSurcharge),2),ROUND(((1-(TwoDayDiscount_11_20+FedExExrpessEarnedDiscount))*'2Day Base'!E15)*(1+ExpressFuelSurcharge),2)))*(1+FedEx_Markup),2)</f>
        <v>59.19</v>
      </c>
      <c r="F18" s="218">
        <f>ROUND((IF(MinBase2Day&gt;ROUND(((1-(TwoDayDiscount_11_20+FedExExrpessEarnedDiscount))*'2Day Base'!F15),2),ROUND(MinBase2Day*(1+ExpressFuelSurcharge),2),ROUND(((1-(TwoDayDiscount_11_20+FedExExrpessEarnedDiscount))*'2Day Base'!F15)*(1+ExpressFuelSurcharge),2)))*(1+FedEx_Markup),2)</f>
        <v>85.31</v>
      </c>
      <c r="G18" s="218">
        <f>ROUND((IF(MinBase2Day&gt;ROUND(((1-(TwoDayDiscount_11_20+FedExExrpessEarnedDiscount))*'2Day Base'!G15),2),ROUND(MinBase2Day*(1+ExpressFuelSurcharge),2),ROUND(((1-(TwoDayDiscount_11_20+FedExExrpessEarnedDiscount))*'2Day Base'!G15)*(1+ExpressFuelSurcharge),2)))*(1+FedEx_Markup),2)</f>
        <v>92.39</v>
      </c>
      <c r="H18" s="218">
        <f>ROUND((IF(MinBase2Day&gt;ROUND(((1-(TwoDayDiscount_11_20+FedExExrpessEarnedDiscount))*'2Day Base'!H15),2),ROUND(MinBase2Day*(1+ExpressFuelSurcharge),2),ROUND(((1-(TwoDayDiscount_11_20+FedExExrpessEarnedDiscount))*'2Day Base'!H15)*(1+ExpressFuelSurcharge),2)))*(1+FedEx_Markup),2)</f>
        <v>96.9</v>
      </c>
      <c r="I18" s="218">
        <f>ROUND((IF(MinBase2Day&gt;ROUND(((1-(TwoDayDiscount_11_20+FedExExrpessEarnedDiscount))*'2Day Base'!I15),2),ROUND(MinBase2Day*(1+ExpressFuelSurcharge),2),ROUND(((1-(TwoDayDiscount_11_20+FedExExrpessEarnedDiscount))*'2Day Base'!I15)*(1+ExpressFuelSurcharge),2)))*(1+FedEx_Markup),2)</f>
        <v>101.13</v>
      </c>
      <c r="J18" s="218">
        <f>ROUND((IF(MinBase2Day&gt;ROUND(((1-(TwoDayDiscount_11_20+FedExExrpessEarnedDiscount))*'2Day Base'!J15),2),ROUND(MinBase2Day*(1+ExpressFuelSurcharge),2),ROUND(((1-(TwoDayDiscount_11_20+FedExExrpessEarnedDiscount))*'2Day Base'!J15)*(1+ExpressFuelSurcharge),2)))*(1+FedEx_Markup),2)</f>
        <v>101.13</v>
      </c>
      <c r="K18" s="218">
        <f>ROUND((IF(MinBase2Day&gt;ROUND(((1-(TwoDayDiscount_11_20+FedExExrpessEarnedDiscount))*'2Day Base'!K15),2),ROUND(MinBase2Day*(1+ExpressFuelSurcharge),2),ROUND(((1-(TwoDayDiscount_11_20+FedExExrpessEarnedDiscount))*'2Day Base'!K15)*(1+ExpressFuelSurcharge),2)))*(1+FedEx_Markup),2)</f>
        <v>104.37</v>
      </c>
      <c r="L18" s="218">
        <f>ROUND((IF(MinBase2Day&gt;ROUND(((1-(TwoDayDiscount_11_20+FedExExrpessEarnedDiscount))*'2Day Base'!L15),2),ROUND(MinBase2Day*(1+ExpressFuelSurcharge),2),ROUND(((1-(TwoDayDiscount_11_20+FedExExrpessEarnedDiscount))*'2Day Base'!L15)*(1+ExpressFuelSurcharge),2)))*(1+FedEx_Markup),2)</f>
        <v>104.37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14</v>
      </c>
      <c r="B19" s="218">
        <f>ROUND((IF(MinBase2Day&gt;ROUND(((1-(TwoDayDiscount_11_20+FedExExrpessEarnedDiscount))*'2Day Base'!B16),2),ROUND(MinBase2Day*(1+ExpressFuelSurcharge),2),ROUND(((1-(TwoDayDiscount_11_20+FedExExrpessEarnedDiscount))*'2Day Base'!B16)*(1+ExpressFuelSurcharge),2)))*(1+FedEx_Markup),2)</f>
        <v>27.58</v>
      </c>
      <c r="C19" s="218">
        <f>ROUND((IF(MinBase2Day&gt;ROUND(((1-(TwoDayDiscount_11_20+FedExExrpessEarnedDiscount))*'2Day Base'!C16),2),ROUND(MinBase2Day*(1+ExpressFuelSurcharge),2),ROUND(((1-(TwoDayDiscount_11_20+FedExExrpessEarnedDiscount))*'2Day Base'!C16)*(1+ExpressFuelSurcharge),2)))*(1+FedEx_Markup),2)</f>
        <v>32.950000000000003</v>
      </c>
      <c r="D19" s="218">
        <f>ROUND((IF(MinBase2Day&gt;ROUND(((1-(TwoDayDiscount_11_20+FedExExrpessEarnedDiscount))*'2Day Base'!D16),2),ROUND(MinBase2Day*(1+ExpressFuelSurcharge),2),ROUND(((1-(TwoDayDiscount_11_20+FedExExrpessEarnedDiscount))*'2Day Base'!D16)*(1+ExpressFuelSurcharge),2)))*(1+FedEx_Markup),2)</f>
        <v>40.619999999999997</v>
      </c>
      <c r="E19" s="218">
        <f>ROUND((IF(MinBase2Day&gt;ROUND(((1-(TwoDayDiscount_11_20+FedExExrpessEarnedDiscount))*'2Day Base'!E16),2),ROUND(MinBase2Day*(1+ExpressFuelSurcharge),2),ROUND(((1-(TwoDayDiscount_11_20+FedExExrpessEarnedDiscount))*'2Day Base'!E16)*(1+ExpressFuelSurcharge),2)))*(1+FedEx_Markup),2)</f>
        <v>62.61</v>
      </c>
      <c r="F19" s="218">
        <f>ROUND((IF(MinBase2Day&gt;ROUND(((1-(TwoDayDiscount_11_20+FedExExrpessEarnedDiscount))*'2Day Base'!F16),2),ROUND(MinBase2Day*(1+ExpressFuelSurcharge),2),ROUND(((1-(TwoDayDiscount_11_20+FedExExrpessEarnedDiscount))*'2Day Base'!F16)*(1+ExpressFuelSurcharge),2)))*(1+FedEx_Markup),2)</f>
        <v>86.66</v>
      </c>
      <c r="G19" s="218">
        <f>ROUND((IF(MinBase2Day&gt;ROUND(((1-(TwoDayDiscount_11_20+FedExExrpessEarnedDiscount))*'2Day Base'!G16),2),ROUND(MinBase2Day*(1+ExpressFuelSurcharge),2),ROUND(((1-(TwoDayDiscount_11_20+FedExExrpessEarnedDiscount))*'2Day Base'!G16)*(1+ExpressFuelSurcharge),2)))*(1+FedEx_Markup),2)</f>
        <v>96.03</v>
      </c>
      <c r="H19" s="218">
        <f>ROUND((IF(MinBase2Day&gt;ROUND(((1-(TwoDayDiscount_11_20+FedExExrpessEarnedDiscount))*'2Day Base'!H16),2),ROUND(MinBase2Day*(1+ExpressFuelSurcharge),2),ROUND(((1-(TwoDayDiscount_11_20+FedExExrpessEarnedDiscount))*'2Day Base'!H16)*(1+ExpressFuelSurcharge),2)))*(1+FedEx_Markup),2)</f>
        <v>97.96</v>
      </c>
      <c r="I19" s="218">
        <f>ROUND((IF(MinBase2Day&gt;ROUND(((1-(TwoDayDiscount_11_20+FedExExrpessEarnedDiscount))*'2Day Base'!I16),2),ROUND(MinBase2Day*(1+ExpressFuelSurcharge),2),ROUND(((1-(TwoDayDiscount_11_20+FedExExrpessEarnedDiscount))*'2Day Base'!I16)*(1+ExpressFuelSurcharge),2)))*(1+FedEx_Markup),2)</f>
        <v>105.09</v>
      </c>
      <c r="J19" s="218">
        <f>ROUND((IF(MinBase2Day&gt;ROUND(((1-(TwoDayDiscount_11_20+FedExExrpessEarnedDiscount))*'2Day Base'!J16),2),ROUND(MinBase2Day*(1+ExpressFuelSurcharge),2),ROUND(((1-(TwoDayDiscount_11_20+FedExExrpessEarnedDiscount))*'2Day Base'!J16)*(1+ExpressFuelSurcharge),2)))*(1+FedEx_Markup),2)</f>
        <v>105.09</v>
      </c>
      <c r="K19" s="218">
        <f>ROUND((IF(MinBase2Day&gt;ROUND(((1-(TwoDayDiscount_11_20+FedExExrpessEarnedDiscount))*'2Day Base'!K16),2),ROUND(MinBase2Day*(1+ExpressFuelSurcharge),2),ROUND(((1-(TwoDayDiscount_11_20+FedExExrpessEarnedDiscount))*'2Day Base'!K16)*(1+ExpressFuelSurcharge),2)))*(1+FedEx_Markup),2)</f>
        <v>108.48</v>
      </c>
      <c r="L19" s="218">
        <f>ROUND((IF(MinBase2Day&gt;ROUND(((1-(TwoDayDiscount_11_20+FedExExrpessEarnedDiscount))*'2Day Base'!L16),2),ROUND(MinBase2Day*(1+ExpressFuelSurcharge),2),ROUND(((1-(TwoDayDiscount_11_20+FedExExrpessEarnedDiscount))*'2Day Base'!L16)*(1+ExpressFuelSurcharge),2)))*(1+FedEx_Markup),2)</f>
        <v>108.48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15</v>
      </c>
      <c r="B20" s="218">
        <f>ROUND((IF(MinBase2Day&gt;ROUND(((1-(TwoDayDiscount_11_20+FedExExrpessEarnedDiscount))*'2Day Base'!B17),2),ROUND(MinBase2Day*(1+ExpressFuelSurcharge),2),ROUND(((1-(TwoDayDiscount_11_20+FedExExrpessEarnedDiscount))*'2Day Base'!B17)*(1+ExpressFuelSurcharge),2)))*(1+FedEx_Markup),2)</f>
        <v>28.61</v>
      </c>
      <c r="C20" s="218">
        <f>ROUND((IF(MinBase2Day&gt;ROUND(((1-(TwoDayDiscount_11_20+FedExExrpessEarnedDiscount))*'2Day Base'!C17),2),ROUND(MinBase2Day*(1+ExpressFuelSurcharge),2),ROUND(((1-(TwoDayDiscount_11_20+FedExExrpessEarnedDiscount))*'2Day Base'!C17)*(1+ExpressFuelSurcharge),2)))*(1+FedEx_Markup),2)</f>
        <v>33.75</v>
      </c>
      <c r="D20" s="218">
        <f>ROUND((IF(MinBase2Day&gt;ROUND(((1-(TwoDayDiscount_11_20+FedExExrpessEarnedDiscount))*'2Day Base'!D17),2),ROUND(MinBase2Day*(1+ExpressFuelSurcharge),2),ROUND(((1-(TwoDayDiscount_11_20+FedExExrpessEarnedDiscount))*'2Day Base'!D17)*(1+ExpressFuelSurcharge),2)))*(1+FedEx_Markup),2)</f>
        <v>42.6</v>
      </c>
      <c r="E20" s="218">
        <f>ROUND((IF(MinBase2Day&gt;ROUND(((1-(TwoDayDiscount_11_20+FedExExrpessEarnedDiscount))*'2Day Base'!E17),2),ROUND(MinBase2Day*(1+ExpressFuelSurcharge),2),ROUND(((1-(TwoDayDiscount_11_20+FedExExrpessEarnedDiscount))*'2Day Base'!E17)*(1+ExpressFuelSurcharge),2)))*(1+FedEx_Markup),2)</f>
        <v>65.02</v>
      </c>
      <c r="F20" s="218">
        <f>ROUND((IF(MinBase2Day&gt;ROUND(((1-(TwoDayDiscount_11_20+FedExExrpessEarnedDiscount))*'2Day Base'!F17),2),ROUND(MinBase2Day*(1+ExpressFuelSurcharge),2),ROUND(((1-(TwoDayDiscount_11_20+FedExExrpessEarnedDiscount))*'2Day Base'!F17)*(1+ExpressFuelSurcharge),2)))*(1+FedEx_Markup),2)</f>
        <v>95.32</v>
      </c>
      <c r="G20" s="218">
        <f>ROUND((IF(MinBase2Day&gt;ROUND(((1-(TwoDayDiscount_11_20+FedExExrpessEarnedDiscount))*'2Day Base'!G17),2),ROUND(MinBase2Day*(1+ExpressFuelSurcharge),2),ROUND(((1-(TwoDayDiscount_11_20+FedExExrpessEarnedDiscount))*'2Day Base'!G17)*(1+ExpressFuelSurcharge),2)))*(1+FedEx_Markup),2)</f>
        <v>101.52</v>
      </c>
      <c r="H20" s="218">
        <f>ROUND((IF(MinBase2Day&gt;ROUND(((1-(TwoDayDiscount_11_20+FedExExrpessEarnedDiscount))*'2Day Base'!H17),2),ROUND(MinBase2Day*(1+ExpressFuelSurcharge),2),ROUND(((1-(TwoDayDiscount_11_20+FedExExrpessEarnedDiscount))*'2Day Base'!H17)*(1+ExpressFuelSurcharge),2)))*(1+FedEx_Markup),2)</f>
        <v>105.83</v>
      </c>
      <c r="I20" s="218">
        <f>ROUND((IF(MinBase2Day&gt;ROUND(((1-(TwoDayDiscount_11_20+FedExExrpessEarnedDiscount))*'2Day Base'!I17),2),ROUND(MinBase2Day*(1+ExpressFuelSurcharge),2),ROUND(((1-(TwoDayDiscount_11_20+FedExExrpessEarnedDiscount))*'2Day Base'!I17)*(1+ExpressFuelSurcharge),2)))*(1+FedEx_Markup),2)</f>
        <v>109.92</v>
      </c>
      <c r="J20" s="218">
        <f>ROUND((IF(MinBase2Day&gt;ROUND(((1-(TwoDayDiscount_11_20+FedExExrpessEarnedDiscount))*'2Day Base'!J17),2),ROUND(MinBase2Day*(1+ExpressFuelSurcharge),2),ROUND(((1-(TwoDayDiscount_11_20+FedExExrpessEarnedDiscount))*'2Day Base'!J17)*(1+ExpressFuelSurcharge),2)))*(1+FedEx_Markup),2)</f>
        <v>109.92</v>
      </c>
      <c r="K20" s="218">
        <f>ROUND((IF(MinBase2Day&gt;ROUND(((1-(TwoDayDiscount_11_20+FedExExrpessEarnedDiscount))*'2Day Base'!K17),2),ROUND(MinBase2Day*(1+ExpressFuelSurcharge),2),ROUND(((1-(TwoDayDiscount_11_20+FedExExrpessEarnedDiscount))*'2Day Base'!K17)*(1+ExpressFuelSurcharge),2)))*(1+FedEx_Markup),2)</f>
        <v>114.37</v>
      </c>
      <c r="L20" s="218">
        <f>ROUND((IF(MinBase2Day&gt;ROUND(((1-(TwoDayDiscount_11_20+FedExExrpessEarnedDiscount))*'2Day Base'!L17),2),ROUND(MinBase2Day*(1+ExpressFuelSurcharge),2),ROUND(((1-(TwoDayDiscount_11_20+FedExExrpessEarnedDiscount))*'2Day Base'!L17)*(1+ExpressFuelSurcharge),2)))*(1+FedEx_Markup),2)</f>
        <v>114.37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16</v>
      </c>
      <c r="B21" s="218">
        <f>ROUND((IF(MinBase2Day&gt;ROUND(((1-(TwoDayDiscount_11_20+FedExExrpessEarnedDiscount))*'2Day Base'!B18),2),ROUND(MinBase2Day*(1+ExpressFuelSurcharge),2),ROUND(((1-(TwoDayDiscount_11_20+FedExExrpessEarnedDiscount))*'2Day Base'!B18)*(1+ExpressFuelSurcharge),2)))*(1+FedEx_Markup),2)</f>
        <v>29.29</v>
      </c>
      <c r="C21" s="218">
        <f>ROUND((IF(MinBase2Day&gt;ROUND(((1-(TwoDayDiscount_11_20+FedExExrpessEarnedDiscount))*'2Day Base'!C18),2),ROUND(MinBase2Day*(1+ExpressFuelSurcharge),2),ROUND(((1-(TwoDayDiscount_11_20+FedExExrpessEarnedDiscount))*'2Day Base'!C18)*(1+ExpressFuelSurcharge),2)))*(1+FedEx_Markup),2)</f>
        <v>34.869999999999997</v>
      </c>
      <c r="D21" s="218">
        <f>ROUND((IF(MinBase2Day&gt;ROUND(((1-(TwoDayDiscount_11_20+FedExExrpessEarnedDiscount))*'2Day Base'!D18),2),ROUND(MinBase2Day*(1+ExpressFuelSurcharge),2),ROUND(((1-(TwoDayDiscount_11_20+FedExExrpessEarnedDiscount))*'2Day Base'!D18)*(1+ExpressFuelSurcharge),2)))*(1+FedEx_Markup),2)</f>
        <v>44.45</v>
      </c>
      <c r="E21" s="218">
        <f>ROUND((IF(MinBase2Day&gt;ROUND(((1-(TwoDayDiscount_11_20+FedExExrpessEarnedDiscount))*'2Day Base'!E18),2),ROUND(MinBase2Day*(1+ExpressFuelSurcharge),2),ROUND(((1-(TwoDayDiscount_11_20+FedExExrpessEarnedDiscount))*'2Day Base'!E18)*(1+ExpressFuelSurcharge),2)))*(1+FedEx_Markup),2)</f>
        <v>67.14</v>
      </c>
      <c r="F21" s="218">
        <f>ROUND((IF(MinBase2Day&gt;ROUND(((1-(TwoDayDiscount_11_20+FedExExrpessEarnedDiscount))*'2Day Base'!F18),2),ROUND(MinBase2Day*(1+ExpressFuelSurcharge),2),ROUND(((1-(TwoDayDiscount_11_20+FedExExrpessEarnedDiscount))*'2Day Base'!F18)*(1+ExpressFuelSurcharge),2)))*(1+FedEx_Markup),2)</f>
        <v>99.51</v>
      </c>
      <c r="G21" s="218">
        <f>ROUND((IF(MinBase2Day&gt;ROUND(((1-(TwoDayDiscount_11_20+FedExExrpessEarnedDiscount))*'2Day Base'!G18),2),ROUND(MinBase2Day*(1+ExpressFuelSurcharge),2),ROUND(((1-(TwoDayDiscount_11_20+FedExExrpessEarnedDiscount))*'2Day Base'!G18)*(1+ExpressFuelSurcharge),2)))*(1+FedEx_Markup),2)</f>
        <v>106.72</v>
      </c>
      <c r="H21" s="218">
        <f>ROUND((IF(MinBase2Day&gt;ROUND(((1-(TwoDayDiscount_11_20+FedExExrpessEarnedDiscount))*'2Day Base'!H18),2),ROUND(MinBase2Day*(1+ExpressFuelSurcharge),2),ROUND(((1-(TwoDayDiscount_11_20+FedExExrpessEarnedDiscount))*'2Day Base'!H18)*(1+ExpressFuelSurcharge),2)))*(1+FedEx_Markup),2)</f>
        <v>110.33</v>
      </c>
      <c r="I21" s="218">
        <f>ROUND((IF(MinBase2Day&gt;ROUND(((1-(TwoDayDiscount_11_20+FedExExrpessEarnedDiscount))*'2Day Base'!I18),2),ROUND(MinBase2Day*(1+ExpressFuelSurcharge),2),ROUND(((1-(TwoDayDiscount_11_20+FedExExrpessEarnedDiscount))*'2Day Base'!I18)*(1+ExpressFuelSurcharge),2)))*(1+FedEx_Markup),2)</f>
        <v>114.44</v>
      </c>
      <c r="J21" s="218">
        <f>ROUND((IF(MinBase2Day&gt;ROUND(((1-(TwoDayDiscount_11_20+FedExExrpessEarnedDiscount))*'2Day Base'!J18),2),ROUND(MinBase2Day*(1+ExpressFuelSurcharge),2),ROUND(((1-(TwoDayDiscount_11_20+FedExExrpessEarnedDiscount))*'2Day Base'!J18)*(1+ExpressFuelSurcharge),2)))*(1+FedEx_Markup),2)</f>
        <v>114.44</v>
      </c>
      <c r="K21" s="218">
        <f>ROUND((IF(MinBase2Day&gt;ROUND(((1-(TwoDayDiscount_11_20+FedExExrpessEarnedDiscount))*'2Day Base'!K18),2),ROUND(MinBase2Day*(1+ExpressFuelSurcharge),2),ROUND(((1-(TwoDayDiscount_11_20+FedExExrpessEarnedDiscount))*'2Day Base'!K18)*(1+ExpressFuelSurcharge),2)))*(1+FedEx_Markup),2)</f>
        <v>120.82</v>
      </c>
      <c r="L21" s="218">
        <f>ROUND((IF(MinBase2Day&gt;ROUND(((1-(TwoDayDiscount_11_20+FedExExrpessEarnedDiscount))*'2Day Base'!L18),2),ROUND(MinBase2Day*(1+ExpressFuelSurcharge),2),ROUND(((1-(TwoDayDiscount_11_20+FedExExrpessEarnedDiscount))*'2Day Base'!L18)*(1+ExpressFuelSurcharge),2)))*(1+FedEx_Markup),2)</f>
        <v>120.82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17</v>
      </c>
      <c r="B22" s="218">
        <f>ROUND((IF(MinBase2Day&gt;ROUND(((1-(TwoDayDiscount_11_20+FedExExrpessEarnedDiscount))*'2Day Base'!B19),2),ROUND(MinBase2Day*(1+ExpressFuelSurcharge),2),ROUND(((1-(TwoDayDiscount_11_20+FedExExrpessEarnedDiscount))*'2Day Base'!B19)*(1+ExpressFuelSurcharge),2)))*(1+FedEx_Markup),2)</f>
        <v>30.19</v>
      </c>
      <c r="C22" s="218">
        <f>ROUND((IF(MinBase2Day&gt;ROUND(((1-(TwoDayDiscount_11_20+FedExExrpessEarnedDiscount))*'2Day Base'!C19),2),ROUND(MinBase2Day*(1+ExpressFuelSurcharge),2),ROUND(((1-(TwoDayDiscount_11_20+FedExExrpessEarnedDiscount))*'2Day Base'!C19)*(1+ExpressFuelSurcharge),2)))*(1+FedEx_Markup),2)</f>
        <v>35.909999999999997</v>
      </c>
      <c r="D22" s="218">
        <f>ROUND((IF(MinBase2Day&gt;ROUND(((1-(TwoDayDiscount_11_20+FedExExrpessEarnedDiscount))*'2Day Base'!D19),2),ROUND(MinBase2Day*(1+ExpressFuelSurcharge),2),ROUND(((1-(TwoDayDiscount_11_20+FedExExrpessEarnedDiscount))*'2Day Base'!D19)*(1+ExpressFuelSurcharge),2)))*(1+FedEx_Markup),2)</f>
        <v>46.38</v>
      </c>
      <c r="E22" s="218">
        <f>ROUND((IF(MinBase2Day&gt;ROUND(((1-(TwoDayDiscount_11_20+FedExExrpessEarnedDiscount))*'2Day Base'!E19),2),ROUND(MinBase2Day*(1+ExpressFuelSurcharge),2),ROUND(((1-(TwoDayDiscount_11_20+FedExExrpessEarnedDiscount))*'2Day Base'!E19)*(1+ExpressFuelSurcharge),2)))*(1+FedEx_Markup),2)</f>
        <v>70.37</v>
      </c>
      <c r="F22" s="218">
        <f>ROUND((IF(MinBase2Day&gt;ROUND(((1-(TwoDayDiscount_11_20+FedExExrpessEarnedDiscount))*'2Day Base'!F19),2),ROUND(MinBase2Day*(1+ExpressFuelSurcharge),2),ROUND(((1-(TwoDayDiscount_11_20+FedExExrpessEarnedDiscount))*'2Day Base'!F19)*(1+ExpressFuelSurcharge),2)))*(1+FedEx_Markup),2)</f>
        <v>103.99</v>
      </c>
      <c r="G22" s="218">
        <f>ROUND((IF(MinBase2Day&gt;ROUND(((1-(TwoDayDiscount_11_20+FedExExrpessEarnedDiscount))*'2Day Base'!G19),2),ROUND(MinBase2Day*(1+ExpressFuelSurcharge),2),ROUND(((1-(TwoDayDiscount_11_20+FedExExrpessEarnedDiscount))*'2Day Base'!G19)*(1+ExpressFuelSurcharge),2)))*(1+FedEx_Markup),2)</f>
        <v>113.18</v>
      </c>
      <c r="H22" s="218">
        <f>ROUND((IF(MinBase2Day&gt;ROUND(((1-(TwoDayDiscount_11_20+FedExExrpessEarnedDiscount))*'2Day Base'!H19),2),ROUND(MinBase2Day*(1+ExpressFuelSurcharge),2),ROUND(((1-(TwoDayDiscount_11_20+FedExExrpessEarnedDiscount))*'2Day Base'!H19)*(1+ExpressFuelSurcharge),2)))*(1+FedEx_Markup),2)</f>
        <v>115.46</v>
      </c>
      <c r="I22" s="218">
        <f>ROUND((IF(MinBase2Day&gt;ROUND(((1-(TwoDayDiscount_11_20+FedExExrpessEarnedDiscount))*'2Day Base'!I19),2),ROUND(MinBase2Day*(1+ExpressFuelSurcharge),2),ROUND(((1-(TwoDayDiscount_11_20+FedExExrpessEarnedDiscount))*'2Day Base'!I19)*(1+ExpressFuelSurcharge),2)))*(1+FedEx_Markup),2)</f>
        <v>119.89</v>
      </c>
      <c r="J22" s="218">
        <f>ROUND((IF(MinBase2Day&gt;ROUND(((1-(TwoDayDiscount_11_20+FedExExrpessEarnedDiscount))*'2Day Base'!J19),2),ROUND(MinBase2Day*(1+ExpressFuelSurcharge),2),ROUND(((1-(TwoDayDiscount_11_20+FedExExrpessEarnedDiscount))*'2Day Base'!J19)*(1+ExpressFuelSurcharge),2)))*(1+FedEx_Markup),2)</f>
        <v>119.89</v>
      </c>
      <c r="K22" s="218">
        <f>ROUND((IF(MinBase2Day&gt;ROUND(((1-(TwoDayDiscount_11_20+FedExExrpessEarnedDiscount))*'2Day Base'!K19),2),ROUND(MinBase2Day*(1+ExpressFuelSurcharge),2),ROUND(((1-(TwoDayDiscount_11_20+FedExExrpessEarnedDiscount))*'2Day Base'!K19)*(1+ExpressFuelSurcharge),2)))*(1+FedEx_Markup),2)</f>
        <v>125.78</v>
      </c>
      <c r="L22" s="218">
        <f>ROUND((IF(MinBase2Day&gt;ROUND(((1-(TwoDayDiscount_11_20+FedExExrpessEarnedDiscount))*'2Day Base'!L19),2),ROUND(MinBase2Day*(1+ExpressFuelSurcharge),2),ROUND(((1-(TwoDayDiscount_11_20+FedExExrpessEarnedDiscount))*'2Day Base'!L19)*(1+ExpressFuelSurcharge),2)))*(1+FedEx_Markup),2)</f>
        <v>125.78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18</v>
      </c>
      <c r="B23" s="218">
        <f>ROUND((IF(MinBase2Day&gt;ROUND(((1-(TwoDayDiscount_11_20+FedExExrpessEarnedDiscount))*'2Day Base'!B20),2),ROUND(MinBase2Day*(1+ExpressFuelSurcharge),2),ROUND(((1-(TwoDayDiscount_11_20+FedExExrpessEarnedDiscount))*'2Day Base'!B20)*(1+ExpressFuelSurcharge),2)))*(1+FedEx_Markup),2)</f>
        <v>31.2</v>
      </c>
      <c r="C23" s="218">
        <f>ROUND((IF(MinBase2Day&gt;ROUND(((1-(TwoDayDiscount_11_20+FedExExrpessEarnedDiscount))*'2Day Base'!C20),2),ROUND(MinBase2Day*(1+ExpressFuelSurcharge),2),ROUND(((1-(TwoDayDiscount_11_20+FedExExrpessEarnedDiscount))*'2Day Base'!C20)*(1+ExpressFuelSurcharge),2)))*(1+FedEx_Markup),2)</f>
        <v>37.090000000000003</v>
      </c>
      <c r="D23" s="218">
        <f>ROUND((IF(MinBase2Day&gt;ROUND(((1-(TwoDayDiscount_11_20+FedExExrpessEarnedDiscount))*'2Day Base'!D20),2),ROUND(MinBase2Day*(1+ExpressFuelSurcharge),2),ROUND(((1-(TwoDayDiscount_11_20+FedExExrpessEarnedDiscount))*'2Day Base'!D20)*(1+ExpressFuelSurcharge),2)))*(1+FedEx_Markup),2)</f>
        <v>48.07</v>
      </c>
      <c r="E23" s="218">
        <f>ROUND((IF(MinBase2Day&gt;ROUND(((1-(TwoDayDiscount_11_20+FedExExrpessEarnedDiscount))*'2Day Base'!E20),2),ROUND(MinBase2Day*(1+ExpressFuelSurcharge),2),ROUND(((1-(TwoDayDiscount_11_20+FedExExrpessEarnedDiscount))*'2Day Base'!E20)*(1+ExpressFuelSurcharge),2)))*(1+FedEx_Markup),2)</f>
        <v>72.8</v>
      </c>
      <c r="F23" s="218">
        <f>ROUND((IF(MinBase2Day&gt;ROUND(((1-(TwoDayDiscount_11_20+FedExExrpessEarnedDiscount))*'2Day Base'!F20),2),ROUND(MinBase2Day*(1+ExpressFuelSurcharge),2),ROUND(((1-(TwoDayDiscount_11_20+FedExExrpessEarnedDiscount))*'2Day Base'!F20)*(1+ExpressFuelSurcharge),2)))*(1+FedEx_Markup),2)</f>
        <v>109.72</v>
      </c>
      <c r="G23" s="218">
        <f>ROUND((IF(MinBase2Day&gt;ROUND(((1-(TwoDayDiscount_11_20+FedExExrpessEarnedDiscount))*'2Day Base'!G20),2),ROUND(MinBase2Day*(1+ExpressFuelSurcharge),2),ROUND(((1-(TwoDayDiscount_11_20+FedExExrpessEarnedDiscount))*'2Day Base'!G20)*(1+ExpressFuelSurcharge),2)))*(1+FedEx_Markup),2)</f>
        <v>113.84</v>
      </c>
      <c r="H23" s="218">
        <f>ROUND((IF(MinBase2Day&gt;ROUND(((1-(TwoDayDiscount_11_20+FedExExrpessEarnedDiscount))*'2Day Base'!H20),2),ROUND(MinBase2Day*(1+ExpressFuelSurcharge),2),ROUND(((1-(TwoDayDiscount_11_20+FedExExrpessEarnedDiscount))*'2Day Base'!H20)*(1+ExpressFuelSurcharge),2)))*(1+FedEx_Markup),2)</f>
        <v>117.5</v>
      </c>
      <c r="I23" s="218">
        <f>ROUND((IF(MinBase2Day&gt;ROUND(((1-(TwoDayDiscount_11_20+FedExExrpessEarnedDiscount))*'2Day Base'!I20),2),ROUND(MinBase2Day*(1+ExpressFuelSurcharge),2),ROUND(((1-(TwoDayDiscount_11_20+FedExExrpessEarnedDiscount))*'2Day Base'!I20)*(1+ExpressFuelSurcharge),2)))*(1+FedEx_Markup),2)</f>
        <v>122.23</v>
      </c>
      <c r="J23" s="218">
        <f>ROUND((IF(MinBase2Day&gt;ROUND(((1-(TwoDayDiscount_11_20+FedExExrpessEarnedDiscount))*'2Day Base'!J20),2),ROUND(MinBase2Day*(1+ExpressFuelSurcharge),2),ROUND(((1-(TwoDayDiscount_11_20+FedExExrpessEarnedDiscount))*'2Day Base'!J20)*(1+ExpressFuelSurcharge),2)))*(1+FedEx_Markup),2)</f>
        <v>122.23</v>
      </c>
      <c r="K23" s="218">
        <f>ROUND((IF(MinBase2Day&gt;ROUND(((1-(TwoDayDiscount_11_20+FedExExrpessEarnedDiscount))*'2Day Base'!K20),2),ROUND(MinBase2Day*(1+ExpressFuelSurcharge),2),ROUND(((1-(TwoDayDiscount_11_20+FedExExrpessEarnedDiscount))*'2Day Base'!K20)*(1+ExpressFuelSurcharge),2)))*(1+FedEx_Markup),2)</f>
        <v>126.35</v>
      </c>
      <c r="L23" s="218">
        <f>ROUND((IF(MinBase2Day&gt;ROUND(((1-(TwoDayDiscount_11_20+FedExExrpessEarnedDiscount))*'2Day Base'!L20),2),ROUND(MinBase2Day*(1+ExpressFuelSurcharge),2),ROUND(((1-(TwoDayDiscount_11_20+FedExExrpessEarnedDiscount))*'2Day Base'!L20)*(1+ExpressFuelSurcharge),2)))*(1+FedEx_Markup),2)</f>
        <v>126.35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19</v>
      </c>
      <c r="B24" s="218">
        <f>ROUND((IF(MinBase2Day&gt;ROUND(((1-(TwoDayDiscount_11_20+FedExExrpessEarnedDiscount))*'2Day Base'!B21),2),ROUND(MinBase2Day*(1+ExpressFuelSurcharge),2),ROUND(((1-(TwoDayDiscount_11_20+FedExExrpessEarnedDiscount))*'2Day Base'!B21)*(1+ExpressFuelSurcharge),2)))*(1+FedEx_Markup),2)</f>
        <v>32.44</v>
      </c>
      <c r="C24" s="218">
        <f>ROUND((IF(MinBase2Day&gt;ROUND(((1-(TwoDayDiscount_11_20+FedExExrpessEarnedDiscount))*'2Day Base'!C21),2),ROUND(MinBase2Day*(1+ExpressFuelSurcharge),2),ROUND(((1-(TwoDayDiscount_11_20+FedExExrpessEarnedDiscount))*'2Day Base'!C21)*(1+ExpressFuelSurcharge),2)))*(1+FedEx_Markup),2)</f>
        <v>38.11</v>
      </c>
      <c r="D24" s="218">
        <f>ROUND((IF(MinBase2Day&gt;ROUND(((1-(TwoDayDiscount_11_20+FedExExrpessEarnedDiscount))*'2Day Base'!D21),2),ROUND(MinBase2Day*(1+ExpressFuelSurcharge),2),ROUND(((1-(TwoDayDiscount_11_20+FedExExrpessEarnedDiscount))*'2Day Base'!D21)*(1+ExpressFuelSurcharge),2)))*(1+FedEx_Markup),2)</f>
        <v>49.5</v>
      </c>
      <c r="E24" s="218">
        <f>ROUND((IF(MinBase2Day&gt;ROUND(((1-(TwoDayDiscount_11_20+FedExExrpessEarnedDiscount))*'2Day Base'!E21),2),ROUND(MinBase2Day*(1+ExpressFuelSurcharge),2),ROUND(((1-(TwoDayDiscount_11_20+FedExExrpessEarnedDiscount))*'2Day Base'!E21)*(1+ExpressFuelSurcharge),2)))*(1+FedEx_Markup),2)</f>
        <v>75.760000000000005</v>
      </c>
      <c r="F24" s="218">
        <f>ROUND((IF(MinBase2Day&gt;ROUND(((1-(TwoDayDiscount_11_20+FedExExrpessEarnedDiscount))*'2Day Base'!F21),2),ROUND(MinBase2Day*(1+ExpressFuelSurcharge),2),ROUND(((1-(TwoDayDiscount_11_20+FedExExrpessEarnedDiscount))*'2Day Base'!F21)*(1+ExpressFuelSurcharge),2)))*(1+FedEx_Markup),2)</f>
        <v>112.25</v>
      </c>
      <c r="G24" s="218">
        <f>ROUND((IF(MinBase2Day&gt;ROUND(((1-(TwoDayDiscount_11_20+FedExExrpessEarnedDiscount))*'2Day Base'!G21),2),ROUND(MinBase2Day*(1+ExpressFuelSurcharge),2),ROUND(((1-(TwoDayDiscount_11_20+FedExExrpessEarnedDiscount))*'2Day Base'!G21)*(1+ExpressFuelSurcharge),2)))*(1+FedEx_Markup),2)</f>
        <v>124.4</v>
      </c>
      <c r="H24" s="218">
        <f>ROUND((IF(MinBase2Day&gt;ROUND(((1-(TwoDayDiscount_11_20+FedExExrpessEarnedDiscount))*'2Day Base'!H21),2),ROUND(MinBase2Day*(1+ExpressFuelSurcharge),2),ROUND(((1-(TwoDayDiscount_11_20+FedExExrpessEarnedDiscount))*'2Day Base'!H21)*(1+ExpressFuelSurcharge),2)))*(1+FedEx_Markup),2)</f>
        <v>126.89</v>
      </c>
      <c r="I24" s="218">
        <f>ROUND((IF(MinBase2Day&gt;ROUND(((1-(TwoDayDiscount_11_20+FedExExrpessEarnedDiscount))*'2Day Base'!I21),2),ROUND(MinBase2Day*(1+ExpressFuelSurcharge),2),ROUND(((1-(TwoDayDiscount_11_20+FedExExrpessEarnedDiscount))*'2Day Base'!I21)*(1+ExpressFuelSurcharge),2)))*(1+FedEx_Markup),2)</f>
        <v>131.19</v>
      </c>
      <c r="J24" s="218">
        <f>ROUND((IF(MinBase2Day&gt;ROUND(((1-(TwoDayDiscount_11_20+FedExExrpessEarnedDiscount))*'2Day Base'!J21),2),ROUND(MinBase2Day*(1+ExpressFuelSurcharge),2),ROUND(((1-(TwoDayDiscount_11_20+FedExExrpessEarnedDiscount))*'2Day Base'!J21)*(1+ExpressFuelSurcharge),2)))*(1+FedEx_Markup),2)</f>
        <v>131.19</v>
      </c>
      <c r="K24" s="218">
        <f>ROUND((IF(MinBase2Day&gt;ROUND(((1-(TwoDayDiscount_11_20+FedExExrpessEarnedDiscount))*'2Day Base'!K21),2),ROUND(MinBase2Day*(1+ExpressFuelSurcharge),2),ROUND(((1-(TwoDayDiscount_11_20+FedExExrpessEarnedDiscount))*'2Day Base'!K21)*(1+ExpressFuelSurcharge),2)))*(1+FedEx_Markup),2)</f>
        <v>137.56</v>
      </c>
      <c r="L24" s="218">
        <f>ROUND((IF(MinBase2Day&gt;ROUND(((1-(TwoDayDiscount_11_20+FedExExrpessEarnedDiscount))*'2Day Base'!L21),2),ROUND(MinBase2Day*(1+ExpressFuelSurcharge),2),ROUND(((1-(TwoDayDiscount_11_20+FedExExrpessEarnedDiscount))*'2Day Base'!L21)*(1+ExpressFuelSurcharge),2)))*(1+FedEx_Markup),2)</f>
        <v>137.56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20</v>
      </c>
      <c r="B25" s="218">
        <f>ROUND((IF(MinBase2Day&gt;ROUND(((1-(TwoDayDiscount_11_20+FedExExrpessEarnedDiscount))*'2Day Base'!B22),2),ROUND(MinBase2Day*(1+ExpressFuelSurcharge),2),ROUND(((1-(TwoDayDiscount_11_20+FedExExrpessEarnedDiscount))*'2Day Base'!B22)*(1+ExpressFuelSurcharge),2)))*(1+FedEx_Markup),2)</f>
        <v>33.56</v>
      </c>
      <c r="C25" s="218">
        <f>ROUND((IF(MinBase2Day&gt;ROUND(((1-(TwoDayDiscount_11_20+FedExExrpessEarnedDiscount))*'2Day Base'!C22),2),ROUND(MinBase2Day*(1+ExpressFuelSurcharge),2),ROUND(((1-(TwoDayDiscount_11_20+FedExExrpessEarnedDiscount))*'2Day Base'!C22)*(1+ExpressFuelSurcharge),2)))*(1+FedEx_Markup),2)</f>
        <v>39.76</v>
      </c>
      <c r="D25" s="218">
        <f>ROUND((IF(MinBase2Day&gt;ROUND(((1-(TwoDayDiscount_11_20+FedExExrpessEarnedDiscount))*'2Day Base'!D22),2),ROUND(MinBase2Day*(1+ExpressFuelSurcharge),2),ROUND(((1-(TwoDayDiscount_11_20+FedExExrpessEarnedDiscount))*'2Day Base'!D22)*(1+ExpressFuelSurcharge),2)))*(1+FedEx_Markup),2)</f>
        <v>51.41</v>
      </c>
      <c r="E25" s="218">
        <f>ROUND((IF(MinBase2Day&gt;ROUND(((1-(TwoDayDiscount_11_20+FedExExrpessEarnedDiscount))*'2Day Base'!E22),2),ROUND(MinBase2Day*(1+ExpressFuelSurcharge),2),ROUND(((1-(TwoDayDiscount_11_20+FedExExrpessEarnedDiscount))*'2Day Base'!E22)*(1+ExpressFuelSurcharge),2)))*(1+FedEx_Markup),2)</f>
        <v>79.290000000000006</v>
      </c>
      <c r="F25" s="218">
        <f>ROUND((IF(MinBase2Day&gt;ROUND(((1-(TwoDayDiscount_11_20+FedExExrpessEarnedDiscount))*'2Day Base'!F22),2),ROUND(MinBase2Day*(1+ExpressFuelSurcharge),2),ROUND(((1-(TwoDayDiscount_11_20+FedExExrpessEarnedDiscount))*'2Day Base'!F22)*(1+ExpressFuelSurcharge),2)))*(1+FedEx_Markup),2)</f>
        <v>116.25</v>
      </c>
      <c r="G25" s="218">
        <f>ROUND((IF(MinBase2Day&gt;ROUND(((1-(TwoDayDiscount_11_20+FedExExrpessEarnedDiscount))*'2Day Base'!G22),2),ROUND(MinBase2Day*(1+ExpressFuelSurcharge),2),ROUND(((1-(TwoDayDiscount_11_20+FedExExrpessEarnedDiscount))*'2Day Base'!G22)*(1+ExpressFuelSurcharge),2)))*(1+FedEx_Markup),2)</f>
        <v>127.01</v>
      </c>
      <c r="H25" s="218">
        <f>ROUND((IF(MinBase2Day&gt;ROUND(((1-(TwoDayDiscount_11_20+FedExExrpessEarnedDiscount))*'2Day Base'!H22),2),ROUND(MinBase2Day*(1+ExpressFuelSurcharge),2),ROUND(((1-(TwoDayDiscount_11_20+FedExExrpessEarnedDiscount))*'2Day Base'!H22)*(1+ExpressFuelSurcharge),2)))*(1+FedEx_Markup),2)</f>
        <v>130.99</v>
      </c>
      <c r="I25" s="218">
        <f>ROUND((IF(MinBase2Day&gt;ROUND(((1-(TwoDayDiscount_11_20+FedExExrpessEarnedDiscount))*'2Day Base'!I22),2),ROUND(MinBase2Day*(1+ExpressFuelSurcharge),2),ROUND(((1-(TwoDayDiscount_11_20+FedExExrpessEarnedDiscount))*'2Day Base'!I22)*(1+ExpressFuelSurcharge),2)))*(1+FedEx_Markup),2)</f>
        <v>135.84</v>
      </c>
      <c r="J25" s="218">
        <f>ROUND((IF(MinBase2Day&gt;ROUND(((1-(TwoDayDiscount_11_20+FedExExrpessEarnedDiscount))*'2Day Base'!J22),2),ROUND(MinBase2Day*(1+ExpressFuelSurcharge),2),ROUND(((1-(TwoDayDiscount_11_20+FedExExrpessEarnedDiscount))*'2Day Base'!J22)*(1+ExpressFuelSurcharge),2)))*(1+FedEx_Markup),2)</f>
        <v>135.84</v>
      </c>
      <c r="K25" s="218">
        <f>ROUND((IF(MinBase2Day&gt;ROUND(((1-(TwoDayDiscount_11_20+FedExExrpessEarnedDiscount))*'2Day Base'!K22),2),ROUND(MinBase2Day*(1+ExpressFuelSurcharge),2),ROUND(((1-(TwoDayDiscount_11_20+FedExExrpessEarnedDiscount))*'2Day Base'!K22)*(1+ExpressFuelSurcharge),2)))*(1+FedEx_Markup),2)</f>
        <v>139.08000000000001</v>
      </c>
      <c r="L25" s="218">
        <f>ROUND((IF(MinBase2Day&gt;ROUND(((1-(TwoDayDiscount_11_20+FedExExrpessEarnedDiscount))*'2Day Base'!L22),2),ROUND(MinBase2Day*(1+ExpressFuelSurcharge),2),ROUND(((1-(TwoDayDiscount_11_20+FedExExrpessEarnedDiscount))*'2Day Base'!L22)*(1+ExpressFuelSurcharge),2)))*(1+FedEx_Markup),2)</f>
        <v>139.08000000000001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21</v>
      </c>
      <c r="B26" s="218">
        <f>ROUND((IF(MinBase2Day&gt;ROUND(((1-(TwoDayDiscount_21_Up+FedExExrpessEarnedDiscount))*'2Day Base'!B23),2),ROUND(MinBase2Day*(1+ExpressFuelSurcharge),2),ROUND(((1-(TwoDayDiscount_21_Up+FedExExrpessEarnedDiscount))*'2Day Base'!B23)*(1+ExpressFuelSurcharge),2)))*(1+FedEx_Markup),2)</f>
        <v>30.73</v>
      </c>
      <c r="C26" s="218">
        <f>ROUND((IF(MinBase2Day&gt;ROUND(((1-(TwoDayDiscount_21_Up+FedExExrpessEarnedDiscount))*'2Day Base'!C23),2),ROUND(MinBase2Day*(1+ExpressFuelSurcharge),2),ROUND(((1-(TwoDayDiscount_21_Up+FedExExrpessEarnedDiscount))*'2Day Base'!C23)*(1+ExpressFuelSurcharge),2)))*(1+FedEx_Markup),2)</f>
        <v>36.14</v>
      </c>
      <c r="D26" s="218">
        <f>ROUND((IF(MinBase2Day&gt;ROUND(((1-(TwoDayDiscount_21_Up+FedExExrpessEarnedDiscount))*'2Day Base'!D23),2),ROUND(MinBase2Day*(1+ExpressFuelSurcharge),2),ROUND(((1-(TwoDayDiscount_21_Up+FedExExrpessEarnedDiscount))*'2Day Base'!D23)*(1+ExpressFuelSurcharge),2)))*(1+FedEx_Markup),2)</f>
        <v>46.67</v>
      </c>
      <c r="E26" s="218">
        <f>ROUND((IF(MinBase2Day&gt;ROUND(((1-(TwoDayDiscount_21_Up+FedExExrpessEarnedDiscount))*'2Day Base'!E23),2),ROUND(MinBase2Day*(1+ExpressFuelSurcharge),2),ROUND(((1-(TwoDayDiscount_21_Up+FedExExrpessEarnedDiscount))*'2Day Base'!E23)*(1+ExpressFuelSurcharge),2)))*(1+FedEx_Markup),2)</f>
        <v>71.73</v>
      </c>
      <c r="F26" s="218">
        <f>ROUND((IF(MinBase2Day&gt;ROUND(((1-(TwoDayDiscount_21_Up+FedExExrpessEarnedDiscount))*'2Day Base'!F23),2),ROUND(MinBase2Day*(1+ExpressFuelSurcharge),2),ROUND(((1-(TwoDayDiscount_21_Up+FedExExrpessEarnedDiscount))*'2Day Base'!F23)*(1+ExpressFuelSurcharge),2)))*(1+FedEx_Markup),2)</f>
        <v>102.07</v>
      </c>
      <c r="G26" s="218">
        <f>ROUND((IF(MinBase2Day&gt;ROUND(((1-(TwoDayDiscount_21_Up+FedExExrpessEarnedDiscount))*'2Day Base'!G23),2),ROUND(MinBase2Day*(1+ExpressFuelSurcharge),2),ROUND(((1-(TwoDayDiscount_21_Up+FedExExrpessEarnedDiscount))*'2Day Base'!G23)*(1+ExpressFuelSurcharge),2)))*(1+FedEx_Markup),2)</f>
        <v>114.94</v>
      </c>
      <c r="H26" s="218">
        <f>ROUND((IF(MinBase2Day&gt;ROUND(((1-(TwoDayDiscount_21_Up+FedExExrpessEarnedDiscount))*'2Day Base'!H23),2),ROUND(MinBase2Day*(1+ExpressFuelSurcharge),2),ROUND(((1-(TwoDayDiscount_21_Up+FedExExrpessEarnedDiscount))*'2Day Base'!H23)*(1+ExpressFuelSurcharge),2)))*(1+FedEx_Markup),2)</f>
        <v>117.37</v>
      </c>
      <c r="I26" s="218">
        <f>ROUND((IF(MinBase2Day&gt;ROUND(((1-(TwoDayDiscount_21_Up+FedExExrpessEarnedDiscount))*'2Day Base'!I23),2),ROUND(MinBase2Day*(1+ExpressFuelSurcharge),2),ROUND(((1-(TwoDayDiscount_21_Up+FedExExrpessEarnedDiscount))*'2Day Base'!I23)*(1+ExpressFuelSurcharge),2)))*(1+FedEx_Markup),2)</f>
        <v>119.73</v>
      </c>
      <c r="J26" s="218">
        <f>ROUND((IF(MinBase2Day&gt;ROUND(((1-(TwoDayDiscount_21_Up+FedExExrpessEarnedDiscount))*'2Day Base'!J23),2),ROUND(MinBase2Day*(1+ExpressFuelSurcharge),2),ROUND(((1-(TwoDayDiscount_21_Up+FedExExrpessEarnedDiscount))*'2Day Base'!J23)*(1+ExpressFuelSurcharge),2)))*(1+FedEx_Markup),2)</f>
        <v>119.73</v>
      </c>
      <c r="K26" s="218">
        <f>ROUND((IF(MinBase2Day&gt;ROUND(((1-(TwoDayDiscount_21_Up+FedExExrpessEarnedDiscount))*'2Day Base'!K23),2),ROUND(MinBase2Day*(1+ExpressFuelSurcharge),2),ROUND(((1-(TwoDayDiscount_21_Up+FedExExrpessEarnedDiscount))*'2Day Base'!K23)*(1+ExpressFuelSurcharge),2)))*(1+FedEx_Markup),2)</f>
        <v>122.13</v>
      </c>
      <c r="L26" s="218">
        <f>ROUND((IF(MinBase2Day&gt;ROUND(((1-(TwoDayDiscount_21_Up+FedExExrpessEarnedDiscount))*'2Day Base'!L23),2),ROUND(MinBase2Day*(1+ExpressFuelSurcharge),2),ROUND(((1-(TwoDayDiscount_21_Up+FedExExrpessEarnedDiscount))*'2Day Base'!L23)*(1+ExpressFuelSurcharge),2)))*(1+FedEx_Markup),2)</f>
        <v>122.13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22</v>
      </c>
      <c r="B27" s="218">
        <f>ROUND((IF(MinBase2Day&gt;ROUND(((1-(TwoDayDiscount_21_Up+FedExExrpessEarnedDiscount))*'2Day Base'!B24),2),ROUND(MinBase2Day*(1+ExpressFuelSurcharge),2),ROUND(((1-(TwoDayDiscount_21_Up+FedExExrpessEarnedDiscount))*'2Day Base'!B24)*(1+ExpressFuelSurcharge),2)))*(1+FedEx_Markup),2)</f>
        <v>31.67</v>
      </c>
      <c r="C27" s="218">
        <f>ROUND((IF(MinBase2Day&gt;ROUND(((1-(TwoDayDiscount_21_Up+FedExExrpessEarnedDiscount))*'2Day Base'!C24),2),ROUND(MinBase2Day*(1+ExpressFuelSurcharge),2),ROUND(((1-(TwoDayDiscount_21_Up+FedExExrpessEarnedDiscount))*'2Day Base'!C24)*(1+ExpressFuelSurcharge),2)))*(1+FedEx_Markup),2)</f>
        <v>37.32</v>
      </c>
      <c r="D27" s="218">
        <f>ROUND((IF(MinBase2Day&gt;ROUND(((1-(TwoDayDiscount_21_Up+FedExExrpessEarnedDiscount))*'2Day Base'!D24),2),ROUND(MinBase2Day*(1+ExpressFuelSurcharge),2),ROUND(((1-(TwoDayDiscount_21_Up+FedExExrpessEarnedDiscount))*'2Day Base'!D24)*(1+ExpressFuelSurcharge),2)))*(1+FedEx_Markup),2)</f>
        <v>47.96</v>
      </c>
      <c r="E27" s="218">
        <f>ROUND((IF(MinBase2Day&gt;ROUND(((1-(TwoDayDiscount_21_Up+FedExExrpessEarnedDiscount))*'2Day Base'!E24),2),ROUND(MinBase2Day*(1+ExpressFuelSurcharge),2),ROUND(((1-(TwoDayDiscount_21_Up+FedExExrpessEarnedDiscount))*'2Day Base'!E24)*(1+ExpressFuelSurcharge),2)))*(1+FedEx_Markup),2)</f>
        <v>73.75</v>
      </c>
      <c r="F27" s="218">
        <f>ROUND((IF(MinBase2Day&gt;ROUND(((1-(TwoDayDiscount_21_Up+FedExExrpessEarnedDiscount))*'2Day Base'!F24),2),ROUND(MinBase2Day*(1+ExpressFuelSurcharge),2),ROUND(((1-(TwoDayDiscount_21_Up+FedExExrpessEarnedDiscount))*'2Day Base'!F24)*(1+ExpressFuelSurcharge),2)))*(1+FedEx_Markup),2)</f>
        <v>108.77</v>
      </c>
      <c r="G27" s="218">
        <f>ROUND((IF(MinBase2Day&gt;ROUND(((1-(TwoDayDiscount_21_Up+FedExExrpessEarnedDiscount))*'2Day Base'!G24),2),ROUND(MinBase2Day*(1+ExpressFuelSurcharge),2),ROUND(((1-(TwoDayDiscount_21_Up+FedExExrpessEarnedDiscount))*'2Day Base'!G24)*(1+ExpressFuelSurcharge),2)))*(1+FedEx_Markup),2)</f>
        <v>119.34</v>
      </c>
      <c r="H27" s="218">
        <f>ROUND((IF(MinBase2Day&gt;ROUND(((1-(TwoDayDiscount_21_Up+FedExExrpessEarnedDiscount))*'2Day Base'!H24),2),ROUND(MinBase2Day*(1+ExpressFuelSurcharge),2),ROUND(((1-(TwoDayDiscount_21_Up+FedExExrpessEarnedDiscount))*'2Day Base'!H24)*(1+ExpressFuelSurcharge),2)))*(1+FedEx_Markup),2)</f>
        <v>121.92</v>
      </c>
      <c r="I27" s="218">
        <f>ROUND((IF(MinBase2Day&gt;ROUND(((1-(TwoDayDiscount_21_Up+FedExExrpessEarnedDiscount))*'2Day Base'!I24),2),ROUND(MinBase2Day*(1+ExpressFuelSurcharge),2),ROUND(((1-(TwoDayDiscount_21_Up+FedExExrpessEarnedDiscount))*'2Day Base'!I24)*(1+ExpressFuelSurcharge),2)))*(1+FedEx_Markup),2)</f>
        <v>124.38</v>
      </c>
      <c r="J27" s="218">
        <f>ROUND((IF(MinBase2Day&gt;ROUND(((1-(TwoDayDiscount_21_Up+FedExExrpessEarnedDiscount))*'2Day Base'!J24),2),ROUND(MinBase2Day*(1+ExpressFuelSurcharge),2),ROUND(((1-(TwoDayDiscount_21_Up+FedExExrpessEarnedDiscount))*'2Day Base'!J24)*(1+ExpressFuelSurcharge),2)))*(1+FedEx_Markup),2)</f>
        <v>124.38</v>
      </c>
      <c r="K27" s="218">
        <f>ROUND((IF(MinBase2Day&gt;ROUND(((1-(TwoDayDiscount_21_Up+FedExExrpessEarnedDiscount))*'2Day Base'!K24),2),ROUND(MinBase2Day*(1+ExpressFuelSurcharge),2),ROUND(((1-(TwoDayDiscount_21_Up+FedExExrpessEarnedDiscount))*'2Day Base'!K24)*(1+ExpressFuelSurcharge),2)))*(1+FedEx_Markup),2)</f>
        <v>130.36000000000001</v>
      </c>
      <c r="L27" s="218">
        <f>ROUND((IF(MinBase2Day&gt;ROUND(((1-(TwoDayDiscount_21_Up+FedExExrpessEarnedDiscount))*'2Day Base'!L24),2),ROUND(MinBase2Day*(1+ExpressFuelSurcharge),2),ROUND(((1-(TwoDayDiscount_21_Up+FedExExrpessEarnedDiscount))*'2Day Base'!L24)*(1+ExpressFuelSurcharge),2)))*(1+FedEx_Markup),2)</f>
        <v>130.36000000000001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23</v>
      </c>
      <c r="B28" s="218">
        <f>ROUND((IF(MinBase2Day&gt;ROUND(((1-(TwoDayDiscount_21_Up+FedExExrpessEarnedDiscount))*'2Day Base'!B25),2),ROUND(MinBase2Day*(1+ExpressFuelSurcharge),2),ROUND(((1-(TwoDayDiscount_21_Up+FedExExrpessEarnedDiscount))*'2Day Base'!B25)*(1+ExpressFuelSurcharge),2)))*(1+FedEx_Markup),2)</f>
        <v>32.15</v>
      </c>
      <c r="C28" s="218">
        <f>ROUND((IF(MinBase2Day&gt;ROUND(((1-(TwoDayDiscount_21_Up+FedExExrpessEarnedDiscount))*'2Day Base'!C25),2),ROUND(MinBase2Day*(1+ExpressFuelSurcharge),2),ROUND(((1-(TwoDayDiscount_21_Up+FedExExrpessEarnedDiscount))*'2Day Base'!C25)*(1+ExpressFuelSurcharge),2)))*(1+FedEx_Markup),2)</f>
        <v>38.130000000000003</v>
      </c>
      <c r="D28" s="218">
        <f>ROUND((IF(MinBase2Day&gt;ROUND(((1-(TwoDayDiscount_21_Up+FedExExrpessEarnedDiscount))*'2Day Base'!D25),2),ROUND(MinBase2Day*(1+ExpressFuelSurcharge),2),ROUND(((1-(TwoDayDiscount_21_Up+FedExExrpessEarnedDiscount))*'2Day Base'!D25)*(1+ExpressFuelSurcharge),2)))*(1+FedEx_Markup),2)</f>
        <v>49.68</v>
      </c>
      <c r="E28" s="218">
        <f>ROUND((IF(MinBase2Day&gt;ROUND(((1-(TwoDayDiscount_21_Up+FedExExrpessEarnedDiscount))*'2Day Base'!E25),2),ROUND(MinBase2Day*(1+ExpressFuelSurcharge),2),ROUND(((1-(TwoDayDiscount_21_Up+FedExExrpessEarnedDiscount))*'2Day Base'!E25)*(1+ExpressFuelSurcharge),2)))*(1+FedEx_Markup),2)</f>
        <v>75.849999999999994</v>
      </c>
      <c r="F28" s="218">
        <f>ROUND((IF(MinBase2Day&gt;ROUND(((1-(TwoDayDiscount_21_Up+FedExExrpessEarnedDiscount))*'2Day Base'!F25),2),ROUND(MinBase2Day*(1+ExpressFuelSurcharge),2),ROUND(((1-(TwoDayDiscount_21_Up+FedExExrpessEarnedDiscount))*'2Day Base'!F25)*(1+ExpressFuelSurcharge),2)))*(1+FedEx_Markup),2)</f>
        <v>112.7</v>
      </c>
      <c r="G28" s="218">
        <f>ROUND((IF(MinBase2Day&gt;ROUND(((1-(TwoDayDiscount_21_Up+FedExExrpessEarnedDiscount))*'2Day Base'!G25),2),ROUND(MinBase2Day*(1+ExpressFuelSurcharge),2),ROUND(((1-(TwoDayDiscount_21_Up+FedExExrpessEarnedDiscount))*'2Day Base'!G25)*(1+ExpressFuelSurcharge),2)))*(1+FedEx_Markup),2)</f>
        <v>123.26</v>
      </c>
      <c r="H28" s="218">
        <f>ROUND((IF(MinBase2Day&gt;ROUND(((1-(TwoDayDiscount_21_Up+FedExExrpessEarnedDiscount))*'2Day Base'!H25),2),ROUND(MinBase2Day*(1+ExpressFuelSurcharge),2),ROUND(((1-(TwoDayDiscount_21_Up+FedExExrpessEarnedDiscount))*'2Day Base'!H25)*(1+ExpressFuelSurcharge),2)))*(1+FedEx_Markup),2)</f>
        <v>126.1</v>
      </c>
      <c r="I28" s="218">
        <f>ROUND((IF(MinBase2Day&gt;ROUND(((1-(TwoDayDiscount_21_Up+FedExExrpessEarnedDiscount))*'2Day Base'!I25),2),ROUND(MinBase2Day*(1+ExpressFuelSurcharge),2),ROUND(((1-(TwoDayDiscount_21_Up+FedExExrpessEarnedDiscount))*'2Day Base'!I25)*(1+ExpressFuelSurcharge),2)))*(1+FedEx_Markup),2)</f>
        <v>128.63</v>
      </c>
      <c r="J28" s="218">
        <f>ROUND((IF(MinBase2Day&gt;ROUND(((1-(TwoDayDiscount_21_Up+FedExExrpessEarnedDiscount))*'2Day Base'!J25),2),ROUND(MinBase2Day*(1+ExpressFuelSurcharge),2),ROUND(((1-(TwoDayDiscount_21_Up+FedExExrpessEarnedDiscount))*'2Day Base'!J25)*(1+ExpressFuelSurcharge),2)))*(1+FedEx_Markup),2)</f>
        <v>128.63</v>
      </c>
      <c r="K28" s="218">
        <f>ROUND((IF(MinBase2Day&gt;ROUND(((1-(TwoDayDiscount_21_Up+FedExExrpessEarnedDiscount))*'2Day Base'!K25),2),ROUND(MinBase2Day*(1+ExpressFuelSurcharge),2),ROUND(((1-(TwoDayDiscount_21_Up+FedExExrpessEarnedDiscount))*'2Day Base'!K25)*(1+ExpressFuelSurcharge),2)))*(1+FedEx_Markup),2)</f>
        <v>131.19999999999999</v>
      </c>
      <c r="L28" s="218">
        <f>ROUND((IF(MinBase2Day&gt;ROUND(((1-(TwoDayDiscount_21_Up+FedExExrpessEarnedDiscount))*'2Day Base'!L25),2),ROUND(MinBase2Day*(1+ExpressFuelSurcharge),2),ROUND(((1-(TwoDayDiscount_21_Up+FedExExrpessEarnedDiscount))*'2Day Base'!L25)*(1+ExpressFuelSurcharge),2)))*(1+FedEx_Markup),2)</f>
        <v>131.19999999999999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24</v>
      </c>
      <c r="B29" s="218">
        <f>ROUND((IF(MinBase2Day&gt;ROUND(((1-(TwoDayDiscount_21_Up+FedExExrpessEarnedDiscount))*'2Day Base'!B26),2),ROUND(MinBase2Day*(1+ExpressFuelSurcharge),2),ROUND(((1-(TwoDayDiscount_21_Up+FedExExrpessEarnedDiscount))*'2Day Base'!B26)*(1+ExpressFuelSurcharge),2)))*(1+FedEx_Markup),2)</f>
        <v>32.89</v>
      </c>
      <c r="C29" s="218">
        <f>ROUND((IF(MinBase2Day&gt;ROUND(((1-(TwoDayDiscount_21_Up+FedExExrpessEarnedDiscount))*'2Day Base'!C26),2),ROUND(MinBase2Day*(1+ExpressFuelSurcharge),2),ROUND(((1-(TwoDayDiscount_21_Up+FedExExrpessEarnedDiscount))*'2Day Base'!C26)*(1+ExpressFuelSurcharge),2)))*(1+FedEx_Markup),2)</f>
        <v>39.65</v>
      </c>
      <c r="D29" s="218">
        <f>ROUND((IF(MinBase2Day&gt;ROUND(((1-(TwoDayDiscount_21_Up+FedExExrpessEarnedDiscount))*'2Day Base'!D26),2),ROUND(MinBase2Day*(1+ExpressFuelSurcharge),2),ROUND(((1-(TwoDayDiscount_21_Up+FedExExrpessEarnedDiscount))*'2Day Base'!D26)*(1+ExpressFuelSurcharge),2)))*(1+FedEx_Markup),2)</f>
        <v>51.27</v>
      </c>
      <c r="E29" s="218">
        <f>ROUND((IF(MinBase2Day&gt;ROUND(((1-(TwoDayDiscount_21_Up+FedExExrpessEarnedDiscount))*'2Day Base'!E26),2),ROUND(MinBase2Day*(1+ExpressFuelSurcharge),2),ROUND(((1-(TwoDayDiscount_21_Up+FedExExrpessEarnedDiscount))*'2Day Base'!E26)*(1+ExpressFuelSurcharge),2)))*(1+FedEx_Markup),2)</f>
        <v>78.8</v>
      </c>
      <c r="F29" s="218">
        <f>ROUND((IF(MinBase2Day&gt;ROUND(((1-(TwoDayDiscount_21_Up+FedExExrpessEarnedDiscount))*'2Day Base'!F26),2),ROUND(MinBase2Day*(1+ExpressFuelSurcharge),2),ROUND(((1-(TwoDayDiscount_21_Up+FedExExrpessEarnedDiscount))*'2Day Base'!F26)*(1+ExpressFuelSurcharge),2)))*(1+FedEx_Markup),2)</f>
        <v>116.81</v>
      </c>
      <c r="G29" s="218">
        <f>ROUND((IF(MinBase2Day&gt;ROUND(((1-(TwoDayDiscount_21_Up+FedExExrpessEarnedDiscount))*'2Day Base'!G26),2),ROUND(MinBase2Day*(1+ExpressFuelSurcharge),2),ROUND(((1-(TwoDayDiscount_21_Up+FedExExrpessEarnedDiscount))*'2Day Base'!G26)*(1+ExpressFuelSurcharge),2)))*(1+FedEx_Markup),2)</f>
        <v>124.94</v>
      </c>
      <c r="H29" s="218">
        <f>ROUND((IF(MinBase2Day&gt;ROUND(((1-(TwoDayDiscount_21_Up+FedExExrpessEarnedDiscount))*'2Day Base'!H26),2),ROUND(MinBase2Day*(1+ExpressFuelSurcharge),2),ROUND(((1-(TwoDayDiscount_21_Up+FedExExrpessEarnedDiscount))*'2Day Base'!H26)*(1+ExpressFuelSurcharge),2)))*(1+FedEx_Markup),2)</f>
        <v>127.43</v>
      </c>
      <c r="I29" s="218">
        <f>ROUND((IF(MinBase2Day&gt;ROUND(((1-(TwoDayDiscount_21_Up+FedExExrpessEarnedDiscount))*'2Day Base'!I26),2),ROUND(MinBase2Day*(1+ExpressFuelSurcharge),2),ROUND(((1-(TwoDayDiscount_21_Up+FedExExrpessEarnedDiscount))*'2Day Base'!I26)*(1+ExpressFuelSurcharge),2)))*(1+FedEx_Markup),2)</f>
        <v>129.97999999999999</v>
      </c>
      <c r="J29" s="218">
        <f>ROUND((IF(MinBase2Day&gt;ROUND(((1-(TwoDayDiscount_21_Up+FedExExrpessEarnedDiscount))*'2Day Base'!J26),2),ROUND(MinBase2Day*(1+ExpressFuelSurcharge),2),ROUND(((1-(TwoDayDiscount_21_Up+FedExExrpessEarnedDiscount))*'2Day Base'!J26)*(1+ExpressFuelSurcharge),2)))*(1+FedEx_Markup),2)</f>
        <v>129.97999999999999</v>
      </c>
      <c r="K29" s="218">
        <f>ROUND((IF(MinBase2Day&gt;ROUND(((1-(TwoDayDiscount_21_Up+FedExExrpessEarnedDiscount))*'2Day Base'!K26),2),ROUND(MinBase2Day*(1+ExpressFuelSurcharge),2),ROUND(((1-(TwoDayDiscount_21_Up+FedExExrpessEarnedDiscount))*'2Day Base'!K26)*(1+ExpressFuelSurcharge),2)))*(1+FedEx_Markup),2)</f>
        <v>135.84</v>
      </c>
      <c r="L29" s="218">
        <f>ROUND((IF(MinBase2Day&gt;ROUND(((1-(TwoDayDiscount_21_Up+FedExExrpessEarnedDiscount))*'2Day Base'!L26),2),ROUND(MinBase2Day*(1+ExpressFuelSurcharge),2),ROUND(((1-(TwoDayDiscount_21_Up+FedExExrpessEarnedDiscount))*'2Day Base'!L26)*(1+ExpressFuelSurcharge),2)))*(1+FedEx_Markup),2)</f>
        <v>135.84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25</v>
      </c>
      <c r="B30" s="218">
        <f>ROUND((IF(MinBase2Day&gt;ROUND(((1-(TwoDayDiscount_21_Up+FedExExrpessEarnedDiscount))*'2Day Base'!B27),2),ROUND(MinBase2Day*(1+ExpressFuelSurcharge),2),ROUND(((1-(TwoDayDiscount_21_Up+FedExExrpessEarnedDiscount))*'2Day Base'!B27)*(1+ExpressFuelSurcharge),2)))*(1+FedEx_Markup),2)</f>
        <v>34.270000000000003</v>
      </c>
      <c r="C30" s="218">
        <f>ROUND((IF(MinBase2Day&gt;ROUND(((1-(TwoDayDiscount_21_Up+FedExExrpessEarnedDiscount))*'2Day Base'!C27),2),ROUND(MinBase2Day*(1+ExpressFuelSurcharge),2),ROUND(((1-(TwoDayDiscount_21_Up+FedExExrpessEarnedDiscount))*'2Day Base'!C27)*(1+ExpressFuelSurcharge),2)))*(1+FedEx_Markup),2)</f>
        <v>40.78</v>
      </c>
      <c r="D30" s="218">
        <f>ROUND((IF(MinBase2Day&gt;ROUND(((1-(TwoDayDiscount_21_Up+FedExExrpessEarnedDiscount))*'2Day Base'!D27),2),ROUND(MinBase2Day*(1+ExpressFuelSurcharge),2),ROUND(((1-(TwoDayDiscount_21_Up+FedExExrpessEarnedDiscount))*'2Day Base'!D27)*(1+ExpressFuelSurcharge),2)))*(1+FedEx_Markup),2)</f>
        <v>52.24</v>
      </c>
      <c r="E30" s="218">
        <f>ROUND((IF(MinBase2Day&gt;ROUND(((1-(TwoDayDiscount_21_Up+FedExExrpessEarnedDiscount))*'2Day Base'!E27),2),ROUND(MinBase2Day*(1+ExpressFuelSurcharge),2),ROUND(((1-(TwoDayDiscount_21_Up+FedExExrpessEarnedDiscount))*'2Day Base'!E27)*(1+ExpressFuelSurcharge),2)))*(1+FedEx_Markup),2)</f>
        <v>81.5</v>
      </c>
      <c r="F30" s="218">
        <f>ROUND((IF(MinBase2Day&gt;ROUND(((1-(TwoDayDiscount_21_Up+FedExExrpessEarnedDiscount))*'2Day Base'!F27),2),ROUND(MinBase2Day*(1+ExpressFuelSurcharge),2),ROUND(((1-(TwoDayDiscount_21_Up+FedExExrpessEarnedDiscount))*'2Day Base'!F27)*(1+ExpressFuelSurcharge),2)))*(1+FedEx_Markup),2)</f>
        <v>120.61</v>
      </c>
      <c r="G30" s="218">
        <f>ROUND((IF(MinBase2Day&gt;ROUND(((1-(TwoDayDiscount_21_Up+FedExExrpessEarnedDiscount))*'2Day Base'!G27),2),ROUND(MinBase2Day*(1+ExpressFuelSurcharge),2),ROUND(((1-(TwoDayDiscount_21_Up+FedExExrpessEarnedDiscount))*'2Day Base'!G27)*(1+ExpressFuelSurcharge),2)))*(1+FedEx_Markup),2)</f>
        <v>132.6</v>
      </c>
      <c r="H30" s="218">
        <f>ROUND((IF(MinBase2Day&gt;ROUND(((1-(TwoDayDiscount_21_Up+FedExExrpessEarnedDiscount))*'2Day Base'!H27),2),ROUND(MinBase2Day*(1+ExpressFuelSurcharge),2),ROUND(((1-(TwoDayDiscount_21_Up+FedExExrpessEarnedDiscount))*'2Day Base'!H27)*(1+ExpressFuelSurcharge),2)))*(1+FedEx_Markup),2)</f>
        <v>138.13999999999999</v>
      </c>
      <c r="I30" s="218">
        <f>ROUND((IF(MinBase2Day&gt;ROUND(((1-(TwoDayDiscount_21_Up+FedExExrpessEarnedDiscount))*'2Day Base'!I27),2),ROUND(MinBase2Day*(1+ExpressFuelSurcharge),2),ROUND(((1-(TwoDayDiscount_21_Up+FedExExrpessEarnedDiscount))*'2Day Base'!I27)*(1+ExpressFuelSurcharge),2)))*(1+FedEx_Markup),2)</f>
        <v>143.58000000000001</v>
      </c>
      <c r="J30" s="218">
        <f>ROUND((IF(MinBase2Day&gt;ROUND(((1-(TwoDayDiscount_21_Up+FedExExrpessEarnedDiscount))*'2Day Base'!J27),2),ROUND(MinBase2Day*(1+ExpressFuelSurcharge),2),ROUND(((1-(TwoDayDiscount_21_Up+FedExExrpessEarnedDiscount))*'2Day Base'!J27)*(1+ExpressFuelSurcharge),2)))*(1+FedEx_Markup),2)</f>
        <v>143.58000000000001</v>
      </c>
      <c r="K30" s="218">
        <f>ROUND((IF(MinBase2Day&gt;ROUND(((1-(TwoDayDiscount_21_Up+FedExExrpessEarnedDiscount))*'2Day Base'!K27),2),ROUND(MinBase2Day*(1+ExpressFuelSurcharge),2),ROUND(((1-(TwoDayDiscount_21_Up+FedExExrpessEarnedDiscount))*'2Day Base'!K27)*(1+ExpressFuelSurcharge),2)))*(1+FedEx_Markup),2)</f>
        <v>150.13</v>
      </c>
      <c r="L30" s="218">
        <f>ROUND((IF(MinBase2Day&gt;ROUND(((1-(TwoDayDiscount_21_Up+FedExExrpessEarnedDiscount))*'2Day Base'!L27),2),ROUND(MinBase2Day*(1+ExpressFuelSurcharge),2),ROUND(((1-(TwoDayDiscount_21_Up+FedExExrpessEarnedDiscount))*'2Day Base'!L27)*(1+ExpressFuelSurcharge),2)))*(1+FedEx_Markup),2)</f>
        <v>150.13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26</v>
      </c>
      <c r="B31" s="218">
        <f>ROUND((IF(MinBase2Day&gt;ROUND(((1-(TwoDayDiscount_21_Up+FedExExrpessEarnedDiscount))*'2Day Base'!B28),2),ROUND(MinBase2Day*(1+ExpressFuelSurcharge),2),ROUND(((1-(TwoDayDiscount_21_Up+FedExExrpessEarnedDiscount))*'2Day Base'!B28)*(1+ExpressFuelSurcharge),2)))*(1+FedEx_Markup),2)</f>
        <v>34.97</v>
      </c>
      <c r="C31" s="218">
        <f>ROUND((IF(MinBase2Day&gt;ROUND(((1-(TwoDayDiscount_21_Up+FedExExrpessEarnedDiscount))*'2Day Base'!C28),2),ROUND(MinBase2Day*(1+ExpressFuelSurcharge),2),ROUND(((1-(TwoDayDiscount_21_Up+FedExExrpessEarnedDiscount))*'2Day Base'!C28)*(1+ExpressFuelSurcharge),2)))*(1+FedEx_Markup),2)</f>
        <v>41.91</v>
      </c>
      <c r="D31" s="218">
        <f>ROUND((IF(MinBase2Day&gt;ROUND(((1-(TwoDayDiscount_21_Up+FedExExrpessEarnedDiscount))*'2Day Base'!D28),2),ROUND(MinBase2Day*(1+ExpressFuelSurcharge),2),ROUND(((1-(TwoDayDiscount_21_Up+FedExExrpessEarnedDiscount))*'2Day Base'!D28)*(1+ExpressFuelSurcharge),2)))*(1+FedEx_Markup),2)</f>
        <v>54.18</v>
      </c>
      <c r="E31" s="218">
        <f>ROUND((IF(MinBase2Day&gt;ROUND(((1-(TwoDayDiscount_21_Up+FedExExrpessEarnedDiscount))*'2Day Base'!E28),2),ROUND(MinBase2Day*(1+ExpressFuelSurcharge),2),ROUND(((1-(TwoDayDiscount_21_Up+FedExExrpessEarnedDiscount))*'2Day Base'!E28)*(1+ExpressFuelSurcharge),2)))*(1+FedEx_Markup),2)</f>
        <v>84.18</v>
      </c>
      <c r="F31" s="218">
        <f>ROUND((IF(MinBase2Day&gt;ROUND(((1-(TwoDayDiscount_21_Up+FedExExrpessEarnedDiscount))*'2Day Base'!F28),2),ROUND(MinBase2Day*(1+ExpressFuelSurcharge),2),ROUND(((1-(TwoDayDiscount_21_Up+FedExExrpessEarnedDiscount))*'2Day Base'!F28)*(1+ExpressFuelSurcharge),2)))*(1+FedEx_Markup),2)</f>
        <v>124.71</v>
      </c>
      <c r="G31" s="218">
        <f>ROUND((IF(MinBase2Day&gt;ROUND(((1-(TwoDayDiscount_21_Up+FedExExrpessEarnedDiscount))*'2Day Base'!G28),2),ROUND(MinBase2Day*(1+ExpressFuelSurcharge),2),ROUND(((1-(TwoDayDiscount_21_Up+FedExExrpessEarnedDiscount))*'2Day Base'!G28)*(1+ExpressFuelSurcharge),2)))*(1+FedEx_Markup),2)</f>
        <v>137.15</v>
      </c>
      <c r="H31" s="218">
        <f>ROUND((IF(MinBase2Day&gt;ROUND(((1-(TwoDayDiscount_21_Up+FedExExrpessEarnedDiscount))*'2Day Base'!H28),2),ROUND(MinBase2Day*(1+ExpressFuelSurcharge),2),ROUND(((1-(TwoDayDiscount_21_Up+FedExExrpessEarnedDiscount))*'2Day Base'!H28)*(1+ExpressFuelSurcharge),2)))*(1+FedEx_Markup),2)</f>
        <v>141.94</v>
      </c>
      <c r="I31" s="218">
        <f>ROUND((IF(MinBase2Day&gt;ROUND(((1-(TwoDayDiscount_21_Up+FedExExrpessEarnedDiscount))*'2Day Base'!I28),2),ROUND(MinBase2Day*(1+ExpressFuelSurcharge),2),ROUND(((1-(TwoDayDiscount_21_Up+FedExExrpessEarnedDiscount))*'2Day Base'!I28)*(1+ExpressFuelSurcharge),2)))*(1+FedEx_Markup),2)</f>
        <v>147.33000000000001</v>
      </c>
      <c r="J31" s="218">
        <f>ROUND((IF(MinBase2Day&gt;ROUND(((1-(TwoDayDiscount_21_Up+FedExExrpessEarnedDiscount))*'2Day Base'!J28),2),ROUND(MinBase2Day*(1+ExpressFuelSurcharge),2),ROUND(((1-(TwoDayDiscount_21_Up+FedExExrpessEarnedDiscount))*'2Day Base'!J28)*(1+ExpressFuelSurcharge),2)))*(1+FedEx_Markup),2)</f>
        <v>147.33000000000001</v>
      </c>
      <c r="K31" s="218">
        <f>ROUND((IF(MinBase2Day&gt;ROUND(((1-(TwoDayDiscount_21_Up+FedExExrpessEarnedDiscount))*'2Day Base'!K28),2),ROUND(MinBase2Day*(1+ExpressFuelSurcharge),2),ROUND(((1-(TwoDayDiscount_21_Up+FedExExrpessEarnedDiscount))*'2Day Base'!K28)*(1+ExpressFuelSurcharge),2)))*(1+FedEx_Markup),2)</f>
        <v>154.74</v>
      </c>
      <c r="L31" s="218">
        <f>ROUND((IF(MinBase2Day&gt;ROUND(((1-(TwoDayDiscount_21_Up+FedExExrpessEarnedDiscount))*'2Day Base'!L28),2),ROUND(MinBase2Day*(1+ExpressFuelSurcharge),2),ROUND(((1-(TwoDayDiscount_21_Up+FedExExrpessEarnedDiscount))*'2Day Base'!L28)*(1+ExpressFuelSurcharge),2)))*(1+FedEx_Markup),2)</f>
        <v>154.74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27</v>
      </c>
      <c r="B32" s="218">
        <f>ROUND((IF(MinBase2Day&gt;ROUND(((1-(TwoDayDiscount_21_Up+FedExExrpessEarnedDiscount))*'2Day Base'!B29),2),ROUND(MinBase2Day*(1+ExpressFuelSurcharge),2),ROUND(((1-(TwoDayDiscount_21_Up+FedExExrpessEarnedDiscount))*'2Day Base'!B29)*(1+ExpressFuelSurcharge),2)))*(1+FedEx_Markup),2)</f>
        <v>36.43</v>
      </c>
      <c r="C32" s="218">
        <f>ROUND((IF(MinBase2Day&gt;ROUND(((1-(TwoDayDiscount_21_Up+FedExExrpessEarnedDiscount))*'2Day Base'!C29),2),ROUND(MinBase2Day*(1+ExpressFuelSurcharge),2),ROUND(((1-(TwoDayDiscount_21_Up+FedExExrpessEarnedDiscount))*'2Day Base'!C29)*(1+ExpressFuelSurcharge),2)))*(1+FedEx_Markup),2)</f>
        <v>43.13</v>
      </c>
      <c r="D32" s="218">
        <f>ROUND((IF(MinBase2Day&gt;ROUND(((1-(TwoDayDiscount_21_Up+FedExExrpessEarnedDiscount))*'2Day Base'!D29),2),ROUND(MinBase2Day*(1+ExpressFuelSurcharge),2),ROUND(((1-(TwoDayDiscount_21_Up+FedExExrpessEarnedDiscount))*'2Day Base'!D29)*(1+ExpressFuelSurcharge),2)))*(1+FedEx_Markup),2)</f>
        <v>55.56</v>
      </c>
      <c r="E32" s="218">
        <f>ROUND((IF(MinBase2Day&gt;ROUND(((1-(TwoDayDiscount_21_Up+FedExExrpessEarnedDiscount))*'2Day Base'!E29),2),ROUND(MinBase2Day*(1+ExpressFuelSurcharge),2),ROUND(((1-(TwoDayDiscount_21_Up+FedExExrpessEarnedDiscount))*'2Day Base'!E29)*(1+ExpressFuelSurcharge),2)))*(1+FedEx_Markup),2)</f>
        <v>87.15</v>
      </c>
      <c r="F32" s="218">
        <f>ROUND((IF(MinBase2Day&gt;ROUND(((1-(TwoDayDiscount_21_Up+FedExExrpessEarnedDiscount))*'2Day Base'!F29),2),ROUND(MinBase2Day*(1+ExpressFuelSurcharge),2),ROUND(((1-(TwoDayDiscount_21_Up+FedExExrpessEarnedDiscount))*'2Day Base'!F29)*(1+ExpressFuelSurcharge),2)))*(1+FedEx_Markup),2)</f>
        <v>128.93</v>
      </c>
      <c r="G32" s="218">
        <f>ROUND((IF(MinBase2Day&gt;ROUND(((1-(TwoDayDiscount_21_Up+FedExExrpessEarnedDiscount))*'2Day Base'!G29),2),ROUND(MinBase2Day*(1+ExpressFuelSurcharge),2),ROUND(((1-(TwoDayDiscount_21_Up+FedExExrpessEarnedDiscount))*'2Day Base'!G29)*(1+ExpressFuelSurcharge),2)))*(1+FedEx_Markup),2)</f>
        <v>141.76</v>
      </c>
      <c r="H32" s="218">
        <f>ROUND((IF(MinBase2Day&gt;ROUND(((1-(TwoDayDiscount_21_Up+FedExExrpessEarnedDiscount))*'2Day Base'!H29),2),ROUND(MinBase2Day*(1+ExpressFuelSurcharge),2),ROUND(((1-(TwoDayDiscount_21_Up+FedExExrpessEarnedDiscount))*'2Day Base'!H29)*(1+ExpressFuelSurcharge),2)))*(1+FedEx_Markup),2)</f>
        <v>146.41</v>
      </c>
      <c r="I32" s="218">
        <f>ROUND((IF(MinBase2Day&gt;ROUND(((1-(TwoDayDiscount_21_Up+FedExExrpessEarnedDiscount))*'2Day Base'!I29),2),ROUND(MinBase2Day*(1+ExpressFuelSurcharge),2),ROUND(((1-(TwoDayDiscount_21_Up+FedExExrpessEarnedDiscount))*'2Day Base'!I29)*(1+ExpressFuelSurcharge),2)))*(1+FedEx_Markup),2)</f>
        <v>152.09</v>
      </c>
      <c r="J32" s="218">
        <f>ROUND((IF(MinBase2Day&gt;ROUND(((1-(TwoDayDiscount_21_Up+FedExExrpessEarnedDiscount))*'2Day Base'!J29),2),ROUND(MinBase2Day*(1+ExpressFuelSurcharge),2),ROUND(((1-(TwoDayDiscount_21_Up+FedExExrpessEarnedDiscount))*'2Day Base'!J29)*(1+ExpressFuelSurcharge),2)))*(1+FedEx_Markup),2)</f>
        <v>152.09</v>
      </c>
      <c r="K32" s="218">
        <f>ROUND((IF(MinBase2Day&gt;ROUND(((1-(TwoDayDiscount_21_Up+FedExExrpessEarnedDiscount))*'2Day Base'!K29),2),ROUND(MinBase2Day*(1+ExpressFuelSurcharge),2),ROUND(((1-(TwoDayDiscount_21_Up+FedExExrpessEarnedDiscount))*'2Day Base'!K29)*(1+ExpressFuelSurcharge),2)))*(1+FedEx_Markup),2)</f>
        <v>159.4</v>
      </c>
      <c r="L32" s="218">
        <f>ROUND((IF(MinBase2Day&gt;ROUND(((1-(TwoDayDiscount_21_Up+FedExExrpessEarnedDiscount))*'2Day Base'!L29),2),ROUND(MinBase2Day*(1+ExpressFuelSurcharge),2),ROUND(((1-(TwoDayDiscount_21_Up+FedExExrpessEarnedDiscount))*'2Day Base'!L29)*(1+ExpressFuelSurcharge),2)))*(1+FedEx_Markup),2)</f>
        <v>159.4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28</v>
      </c>
      <c r="B33" s="218">
        <f>ROUND((IF(MinBase2Day&gt;ROUND(((1-(TwoDayDiscount_21_Up+FedExExrpessEarnedDiscount))*'2Day Base'!B30),2),ROUND(MinBase2Day*(1+ExpressFuelSurcharge),2),ROUND(((1-(TwoDayDiscount_21_Up+FedExExrpessEarnedDiscount))*'2Day Base'!B30)*(1+ExpressFuelSurcharge),2)))*(1+FedEx_Markup),2)</f>
        <v>37.590000000000003</v>
      </c>
      <c r="C33" s="218">
        <f>ROUND((IF(MinBase2Day&gt;ROUND(((1-(TwoDayDiscount_21_Up+FedExExrpessEarnedDiscount))*'2Day Base'!C30),2),ROUND(MinBase2Day*(1+ExpressFuelSurcharge),2),ROUND(((1-(TwoDayDiscount_21_Up+FedExExrpessEarnedDiscount))*'2Day Base'!C30)*(1+ExpressFuelSurcharge),2)))*(1+FedEx_Markup),2)</f>
        <v>45.17</v>
      </c>
      <c r="D33" s="218">
        <f>ROUND((IF(MinBase2Day&gt;ROUND(((1-(TwoDayDiscount_21_Up+FedExExrpessEarnedDiscount))*'2Day Base'!D30),2),ROUND(MinBase2Day*(1+ExpressFuelSurcharge),2),ROUND(((1-(TwoDayDiscount_21_Up+FedExExrpessEarnedDiscount))*'2Day Base'!D30)*(1+ExpressFuelSurcharge),2)))*(1+FedEx_Markup),2)</f>
        <v>56.83</v>
      </c>
      <c r="E33" s="218">
        <f>ROUND((IF(MinBase2Day&gt;ROUND(((1-(TwoDayDiscount_21_Up+FedExExrpessEarnedDiscount))*'2Day Base'!E30),2),ROUND(MinBase2Day*(1+ExpressFuelSurcharge),2),ROUND(((1-(TwoDayDiscount_21_Up+FedExExrpessEarnedDiscount))*'2Day Base'!E30)*(1+ExpressFuelSurcharge),2)))*(1+FedEx_Markup),2)</f>
        <v>89.23</v>
      </c>
      <c r="F33" s="218">
        <f>ROUND((IF(MinBase2Day&gt;ROUND(((1-(TwoDayDiscount_21_Up+FedExExrpessEarnedDiscount))*'2Day Base'!F30),2),ROUND(MinBase2Day*(1+ExpressFuelSurcharge),2),ROUND(((1-(TwoDayDiscount_21_Up+FedExExrpessEarnedDiscount))*'2Day Base'!F30)*(1+ExpressFuelSurcharge),2)))*(1+FedEx_Markup),2)</f>
        <v>132.22999999999999</v>
      </c>
      <c r="G33" s="218">
        <f>ROUND((IF(MinBase2Day&gt;ROUND(((1-(TwoDayDiscount_21_Up+FedExExrpessEarnedDiscount))*'2Day Base'!G30),2),ROUND(MinBase2Day*(1+ExpressFuelSurcharge),2),ROUND(((1-(TwoDayDiscount_21_Up+FedExExrpessEarnedDiscount))*'2Day Base'!G30)*(1+ExpressFuelSurcharge),2)))*(1+FedEx_Markup),2)</f>
        <v>145.41999999999999</v>
      </c>
      <c r="H33" s="218">
        <f>ROUND((IF(MinBase2Day&gt;ROUND(((1-(TwoDayDiscount_21_Up+FedExExrpessEarnedDiscount))*'2Day Base'!H30),2),ROUND(MinBase2Day*(1+ExpressFuelSurcharge),2),ROUND(((1-(TwoDayDiscount_21_Up+FedExExrpessEarnedDiscount))*'2Day Base'!H30)*(1+ExpressFuelSurcharge),2)))*(1+FedEx_Markup),2)</f>
        <v>149.94999999999999</v>
      </c>
      <c r="I33" s="218">
        <f>ROUND((IF(MinBase2Day&gt;ROUND(((1-(TwoDayDiscount_21_Up+FedExExrpessEarnedDiscount))*'2Day Base'!I30),2),ROUND(MinBase2Day*(1+ExpressFuelSurcharge),2),ROUND(((1-(TwoDayDiscount_21_Up+FedExExrpessEarnedDiscount))*'2Day Base'!I30)*(1+ExpressFuelSurcharge),2)))*(1+FedEx_Markup),2)</f>
        <v>156.97999999999999</v>
      </c>
      <c r="J33" s="218">
        <f>ROUND((IF(MinBase2Day&gt;ROUND(((1-(TwoDayDiscount_21_Up+FedExExrpessEarnedDiscount))*'2Day Base'!J30),2),ROUND(MinBase2Day*(1+ExpressFuelSurcharge),2),ROUND(((1-(TwoDayDiscount_21_Up+FedExExrpessEarnedDiscount))*'2Day Base'!J30)*(1+ExpressFuelSurcharge),2)))*(1+FedEx_Markup),2)</f>
        <v>156.97999999999999</v>
      </c>
      <c r="K33" s="218">
        <f>ROUND((IF(MinBase2Day&gt;ROUND(((1-(TwoDayDiscount_21_Up+FedExExrpessEarnedDiscount))*'2Day Base'!K30),2),ROUND(MinBase2Day*(1+ExpressFuelSurcharge),2),ROUND(((1-(TwoDayDiscount_21_Up+FedExExrpessEarnedDiscount))*'2Day Base'!K30)*(1+ExpressFuelSurcharge),2)))*(1+FedEx_Markup),2)</f>
        <v>165.05</v>
      </c>
      <c r="L33" s="218">
        <f>ROUND((IF(MinBase2Day&gt;ROUND(((1-(TwoDayDiscount_21_Up+FedExExrpessEarnedDiscount))*'2Day Base'!L30),2),ROUND(MinBase2Day*(1+ExpressFuelSurcharge),2),ROUND(((1-(TwoDayDiscount_21_Up+FedExExrpessEarnedDiscount))*'2Day Base'!L30)*(1+ExpressFuelSurcharge),2)))*(1+FedEx_Markup),2)</f>
        <v>165.05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29</v>
      </c>
      <c r="B34" s="218">
        <f>ROUND((IF(MinBase2Day&gt;ROUND(((1-(TwoDayDiscount_21_Up+FedExExrpessEarnedDiscount))*'2Day Base'!B31),2),ROUND(MinBase2Day*(1+ExpressFuelSurcharge),2),ROUND(((1-(TwoDayDiscount_21_Up+FedExExrpessEarnedDiscount))*'2Day Base'!B31)*(1+ExpressFuelSurcharge),2)))*(1+FedEx_Markup),2)</f>
        <v>38.21</v>
      </c>
      <c r="C34" s="218">
        <f>ROUND((IF(MinBase2Day&gt;ROUND(((1-(TwoDayDiscount_21_Up+FedExExrpessEarnedDiscount))*'2Day Base'!C31),2),ROUND(MinBase2Day*(1+ExpressFuelSurcharge),2),ROUND(((1-(TwoDayDiscount_21_Up+FedExExrpessEarnedDiscount))*'2Day Base'!C31)*(1+ExpressFuelSurcharge),2)))*(1+FedEx_Markup),2)</f>
        <v>45.38</v>
      </c>
      <c r="D34" s="218">
        <f>ROUND((IF(MinBase2Day&gt;ROUND(((1-(TwoDayDiscount_21_Up+FedExExrpessEarnedDiscount))*'2Day Base'!D31),2),ROUND(MinBase2Day*(1+ExpressFuelSurcharge),2),ROUND(((1-(TwoDayDiscount_21_Up+FedExExrpessEarnedDiscount))*'2Day Base'!D31)*(1+ExpressFuelSurcharge),2)))*(1+FedEx_Markup),2)</f>
        <v>58.51</v>
      </c>
      <c r="E34" s="218">
        <f>ROUND((IF(MinBase2Day&gt;ROUND(((1-(TwoDayDiscount_21_Up+FedExExrpessEarnedDiscount))*'2Day Base'!E31),2),ROUND(MinBase2Day*(1+ExpressFuelSurcharge),2),ROUND(((1-(TwoDayDiscount_21_Up+FedExExrpessEarnedDiscount))*'2Day Base'!E31)*(1+ExpressFuelSurcharge),2)))*(1+FedEx_Markup),2)</f>
        <v>91.34</v>
      </c>
      <c r="F34" s="218">
        <f>ROUND((IF(MinBase2Day&gt;ROUND(((1-(TwoDayDiscount_21_Up+FedExExrpessEarnedDiscount))*'2Day Base'!F31),2),ROUND(MinBase2Day*(1+ExpressFuelSurcharge),2),ROUND(((1-(TwoDayDiscount_21_Up+FedExExrpessEarnedDiscount))*'2Day Base'!F31)*(1+ExpressFuelSurcharge),2)))*(1+FedEx_Markup),2)</f>
        <v>135.79</v>
      </c>
      <c r="G34" s="218">
        <f>ROUND((IF(MinBase2Day&gt;ROUND(((1-(TwoDayDiscount_21_Up+FedExExrpessEarnedDiscount))*'2Day Base'!G31),2),ROUND(MinBase2Day*(1+ExpressFuelSurcharge),2),ROUND(((1-(TwoDayDiscount_21_Up+FedExExrpessEarnedDiscount))*'2Day Base'!G31)*(1+ExpressFuelSurcharge),2)))*(1+FedEx_Markup),2)</f>
        <v>149.05000000000001</v>
      </c>
      <c r="H34" s="218">
        <f>ROUND((IF(MinBase2Day&gt;ROUND(((1-(TwoDayDiscount_21_Up+FedExExrpessEarnedDiscount))*'2Day Base'!H31),2),ROUND(MinBase2Day*(1+ExpressFuelSurcharge),2),ROUND(((1-(TwoDayDiscount_21_Up+FedExExrpessEarnedDiscount))*'2Day Base'!H31)*(1+ExpressFuelSurcharge),2)))*(1+FedEx_Markup),2)</f>
        <v>154.41</v>
      </c>
      <c r="I34" s="218">
        <f>ROUND((IF(MinBase2Day&gt;ROUND(((1-(TwoDayDiscount_21_Up+FedExExrpessEarnedDiscount))*'2Day Base'!I31),2),ROUND(MinBase2Day*(1+ExpressFuelSurcharge),2),ROUND(((1-(TwoDayDiscount_21_Up+FedExExrpessEarnedDiscount))*'2Day Base'!I31)*(1+ExpressFuelSurcharge),2)))*(1+FedEx_Markup),2)</f>
        <v>160.93</v>
      </c>
      <c r="J34" s="218">
        <f>ROUND((IF(MinBase2Day&gt;ROUND(((1-(TwoDayDiscount_21_Up+FedExExrpessEarnedDiscount))*'2Day Base'!J31),2),ROUND(MinBase2Day*(1+ExpressFuelSurcharge),2),ROUND(((1-(TwoDayDiscount_21_Up+FedExExrpessEarnedDiscount))*'2Day Base'!J31)*(1+ExpressFuelSurcharge),2)))*(1+FedEx_Markup),2)</f>
        <v>160.93</v>
      </c>
      <c r="K34" s="218">
        <f>ROUND((IF(MinBase2Day&gt;ROUND(((1-(TwoDayDiscount_21_Up+FedExExrpessEarnedDiscount))*'2Day Base'!K31),2),ROUND(MinBase2Day*(1+ExpressFuelSurcharge),2),ROUND(((1-(TwoDayDiscount_21_Up+FedExExrpessEarnedDiscount))*'2Day Base'!K31)*(1+ExpressFuelSurcharge),2)))*(1+FedEx_Markup),2)</f>
        <v>169.67</v>
      </c>
      <c r="L34" s="218">
        <f>ROUND((IF(MinBase2Day&gt;ROUND(((1-(TwoDayDiscount_21_Up+FedExExrpessEarnedDiscount))*'2Day Base'!L31),2),ROUND(MinBase2Day*(1+ExpressFuelSurcharge),2),ROUND(((1-(TwoDayDiscount_21_Up+FedExExrpessEarnedDiscount))*'2Day Base'!L31)*(1+ExpressFuelSurcharge),2)))*(1+FedEx_Markup),2)</f>
        <v>169.67</v>
      </c>
    </row>
    <row r="35" spans="1:26" ht="12.75" customHeight="1">
      <c r="A35" s="217">
        <v>30</v>
      </c>
      <c r="B35" s="218">
        <f>ROUND((IF(MinBase2Day&gt;ROUND(((1-(TwoDayDiscount_21_Up+FedExExrpessEarnedDiscount))*'2Day Base'!B32),2),ROUND(MinBase2Day*(1+ExpressFuelSurcharge),2),ROUND(((1-(TwoDayDiscount_21_Up+FedExExrpessEarnedDiscount))*'2Day Base'!B32)*(1+ExpressFuelSurcharge),2)))*(1+FedEx_Markup),2)</f>
        <v>38.409999999999997</v>
      </c>
      <c r="C35" s="218">
        <f>ROUND((IF(MinBase2Day&gt;ROUND(((1-(TwoDayDiscount_21_Up+FedExExrpessEarnedDiscount))*'2Day Base'!C32),2),ROUND(MinBase2Day*(1+ExpressFuelSurcharge),2),ROUND(((1-(TwoDayDiscount_21_Up+FedExExrpessEarnedDiscount))*'2Day Base'!C32)*(1+ExpressFuelSurcharge),2)))*(1+FedEx_Markup),2)</f>
        <v>46.61</v>
      </c>
      <c r="D35" s="218">
        <f>ROUND((IF(MinBase2Day&gt;ROUND(((1-(TwoDayDiscount_21_Up+FedExExrpessEarnedDiscount))*'2Day Base'!D32),2),ROUND(MinBase2Day*(1+ExpressFuelSurcharge),2),ROUND(((1-(TwoDayDiscount_21_Up+FedExExrpessEarnedDiscount))*'2Day Base'!D32)*(1+ExpressFuelSurcharge),2)))*(1+FedEx_Markup),2)</f>
        <v>60.55</v>
      </c>
      <c r="E35" s="218">
        <f>ROUND((IF(MinBase2Day&gt;ROUND(((1-(TwoDayDiscount_21_Up+FedExExrpessEarnedDiscount))*'2Day Base'!E32),2),ROUND(MinBase2Day*(1+ExpressFuelSurcharge),2),ROUND(((1-(TwoDayDiscount_21_Up+FedExExrpessEarnedDiscount))*'2Day Base'!E32)*(1+ExpressFuelSurcharge),2)))*(1+FedEx_Markup),2)</f>
        <v>94.32</v>
      </c>
      <c r="F35" s="218">
        <f>ROUND((IF(MinBase2Day&gt;ROUND(((1-(TwoDayDiscount_21_Up+FedExExrpessEarnedDiscount))*'2Day Base'!F32),2),ROUND(MinBase2Day*(1+ExpressFuelSurcharge),2),ROUND(((1-(TwoDayDiscount_21_Up+FedExExrpessEarnedDiscount))*'2Day Base'!F32)*(1+ExpressFuelSurcharge),2)))*(1+FedEx_Markup),2)</f>
        <v>139.51</v>
      </c>
      <c r="G35" s="218">
        <f>ROUND((IF(MinBase2Day&gt;ROUND(((1-(TwoDayDiscount_21_Up+FedExExrpessEarnedDiscount))*'2Day Base'!G32),2),ROUND(MinBase2Day*(1+ExpressFuelSurcharge),2),ROUND(((1-(TwoDayDiscount_21_Up+FedExExrpessEarnedDiscount))*'2Day Base'!G32)*(1+ExpressFuelSurcharge),2)))*(1+FedEx_Markup),2)</f>
        <v>153.09</v>
      </c>
      <c r="H35" s="218">
        <f>ROUND((IF(MinBase2Day&gt;ROUND(((1-(TwoDayDiscount_21_Up+FedExExrpessEarnedDiscount))*'2Day Base'!H32),2),ROUND(MinBase2Day*(1+ExpressFuelSurcharge),2),ROUND(((1-(TwoDayDiscount_21_Up+FedExExrpessEarnedDiscount))*'2Day Base'!H32)*(1+ExpressFuelSurcharge),2)))*(1+FedEx_Markup),2)</f>
        <v>158.32</v>
      </c>
      <c r="I35" s="218">
        <f>ROUND((IF(MinBase2Day&gt;ROUND(((1-(TwoDayDiscount_21_Up+FedExExrpessEarnedDiscount))*'2Day Base'!I32),2),ROUND(MinBase2Day*(1+ExpressFuelSurcharge),2),ROUND(((1-(TwoDayDiscount_21_Up+FedExExrpessEarnedDiscount))*'2Day Base'!I32)*(1+ExpressFuelSurcharge),2)))*(1+FedEx_Markup),2)</f>
        <v>166.04</v>
      </c>
      <c r="J35" s="218">
        <f>ROUND((IF(MinBase2Day&gt;ROUND(((1-(TwoDayDiscount_21_Up+FedExExrpessEarnedDiscount))*'2Day Base'!J32),2),ROUND(MinBase2Day*(1+ExpressFuelSurcharge),2),ROUND(((1-(TwoDayDiscount_21_Up+FedExExrpessEarnedDiscount))*'2Day Base'!J32)*(1+ExpressFuelSurcharge),2)))*(1+FedEx_Markup),2)</f>
        <v>166.04</v>
      </c>
      <c r="K35" s="218">
        <f>ROUND((IF(MinBase2Day&gt;ROUND(((1-(TwoDayDiscount_21_Up+FedExExrpessEarnedDiscount))*'2Day Base'!K32),2),ROUND(MinBase2Day*(1+ExpressFuelSurcharge),2),ROUND(((1-(TwoDayDiscount_21_Up+FedExExrpessEarnedDiscount))*'2Day Base'!K32)*(1+ExpressFuelSurcharge),2)))*(1+FedEx_Markup),2)</f>
        <v>174.02</v>
      </c>
      <c r="L35" s="218">
        <f>ROUND((IF(MinBase2Day&gt;ROUND(((1-(TwoDayDiscount_21_Up+FedExExrpessEarnedDiscount))*'2Day Base'!L32),2),ROUND(MinBase2Day*(1+ExpressFuelSurcharge),2),ROUND(((1-(TwoDayDiscount_21_Up+FedExExrpessEarnedDiscount))*'2Day Base'!L32)*(1+ExpressFuelSurcharge),2)))*(1+FedEx_Markup),2)</f>
        <v>174.02</v>
      </c>
    </row>
    <row r="36" spans="1:26" ht="12.75" customHeight="1">
      <c r="A36" s="217">
        <v>31</v>
      </c>
      <c r="B36" s="218">
        <f>ROUND((IF(MinBase2Day&gt;ROUND(((1-(TwoDayDiscount_21_Up+FedExExrpessEarnedDiscount))*'2Day Base'!B33),2),ROUND(MinBase2Day*(1+ExpressFuelSurcharge),2),ROUND(((1-(TwoDayDiscount_21_Up+FedExExrpessEarnedDiscount))*'2Day Base'!B33)*(1+ExpressFuelSurcharge),2)))*(1+FedEx_Markup),2)</f>
        <v>38.51</v>
      </c>
      <c r="C36" s="218">
        <f>ROUND((IF(MinBase2Day&gt;ROUND(((1-(TwoDayDiscount_21_Up+FedExExrpessEarnedDiscount))*'2Day Base'!C33),2),ROUND(MinBase2Day*(1+ExpressFuelSurcharge),2),ROUND(((1-(TwoDayDiscount_21_Up+FedExExrpessEarnedDiscount))*'2Day Base'!C33)*(1+ExpressFuelSurcharge),2)))*(1+FedEx_Markup),2)</f>
        <v>48.17</v>
      </c>
      <c r="D36" s="218">
        <f>ROUND((IF(MinBase2Day&gt;ROUND(((1-(TwoDayDiscount_21_Up+FedExExrpessEarnedDiscount))*'2Day Base'!D33),2),ROUND(MinBase2Day*(1+ExpressFuelSurcharge),2),ROUND(((1-(TwoDayDiscount_21_Up+FedExExrpessEarnedDiscount))*'2Day Base'!D33)*(1+ExpressFuelSurcharge),2)))*(1+FedEx_Markup),2)</f>
        <v>62.18</v>
      </c>
      <c r="E36" s="218">
        <f>ROUND((IF(MinBase2Day&gt;ROUND(((1-(TwoDayDiscount_21_Up+FedExExrpessEarnedDiscount))*'2Day Base'!E33),2),ROUND(MinBase2Day*(1+ExpressFuelSurcharge),2),ROUND(((1-(TwoDayDiscount_21_Up+FedExExrpessEarnedDiscount))*'2Day Base'!E33)*(1+ExpressFuelSurcharge),2)))*(1+FedEx_Markup),2)</f>
        <v>96.45</v>
      </c>
      <c r="F36" s="218">
        <f>ROUND((IF(MinBase2Day&gt;ROUND(((1-(TwoDayDiscount_21_Up+FedExExrpessEarnedDiscount))*'2Day Base'!F33),2),ROUND(MinBase2Day*(1+ExpressFuelSurcharge),2),ROUND(((1-(TwoDayDiscount_21_Up+FedExExrpessEarnedDiscount))*'2Day Base'!F33)*(1+ExpressFuelSurcharge),2)))*(1+FedEx_Markup),2)</f>
        <v>142.69999999999999</v>
      </c>
      <c r="G36" s="218">
        <f>ROUND((IF(MinBase2Day&gt;ROUND(((1-(TwoDayDiscount_21_Up+FedExExrpessEarnedDiscount))*'2Day Base'!G33),2),ROUND(MinBase2Day*(1+ExpressFuelSurcharge),2),ROUND(((1-(TwoDayDiscount_21_Up+FedExExrpessEarnedDiscount))*'2Day Base'!G33)*(1+ExpressFuelSurcharge),2)))*(1+FedEx_Markup),2)</f>
        <v>156.4</v>
      </c>
      <c r="H36" s="218">
        <f>ROUND((IF(MinBase2Day&gt;ROUND(((1-(TwoDayDiscount_21_Up+FedExExrpessEarnedDiscount))*'2Day Base'!H33),2),ROUND(MinBase2Day*(1+ExpressFuelSurcharge),2),ROUND(((1-(TwoDayDiscount_21_Up+FedExExrpessEarnedDiscount))*'2Day Base'!H33)*(1+ExpressFuelSurcharge),2)))*(1+FedEx_Markup),2)</f>
        <v>162.56</v>
      </c>
      <c r="I36" s="218">
        <f>ROUND((IF(MinBase2Day&gt;ROUND(((1-(TwoDayDiscount_21_Up+FedExExrpessEarnedDiscount))*'2Day Base'!I33),2),ROUND(MinBase2Day*(1+ExpressFuelSurcharge),2),ROUND(((1-(TwoDayDiscount_21_Up+FedExExrpessEarnedDiscount))*'2Day Base'!I33)*(1+ExpressFuelSurcharge),2)))*(1+FedEx_Markup),2)</f>
        <v>170.12</v>
      </c>
      <c r="J36" s="218">
        <f>ROUND((IF(MinBase2Day&gt;ROUND(((1-(TwoDayDiscount_21_Up+FedExExrpessEarnedDiscount))*'2Day Base'!J33),2),ROUND(MinBase2Day*(1+ExpressFuelSurcharge),2),ROUND(((1-(TwoDayDiscount_21_Up+FedExExrpessEarnedDiscount))*'2Day Base'!J33)*(1+ExpressFuelSurcharge),2)))*(1+FedEx_Markup),2)</f>
        <v>170.12</v>
      </c>
      <c r="K36" s="218">
        <f>ROUND((IF(MinBase2Day&gt;ROUND(((1-(TwoDayDiscount_21_Up+FedExExrpessEarnedDiscount))*'2Day Base'!K33),2),ROUND(MinBase2Day*(1+ExpressFuelSurcharge),2),ROUND(((1-(TwoDayDiscount_21_Up+FedExExrpessEarnedDiscount))*'2Day Base'!K33)*(1+ExpressFuelSurcharge),2)))*(1+FedEx_Markup),2)</f>
        <v>174.5</v>
      </c>
      <c r="L36" s="218">
        <f>ROUND((IF(MinBase2Day&gt;ROUND(((1-(TwoDayDiscount_21_Up+FedExExrpessEarnedDiscount))*'2Day Base'!L33),2),ROUND(MinBase2Day*(1+ExpressFuelSurcharge),2),ROUND(((1-(TwoDayDiscount_21_Up+FedExExrpessEarnedDiscount))*'2Day Base'!L33)*(1+ExpressFuelSurcharge),2)))*(1+FedEx_Markup),2)</f>
        <v>174.5</v>
      </c>
    </row>
    <row r="37" spans="1:26" ht="12.75" customHeight="1">
      <c r="A37" s="217">
        <v>32</v>
      </c>
      <c r="B37" s="218">
        <f>ROUND((IF(MinBase2Day&gt;ROUND(((1-(TwoDayDiscount_21_Up+FedExExrpessEarnedDiscount))*'2Day Base'!B34),2),ROUND(MinBase2Day*(1+ExpressFuelSurcharge),2),ROUND(((1-(TwoDayDiscount_21_Up+FedExExrpessEarnedDiscount))*'2Day Base'!B34)*(1+ExpressFuelSurcharge),2)))*(1+FedEx_Markup),2)</f>
        <v>39.049999999999997</v>
      </c>
      <c r="C37" s="218">
        <f>ROUND((IF(MinBase2Day&gt;ROUND(((1-(TwoDayDiscount_21_Up+FedExExrpessEarnedDiscount))*'2Day Base'!C34),2),ROUND(MinBase2Day*(1+ExpressFuelSurcharge),2),ROUND(((1-(TwoDayDiscount_21_Up+FedExExrpessEarnedDiscount))*'2Day Base'!C34)*(1+ExpressFuelSurcharge),2)))*(1+FedEx_Markup),2)</f>
        <v>49.24</v>
      </c>
      <c r="D37" s="218">
        <f>ROUND((IF(MinBase2Day&gt;ROUND(((1-(TwoDayDiscount_21_Up+FedExExrpessEarnedDiscount))*'2Day Base'!D34),2),ROUND(MinBase2Day*(1+ExpressFuelSurcharge),2),ROUND(((1-(TwoDayDiscount_21_Up+FedExExrpessEarnedDiscount))*'2Day Base'!D34)*(1+ExpressFuelSurcharge),2)))*(1+FedEx_Markup),2)</f>
        <v>63.95</v>
      </c>
      <c r="E37" s="218">
        <f>ROUND((IF(MinBase2Day&gt;ROUND(((1-(TwoDayDiscount_21_Up+FedExExrpessEarnedDiscount))*'2Day Base'!E34),2),ROUND(MinBase2Day*(1+ExpressFuelSurcharge),2),ROUND(((1-(TwoDayDiscount_21_Up+FedExExrpessEarnedDiscount))*'2Day Base'!E34)*(1+ExpressFuelSurcharge),2)))*(1+FedEx_Markup),2)</f>
        <v>98.79</v>
      </c>
      <c r="F37" s="218">
        <f>ROUND((IF(MinBase2Day&gt;ROUND(((1-(TwoDayDiscount_21_Up+FedExExrpessEarnedDiscount))*'2Day Base'!F34),2),ROUND(MinBase2Day*(1+ExpressFuelSurcharge),2),ROUND(((1-(TwoDayDiscount_21_Up+FedExExrpessEarnedDiscount))*'2Day Base'!F34)*(1+ExpressFuelSurcharge),2)))*(1+FedEx_Markup),2)</f>
        <v>146.88</v>
      </c>
      <c r="G37" s="218">
        <f>ROUND((IF(MinBase2Day&gt;ROUND(((1-(TwoDayDiscount_21_Up+FedExExrpessEarnedDiscount))*'2Day Base'!G34),2),ROUND(MinBase2Day*(1+ExpressFuelSurcharge),2),ROUND(((1-(TwoDayDiscount_21_Up+FedExExrpessEarnedDiscount))*'2Day Base'!G34)*(1+ExpressFuelSurcharge),2)))*(1+FedEx_Markup),2)</f>
        <v>160.75</v>
      </c>
      <c r="H37" s="218">
        <f>ROUND((IF(MinBase2Day&gt;ROUND(((1-(TwoDayDiscount_21_Up+FedExExrpessEarnedDiscount))*'2Day Base'!H34),2),ROUND(MinBase2Day*(1+ExpressFuelSurcharge),2),ROUND(((1-(TwoDayDiscount_21_Up+FedExExrpessEarnedDiscount))*'2Day Base'!H34)*(1+ExpressFuelSurcharge),2)))*(1+FedEx_Markup),2)</f>
        <v>166.49</v>
      </c>
      <c r="I37" s="218">
        <f>ROUND((IF(MinBase2Day&gt;ROUND(((1-(TwoDayDiscount_21_Up+FedExExrpessEarnedDiscount))*'2Day Base'!I34),2),ROUND(MinBase2Day*(1+ExpressFuelSurcharge),2),ROUND(((1-(TwoDayDiscount_21_Up+FedExExrpessEarnedDiscount))*'2Day Base'!I34)*(1+ExpressFuelSurcharge),2)))*(1+FedEx_Markup),2)</f>
        <v>175.47</v>
      </c>
      <c r="J37" s="218">
        <f>ROUND((IF(MinBase2Day&gt;ROUND(((1-(TwoDayDiscount_21_Up+FedExExrpessEarnedDiscount))*'2Day Base'!J34),2),ROUND(MinBase2Day*(1+ExpressFuelSurcharge),2),ROUND(((1-(TwoDayDiscount_21_Up+FedExExrpessEarnedDiscount))*'2Day Base'!J34)*(1+ExpressFuelSurcharge),2)))*(1+FedEx_Markup),2)</f>
        <v>175.47</v>
      </c>
      <c r="K37" s="218">
        <f>ROUND((IF(MinBase2Day&gt;ROUND(((1-(TwoDayDiscount_21_Up+FedExExrpessEarnedDiscount))*'2Day Base'!K34),2),ROUND(MinBase2Day*(1+ExpressFuelSurcharge),2),ROUND(((1-(TwoDayDiscount_21_Up+FedExExrpessEarnedDiscount))*'2Day Base'!K34)*(1+ExpressFuelSurcharge),2)))*(1+FedEx_Markup),2)</f>
        <v>184.06</v>
      </c>
      <c r="L37" s="218">
        <f>ROUND((IF(MinBase2Day&gt;ROUND(((1-(TwoDayDiscount_21_Up+FedExExrpessEarnedDiscount))*'2Day Base'!L34),2),ROUND(MinBase2Day*(1+ExpressFuelSurcharge),2),ROUND(((1-(TwoDayDiscount_21_Up+FedExExrpessEarnedDiscount))*'2Day Base'!L34)*(1+ExpressFuelSurcharge),2)))*(1+FedEx_Markup),2)</f>
        <v>184.06</v>
      </c>
    </row>
    <row r="38" spans="1:26" ht="12.75" customHeight="1">
      <c r="A38" s="217">
        <v>33</v>
      </c>
      <c r="B38" s="218">
        <f>ROUND((IF(MinBase2Day&gt;ROUND(((1-(TwoDayDiscount_21_Up+FedExExrpessEarnedDiscount))*'2Day Base'!B35),2),ROUND(MinBase2Day*(1+ExpressFuelSurcharge),2),ROUND(((1-(TwoDayDiscount_21_Up+FedExExrpessEarnedDiscount))*'2Day Base'!B35)*(1+ExpressFuelSurcharge),2)))*(1+FedEx_Markup),2)</f>
        <v>41.87</v>
      </c>
      <c r="C38" s="218">
        <f>ROUND((IF(MinBase2Day&gt;ROUND(((1-(TwoDayDiscount_21_Up+FedExExrpessEarnedDiscount))*'2Day Base'!C35),2),ROUND(MinBase2Day*(1+ExpressFuelSurcharge),2),ROUND(((1-(TwoDayDiscount_21_Up+FedExExrpessEarnedDiscount))*'2Day Base'!C35)*(1+ExpressFuelSurcharge),2)))*(1+FedEx_Markup),2)</f>
        <v>50.52</v>
      </c>
      <c r="D38" s="218">
        <f>ROUND((IF(MinBase2Day&gt;ROUND(((1-(TwoDayDiscount_21_Up+FedExExrpessEarnedDiscount))*'2Day Base'!D35),2),ROUND(MinBase2Day*(1+ExpressFuelSurcharge),2),ROUND(((1-(TwoDayDiscount_21_Up+FedExExrpessEarnedDiscount))*'2Day Base'!D35)*(1+ExpressFuelSurcharge),2)))*(1+FedEx_Markup),2)</f>
        <v>65.72</v>
      </c>
      <c r="E38" s="218">
        <f>ROUND((IF(MinBase2Day&gt;ROUND(((1-(TwoDayDiscount_21_Up+FedExExrpessEarnedDiscount))*'2Day Base'!E35),2),ROUND(MinBase2Day*(1+ExpressFuelSurcharge),2),ROUND(((1-(TwoDayDiscount_21_Up+FedExExrpessEarnedDiscount))*'2Day Base'!E35)*(1+ExpressFuelSurcharge),2)))*(1+FedEx_Markup),2)</f>
        <v>100.89</v>
      </c>
      <c r="F38" s="218">
        <f>ROUND((IF(MinBase2Day&gt;ROUND(((1-(TwoDayDiscount_21_Up+FedExExrpessEarnedDiscount))*'2Day Base'!F35),2),ROUND(MinBase2Day*(1+ExpressFuelSurcharge),2),ROUND(((1-(TwoDayDiscount_21_Up+FedExExrpessEarnedDiscount))*'2Day Base'!F35)*(1+ExpressFuelSurcharge),2)))*(1+FedEx_Markup),2)</f>
        <v>150.82</v>
      </c>
      <c r="G38" s="218">
        <f>ROUND((IF(MinBase2Day&gt;ROUND(((1-(TwoDayDiscount_21_Up+FedExExrpessEarnedDiscount))*'2Day Base'!G35),2),ROUND(MinBase2Day*(1+ExpressFuelSurcharge),2),ROUND(((1-(TwoDayDiscount_21_Up+FedExExrpessEarnedDiscount))*'2Day Base'!G35)*(1+ExpressFuelSurcharge),2)))*(1+FedEx_Markup),2)</f>
        <v>164.44</v>
      </c>
      <c r="H38" s="218">
        <f>ROUND((IF(MinBase2Day&gt;ROUND(((1-(TwoDayDiscount_21_Up+FedExExrpessEarnedDiscount))*'2Day Base'!H35),2),ROUND(MinBase2Day*(1+ExpressFuelSurcharge),2),ROUND(((1-(TwoDayDiscount_21_Up+FedExExrpessEarnedDiscount))*'2Day Base'!H35)*(1+ExpressFuelSurcharge),2)))*(1+FedEx_Markup),2)</f>
        <v>170.72</v>
      </c>
      <c r="I38" s="218">
        <f>ROUND((IF(MinBase2Day&gt;ROUND(((1-(TwoDayDiscount_21_Up+FedExExrpessEarnedDiscount))*'2Day Base'!I35),2),ROUND(MinBase2Day*(1+ExpressFuelSurcharge),2),ROUND(((1-(TwoDayDiscount_21_Up+FedExExrpessEarnedDiscount))*'2Day Base'!I35)*(1+ExpressFuelSurcharge),2)))*(1+FedEx_Markup),2)</f>
        <v>176.01</v>
      </c>
      <c r="J38" s="218">
        <f>ROUND((IF(MinBase2Day&gt;ROUND(((1-(TwoDayDiscount_21_Up+FedExExrpessEarnedDiscount))*'2Day Base'!J35),2),ROUND(MinBase2Day*(1+ExpressFuelSurcharge),2),ROUND(((1-(TwoDayDiscount_21_Up+FedExExrpessEarnedDiscount))*'2Day Base'!J35)*(1+ExpressFuelSurcharge),2)))*(1+FedEx_Markup),2)</f>
        <v>176.01</v>
      </c>
      <c r="K38" s="218">
        <f>ROUND((IF(MinBase2Day&gt;ROUND(((1-(TwoDayDiscount_21_Up+FedExExrpessEarnedDiscount))*'2Day Base'!K35),2),ROUND(MinBase2Day*(1+ExpressFuelSurcharge),2),ROUND(((1-(TwoDayDiscount_21_Up+FedExExrpessEarnedDiscount))*'2Day Base'!K35)*(1+ExpressFuelSurcharge),2)))*(1+FedEx_Markup),2)</f>
        <v>185.86</v>
      </c>
      <c r="L38" s="218">
        <f>ROUND((IF(MinBase2Day&gt;ROUND(((1-(TwoDayDiscount_21_Up+FedExExrpessEarnedDiscount))*'2Day Base'!L35),2),ROUND(MinBase2Day*(1+ExpressFuelSurcharge),2),ROUND(((1-(TwoDayDiscount_21_Up+FedExExrpessEarnedDiscount))*'2Day Base'!L35)*(1+ExpressFuelSurcharge),2)))*(1+FedEx_Markup),2)</f>
        <v>185.86</v>
      </c>
    </row>
    <row r="39" spans="1:26" ht="12.75" customHeight="1">
      <c r="A39" s="217">
        <v>34</v>
      </c>
      <c r="B39" s="218">
        <f>ROUND((IF(MinBase2Day&gt;ROUND(((1-(TwoDayDiscount_21_Up+FedExExrpessEarnedDiscount))*'2Day Base'!B36),2),ROUND(MinBase2Day*(1+ExpressFuelSurcharge),2),ROUND(((1-(TwoDayDiscount_21_Up+FedExExrpessEarnedDiscount))*'2Day Base'!B36)*(1+ExpressFuelSurcharge),2)))*(1+FedEx_Markup),2)</f>
        <v>43.6</v>
      </c>
      <c r="C39" s="218">
        <f>ROUND((IF(MinBase2Day&gt;ROUND(((1-(TwoDayDiscount_21_Up+FedExExrpessEarnedDiscount))*'2Day Base'!C36),2),ROUND(MinBase2Day*(1+ExpressFuelSurcharge),2),ROUND(((1-(TwoDayDiscount_21_Up+FedExExrpessEarnedDiscount))*'2Day Base'!C36)*(1+ExpressFuelSurcharge),2)))*(1+FedEx_Markup),2)</f>
        <v>52.24</v>
      </c>
      <c r="D39" s="218">
        <f>ROUND((IF(MinBase2Day&gt;ROUND(((1-(TwoDayDiscount_21_Up+FedExExrpessEarnedDiscount))*'2Day Base'!D36),2),ROUND(MinBase2Day*(1+ExpressFuelSurcharge),2),ROUND(((1-(TwoDayDiscount_21_Up+FedExExrpessEarnedDiscount))*'2Day Base'!D36)*(1+ExpressFuelSurcharge),2)))*(1+FedEx_Markup),2)</f>
        <v>67.11</v>
      </c>
      <c r="E39" s="218">
        <f>ROUND((IF(MinBase2Day&gt;ROUND(((1-(TwoDayDiscount_21_Up+FedExExrpessEarnedDiscount))*'2Day Base'!E36),2),ROUND(MinBase2Day*(1+ExpressFuelSurcharge),2),ROUND(((1-(TwoDayDiscount_21_Up+FedExExrpessEarnedDiscount))*'2Day Base'!E36)*(1+ExpressFuelSurcharge),2)))*(1+FedEx_Markup),2)</f>
        <v>104.42</v>
      </c>
      <c r="F39" s="218">
        <f>ROUND((IF(MinBase2Day&gt;ROUND(((1-(TwoDayDiscount_21_Up+FedExExrpessEarnedDiscount))*'2Day Base'!F36),2),ROUND(MinBase2Day*(1+ExpressFuelSurcharge),2),ROUND(((1-(TwoDayDiscount_21_Up+FedExExrpessEarnedDiscount))*'2Day Base'!F36)*(1+ExpressFuelSurcharge),2)))*(1+FedEx_Markup),2)</f>
        <v>155.38</v>
      </c>
      <c r="G39" s="218">
        <f>ROUND((IF(MinBase2Day&gt;ROUND(((1-(TwoDayDiscount_21_Up+FedExExrpessEarnedDiscount))*'2Day Base'!G36),2),ROUND(MinBase2Day*(1+ExpressFuelSurcharge),2),ROUND(((1-(TwoDayDiscount_21_Up+FedExExrpessEarnedDiscount))*'2Day Base'!G36)*(1+ExpressFuelSurcharge),2)))*(1+FedEx_Markup),2)</f>
        <v>168.53</v>
      </c>
      <c r="H39" s="218">
        <f>ROUND((IF(MinBase2Day&gt;ROUND(((1-(TwoDayDiscount_21_Up+FedExExrpessEarnedDiscount))*'2Day Base'!H36),2),ROUND(MinBase2Day*(1+ExpressFuelSurcharge),2),ROUND(((1-(TwoDayDiscount_21_Up+FedExExrpessEarnedDiscount))*'2Day Base'!H36)*(1+ExpressFuelSurcharge),2)))*(1+FedEx_Markup),2)</f>
        <v>174.92</v>
      </c>
      <c r="I39" s="218">
        <f>ROUND((IF(MinBase2Day&gt;ROUND(((1-(TwoDayDiscount_21_Up+FedExExrpessEarnedDiscount))*'2Day Base'!I36),2),ROUND(MinBase2Day*(1+ExpressFuelSurcharge),2),ROUND(((1-(TwoDayDiscount_21_Up+FedExExrpessEarnedDiscount))*'2Day Base'!I36)*(1+ExpressFuelSurcharge),2)))*(1+FedEx_Markup),2)</f>
        <v>178.91</v>
      </c>
      <c r="J39" s="218">
        <f>ROUND((IF(MinBase2Day&gt;ROUND(((1-(TwoDayDiscount_21_Up+FedExExrpessEarnedDiscount))*'2Day Base'!J36),2),ROUND(MinBase2Day*(1+ExpressFuelSurcharge),2),ROUND(((1-(TwoDayDiscount_21_Up+FedExExrpessEarnedDiscount))*'2Day Base'!J36)*(1+ExpressFuelSurcharge),2)))*(1+FedEx_Markup),2)</f>
        <v>178.91</v>
      </c>
      <c r="K39" s="218">
        <f>ROUND((IF(MinBase2Day&gt;ROUND(((1-(TwoDayDiscount_21_Up+FedExExrpessEarnedDiscount))*'2Day Base'!K36),2),ROUND(MinBase2Day*(1+ExpressFuelSurcharge),2),ROUND(((1-(TwoDayDiscount_21_Up+FedExExrpessEarnedDiscount))*'2Day Base'!K36)*(1+ExpressFuelSurcharge),2)))*(1+FedEx_Markup),2)</f>
        <v>186.05</v>
      </c>
      <c r="L39" s="218">
        <f>ROUND((IF(MinBase2Day&gt;ROUND(((1-(TwoDayDiscount_21_Up+FedExExrpessEarnedDiscount))*'2Day Base'!L36),2),ROUND(MinBase2Day*(1+ExpressFuelSurcharge),2),ROUND(((1-(TwoDayDiscount_21_Up+FedExExrpessEarnedDiscount))*'2Day Base'!L36)*(1+ExpressFuelSurcharge),2)))*(1+FedEx_Markup),2)</f>
        <v>186.05</v>
      </c>
    </row>
    <row r="40" spans="1:26" ht="12.75" customHeight="1">
      <c r="A40" s="217">
        <v>35</v>
      </c>
      <c r="B40" s="218">
        <f>ROUND((IF(MinBase2Day&gt;ROUND(((1-(TwoDayDiscount_21_Up+FedExExrpessEarnedDiscount))*'2Day Base'!B37),2),ROUND(MinBase2Day*(1+ExpressFuelSurcharge),2),ROUND(((1-(TwoDayDiscount_21_Up+FedExExrpessEarnedDiscount))*'2Day Base'!B37)*(1+ExpressFuelSurcharge),2)))*(1+FedEx_Markup),2)</f>
        <v>44.47</v>
      </c>
      <c r="C40" s="218">
        <f>ROUND((IF(MinBase2Day&gt;ROUND(((1-(TwoDayDiscount_21_Up+FedExExrpessEarnedDiscount))*'2Day Base'!C37),2),ROUND(MinBase2Day*(1+ExpressFuelSurcharge),2),ROUND(((1-(TwoDayDiscount_21_Up+FedExExrpessEarnedDiscount))*'2Day Base'!C37)*(1+ExpressFuelSurcharge),2)))*(1+FedEx_Markup),2)</f>
        <v>53.03</v>
      </c>
      <c r="D40" s="218">
        <f>ROUND((IF(MinBase2Day&gt;ROUND(((1-(TwoDayDiscount_21_Up+FedExExrpessEarnedDiscount))*'2Day Base'!D37),2),ROUND(MinBase2Day*(1+ExpressFuelSurcharge),2),ROUND(((1-(TwoDayDiscount_21_Up+FedExExrpessEarnedDiscount))*'2Day Base'!D37)*(1+ExpressFuelSurcharge),2)))*(1+FedEx_Markup),2)</f>
        <v>68.55</v>
      </c>
      <c r="E40" s="218">
        <f>ROUND((IF(MinBase2Day&gt;ROUND(((1-(TwoDayDiscount_21_Up+FedExExrpessEarnedDiscount))*'2Day Base'!E37),2),ROUND(MinBase2Day*(1+ExpressFuelSurcharge),2),ROUND(((1-(TwoDayDiscount_21_Up+FedExExrpessEarnedDiscount))*'2Day Base'!E37)*(1+ExpressFuelSurcharge),2)))*(1+FedEx_Markup),2)</f>
        <v>106.49</v>
      </c>
      <c r="F40" s="218">
        <f>ROUND((IF(MinBase2Day&gt;ROUND(((1-(TwoDayDiscount_21_Up+FedExExrpessEarnedDiscount))*'2Day Base'!F37),2),ROUND(MinBase2Day*(1+ExpressFuelSurcharge),2),ROUND(((1-(TwoDayDiscount_21_Up+FedExExrpessEarnedDiscount))*'2Day Base'!F37)*(1+ExpressFuelSurcharge),2)))*(1+FedEx_Markup),2)</f>
        <v>160.05000000000001</v>
      </c>
      <c r="G40" s="218">
        <f>ROUND((IF(MinBase2Day&gt;ROUND(((1-(TwoDayDiscount_21_Up+FedExExrpessEarnedDiscount))*'2Day Base'!G37),2),ROUND(MinBase2Day*(1+ExpressFuelSurcharge),2),ROUND(((1-(TwoDayDiscount_21_Up+FedExExrpessEarnedDiscount))*'2Day Base'!G37)*(1+ExpressFuelSurcharge),2)))*(1+FedEx_Markup),2)</f>
        <v>172.24</v>
      </c>
      <c r="H40" s="218">
        <f>ROUND((IF(MinBase2Day&gt;ROUND(((1-(TwoDayDiscount_21_Up+FedExExrpessEarnedDiscount))*'2Day Base'!H37),2),ROUND(MinBase2Day*(1+ExpressFuelSurcharge),2),ROUND(((1-(TwoDayDiscount_21_Up+FedExExrpessEarnedDiscount))*'2Day Base'!H37)*(1+ExpressFuelSurcharge),2)))*(1+FedEx_Markup),2)</f>
        <v>175.69</v>
      </c>
      <c r="I40" s="218">
        <f>ROUND((IF(MinBase2Day&gt;ROUND(((1-(TwoDayDiscount_21_Up+FedExExrpessEarnedDiscount))*'2Day Base'!I37),2),ROUND(MinBase2Day*(1+ExpressFuelSurcharge),2),ROUND(((1-(TwoDayDiscount_21_Up+FedExExrpessEarnedDiscount))*'2Day Base'!I37)*(1+ExpressFuelSurcharge),2)))*(1+FedEx_Markup),2)</f>
        <v>179.2</v>
      </c>
      <c r="J40" s="218">
        <f>ROUND((IF(MinBase2Day&gt;ROUND(((1-(TwoDayDiscount_21_Up+FedExExrpessEarnedDiscount))*'2Day Base'!J37),2),ROUND(MinBase2Day*(1+ExpressFuelSurcharge),2),ROUND(((1-(TwoDayDiscount_21_Up+FedExExrpessEarnedDiscount))*'2Day Base'!J37)*(1+ExpressFuelSurcharge),2)))*(1+FedEx_Markup),2)</f>
        <v>179.2</v>
      </c>
      <c r="K40" s="218">
        <f>ROUND((IF(MinBase2Day&gt;ROUND(((1-(TwoDayDiscount_21_Up+FedExExrpessEarnedDiscount))*'2Day Base'!K37),2),ROUND(MinBase2Day*(1+ExpressFuelSurcharge),2),ROUND(((1-(TwoDayDiscount_21_Up+FedExExrpessEarnedDiscount))*'2Day Base'!K37)*(1+ExpressFuelSurcharge),2)))*(1+FedEx_Markup),2)</f>
        <v>186.27</v>
      </c>
      <c r="L40" s="218">
        <f>ROUND((IF(MinBase2Day&gt;ROUND(((1-(TwoDayDiscount_21_Up+FedExExrpessEarnedDiscount))*'2Day Base'!L37),2),ROUND(MinBase2Day*(1+ExpressFuelSurcharge),2),ROUND(((1-(TwoDayDiscount_21_Up+FedExExrpessEarnedDiscount))*'2Day Base'!L37)*(1+ExpressFuelSurcharge),2)))*(1+FedEx_Markup),2)</f>
        <v>186.27</v>
      </c>
    </row>
    <row r="41" spans="1:26" ht="12.75" customHeight="1">
      <c r="A41" s="217">
        <v>36</v>
      </c>
      <c r="B41" s="218">
        <f>ROUND((IF(MinBase2Day&gt;ROUND(((1-(TwoDayDiscount_21_Up+FedExExrpessEarnedDiscount))*'2Day Base'!B38),2),ROUND(MinBase2Day*(1+ExpressFuelSurcharge),2),ROUND(((1-(TwoDayDiscount_21_Up+FedExExrpessEarnedDiscount))*'2Day Base'!B38)*(1+ExpressFuelSurcharge),2)))*(1+FedEx_Markup),2)</f>
        <v>44.75</v>
      </c>
      <c r="C41" s="218">
        <f>ROUND((IF(MinBase2Day&gt;ROUND(((1-(TwoDayDiscount_21_Up+FedExExrpessEarnedDiscount))*'2Day Base'!C38),2),ROUND(MinBase2Day*(1+ExpressFuelSurcharge),2),ROUND(((1-(TwoDayDiscount_21_Up+FedExExrpessEarnedDiscount))*'2Day Base'!C38)*(1+ExpressFuelSurcharge),2)))*(1+FedEx_Markup),2)</f>
        <v>54.19</v>
      </c>
      <c r="D41" s="218">
        <f>ROUND((IF(MinBase2Day&gt;ROUND(((1-(TwoDayDiscount_21_Up+FedExExrpessEarnedDiscount))*'2Day Base'!D38),2),ROUND(MinBase2Day*(1+ExpressFuelSurcharge),2),ROUND(((1-(TwoDayDiscount_21_Up+FedExExrpessEarnedDiscount))*'2Day Base'!D38)*(1+ExpressFuelSurcharge),2)))*(1+FedEx_Markup),2)</f>
        <v>69.98</v>
      </c>
      <c r="E41" s="218">
        <f>ROUND((IF(MinBase2Day&gt;ROUND(((1-(TwoDayDiscount_21_Up+FedExExrpessEarnedDiscount))*'2Day Base'!E38),2),ROUND(MinBase2Day*(1+ExpressFuelSurcharge),2),ROUND(((1-(TwoDayDiscount_21_Up+FedExExrpessEarnedDiscount))*'2Day Base'!E38)*(1+ExpressFuelSurcharge),2)))*(1+FedEx_Markup),2)</f>
        <v>108.68</v>
      </c>
      <c r="F41" s="218">
        <f>ROUND((IF(MinBase2Day&gt;ROUND(((1-(TwoDayDiscount_21_Up+FedExExrpessEarnedDiscount))*'2Day Base'!F38),2),ROUND(MinBase2Day*(1+ExpressFuelSurcharge),2),ROUND(((1-(TwoDayDiscount_21_Up+FedExExrpessEarnedDiscount))*'2Day Base'!F38)*(1+ExpressFuelSurcharge),2)))*(1+FedEx_Markup),2)</f>
        <v>164.35</v>
      </c>
      <c r="G41" s="218">
        <f>ROUND((IF(MinBase2Day&gt;ROUND(((1-(TwoDayDiscount_21_Up+FedExExrpessEarnedDiscount))*'2Day Base'!G38),2),ROUND(MinBase2Day*(1+ExpressFuelSurcharge),2),ROUND(((1-(TwoDayDiscount_21_Up+FedExExrpessEarnedDiscount))*'2Day Base'!G38)*(1+ExpressFuelSurcharge),2)))*(1+FedEx_Markup),2)</f>
        <v>176.67</v>
      </c>
      <c r="H41" s="218">
        <f>ROUND((IF(MinBase2Day&gt;ROUND(((1-(TwoDayDiscount_21_Up+FedExExrpessEarnedDiscount))*'2Day Base'!H38),2),ROUND(MinBase2Day*(1+ExpressFuelSurcharge),2),ROUND(((1-(TwoDayDiscount_21_Up+FedExExrpessEarnedDiscount))*'2Day Base'!H38)*(1+ExpressFuelSurcharge),2)))*(1+FedEx_Markup),2)</f>
        <v>180.22</v>
      </c>
      <c r="I41" s="218">
        <f>ROUND((IF(MinBase2Day&gt;ROUND(((1-(TwoDayDiscount_21_Up+FedExExrpessEarnedDiscount))*'2Day Base'!I38),2),ROUND(MinBase2Day*(1+ExpressFuelSurcharge),2),ROUND(((1-(TwoDayDiscount_21_Up+FedExExrpessEarnedDiscount))*'2Day Base'!I38)*(1+ExpressFuelSurcharge),2)))*(1+FedEx_Markup),2)</f>
        <v>183.83</v>
      </c>
      <c r="J41" s="218">
        <f>ROUND((IF(MinBase2Day&gt;ROUND(((1-(TwoDayDiscount_21_Up+FedExExrpessEarnedDiscount))*'2Day Base'!J38),2),ROUND(MinBase2Day*(1+ExpressFuelSurcharge),2),ROUND(((1-(TwoDayDiscount_21_Up+FedExExrpessEarnedDiscount))*'2Day Base'!J38)*(1+ExpressFuelSurcharge),2)))*(1+FedEx_Markup),2)</f>
        <v>183.83</v>
      </c>
      <c r="K41" s="218">
        <f>ROUND((IF(MinBase2Day&gt;ROUND(((1-(TwoDayDiscount_21_Up+FedExExrpessEarnedDiscount))*'2Day Base'!K38),2),ROUND(MinBase2Day*(1+ExpressFuelSurcharge),2),ROUND(((1-(TwoDayDiscount_21_Up+FedExExrpessEarnedDiscount))*'2Day Base'!K38)*(1+ExpressFuelSurcharge),2)))*(1+FedEx_Markup),2)</f>
        <v>190.28</v>
      </c>
      <c r="L41" s="218">
        <f>ROUND((IF(MinBase2Day&gt;ROUND(((1-(TwoDayDiscount_21_Up+FedExExrpessEarnedDiscount))*'2Day Base'!L38),2),ROUND(MinBase2Day*(1+ExpressFuelSurcharge),2),ROUND(((1-(TwoDayDiscount_21_Up+FedExExrpessEarnedDiscount))*'2Day Base'!L38)*(1+ExpressFuelSurcharge),2)))*(1+FedEx_Markup),2)</f>
        <v>190.28</v>
      </c>
    </row>
    <row r="42" spans="1:26" ht="12.75" customHeight="1">
      <c r="A42" s="217">
        <v>37</v>
      </c>
      <c r="B42" s="218">
        <f>ROUND((IF(MinBase2Day&gt;ROUND(((1-(TwoDayDiscount_21_Up+FedExExrpessEarnedDiscount))*'2Day Base'!B39),2),ROUND(MinBase2Day*(1+ExpressFuelSurcharge),2),ROUND(((1-(TwoDayDiscount_21_Up+FedExExrpessEarnedDiscount))*'2Day Base'!B39)*(1+ExpressFuelSurcharge),2)))*(1+FedEx_Markup),2)</f>
        <v>46.01</v>
      </c>
      <c r="C42" s="218">
        <f>ROUND((IF(MinBase2Day&gt;ROUND(((1-(TwoDayDiscount_21_Up+FedExExrpessEarnedDiscount))*'2Day Base'!C39),2),ROUND(MinBase2Day*(1+ExpressFuelSurcharge),2),ROUND(((1-(TwoDayDiscount_21_Up+FedExExrpessEarnedDiscount))*'2Day Base'!C39)*(1+ExpressFuelSurcharge),2)))*(1+FedEx_Markup),2)</f>
        <v>55.81</v>
      </c>
      <c r="D42" s="218">
        <f>ROUND((IF(MinBase2Day&gt;ROUND(((1-(TwoDayDiscount_21_Up+FedExExrpessEarnedDiscount))*'2Day Base'!D39),2),ROUND(MinBase2Day*(1+ExpressFuelSurcharge),2),ROUND(((1-(TwoDayDiscount_21_Up+FedExExrpessEarnedDiscount))*'2Day Base'!D39)*(1+ExpressFuelSurcharge),2)))*(1+FedEx_Markup),2)</f>
        <v>71.67</v>
      </c>
      <c r="E42" s="218">
        <f>ROUND((IF(MinBase2Day&gt;ROUND(((1-(TwoDayDiscount_21_Up+FedExExrpessEarnedDiscount))*'2Day Base'!E39),2),ROUND(MinBase2Day*(1+ExpressFuelSurcharge),2),ROUND(((1-(TwoDayDiscount_21_Up+FedExExrpessEarnedDiscount))*'2Day Base'!E39)*(1+ExpressFuelSurcharge),2)))*(1+FedEx_Markup),2)</f>
        <v>111.48</v>
      </c>
      <c r="F42" s="218">
        <f>ROUND((IF(MinBase2Day&gt;ROUND(((1-(TwoDayDiscount_21_Up+FedExExrpessEarnedDiscount))*'2Day Base'!F39),2),ROUND(MinBase2Day*(1+ExpressFuelSurcharge),2),ROUND(((1-(TwoDayDiscount_21_Up+FedExExrpessEarnedDiscount))*'2Day Base'!F39)*(1+ExpressFuelSurcharge),2)))*(1+FedEx_Markup),2)</f>
        <v>168.81</v>
      </c>
      <c r="G42" s="218">
        <f>ROUND((IF(MinBase2Day&gt;ROUND(((1-(TwoDayDiscount_21_Up+FedExExrpessEarnedDiscount))*'2Day Base'!G39),2),ROUND(MinBase2Day*(1+ExpressFuelSurcharge),2),ROUND(((1-(TwoDayDiscount_21_Up+FedExExrpessEarnedDiscount))*'2Day Base'!G39)*(1+ExpressFuelSurcharge),2)))*(1+FedEx_Markup),2)</f>
        <v>182.95</v>
      </c>
      <c r="H42" s="218">
        <f>ROUND((IF(MinBase2Day&gt;ROUND(((1-(TwoDayDiscount_21_Up+FedExExrpessEarnedDiscount))*'2Day Base'!H39),2),ROUND(MinBase2Day*(1+ExpressFuelSurcharge),2),ROUND(((1-(TwoDayDiscount_21_Up+FedExExrpessEarnedDiscount))*'2Day Base'!H39)*(1+ExpressFuelSurcharge),2)))*(1+FedEx_Markup),2)</f>
        <v>188.66</v>
      </c>
      <c r="I42" s="218">
        <f>ROUND((IF(MinBase2Day&gt;ROUND(((1-(TwoDayDiscount_21_Up+FedExExrpessEarnedDiscount))*'2Day Base'!I39),2),ROUND(MinBase2Day*(1+ExpressFuelSurcharge),2),ROUND(((1-(TwoDayDiscount_21_Up+FedExExrpessEarnedDiscount))*'2Day Base'!I39)*(1+ExpressFuelSurcharge),2)))*(1+FedEx_Markup),2)</f>
        <v>198.52</v>
      </c>
      <c r="J42" s="218">
        <f>ROUND((IF(MinBase2Day&gt;ROUND(((1-(TwoDayDiscount_21_Up+FedExExrpessEarnedDiscount))*'2Day Base'!J39),2),ROUND(MinBase2Day*(1+ExpressFuelSurcharge),2),ROUND(((1-(TwoDayDiscount_21_Up+FedExExrpessEarnedDiscount))*'2Day Base'!J39)*(1+ExpressFuelSurcharge),2)))*(1+FedEx_Markup),2)</f>
        <v>198.52</v>
      </c>
      <c r="K42" s="218">
        <f>ROUND((IF(MinBase2Day&gt;ROUND(((1-(TwoDayDiscount_21_Up+FedExExrpessEarnedDiscount))*'2Day Base'!K39),2),ROUND(MinBase2Day*(1+ExpressFuelSurcharge),2),ROUND(((1-(TwoDayDiscount_21_Up+FedExExrpessEarnedDiscount))*'2Day Base'!K39)*(1+ExpressFuelSurcharge),2)))*(1+FedEx_Markup),2)</f>
        <v>202.75</v>
      </c>
      <c r="L42" s="218">
        <f>ROUND((IF(MinBase2Day&gt;ROUND(((1-(TwoDayDiscount_21_Up+FedExExrpessEarnedDiscount))*'2Day Base'!L39),2),ROUND(MinBase2Day*(1+ExpressFuelSurcharge),2),ROUND(((1-(TwoDayDiscount_21_Up+FedExExrpessEarnedDiscount))*'2Day Base'!L39)*(1+ExpressFuelSurcharge),2)))*(1+FedEx_Markup),2)</f>
        <v>202.75</v>
      </c>
    </row>
    <row r="43" spans="1:26" ht="12.75" customHeight="1">
      <c r="A43" s="217">
        <v>38</v>
      </c>
      <c r="B43" s="218">
        <f>ROUND((IF(MinBase2Day&gt;ROUND(((1-(TwoDayDiscount_21_Up+FedExExrpessEarnedDiscount))*'2Day Base'!B40),2),ROUND(MinBase2Day*(1+ExpressFuelSurcharge),2),ROUND(((1-(TwoDayDiscount_21_Up+FedExExrpessEarnedDiscount))*'2Day Base'!B40)*(1+ExpressFuelSurcharge),2)))*(1+FedEx_Markup),2)</f>
        <v>46.78</v>
      </c>
      <c r="C43" s="218">
        <f>ROUND((IF(MinBase2Day&gt;ROUND(((1-(TwoDayDiscount_21_Up+FedExExrpessEarnedDiscount))*'2Day Base'!C40),2),ROUND(MinBase2Day*(1+ExpressFuelSurcharge),2),ROUND(((1-(TwoDayDiscount_21_Up+FedExExrpessEarnedDiscount))*'2Day Base'!C40)*(1+ExpressFuelSurcharge),2)))*(1+FedEx_Markup),2)</f>
        <v>56.65</v>
      </c>
      <c r="D43" s="218">
        <f>ROUND((IF(MinBase2Day&gt;ROUND(((1-(TwoDayDiscount_21_Up+FedExExrpessEarnedDiscount))*'2Day Base'!D40),2),ROUND(MinBase2Day*(1+ExpressFuelSurcharge),2),ROUND(((1-(TwoDayDiscount_21_Up+FedExExrpessEarnedDiscount))*'2Day Base'!D40)*(1+ExpressFuelSurcharge),2)))*(1+FedEx_Markup),2)</f>
        <v>73.489999999999995</v>
      </c>
      <c r="E43" s="218">
        <f>ROUND((IF(MinBase2Day&gt;ROUND(((1-(TwoDayDiscount_21_Up+FedExExrpessEarnedDiscount))*'2Day Base'!E40),2),ROUND(MinBase2Day*(1+ExpressFuelSurcharge),2),ROUND(((1-(TwoDayDiscount_21_Up+FedExExrpessEarnedDiscount))*'2Day Base'!E40)*(1+ExpressFuelSurcharge),2)))*(1+FedEx_Markup),2)</f>
        <v>113.74</v>
      </c>
      <c r="F43" s="218">
        <f>ROUND((IF(MinBase2Day&gt;ROUND(((1-(TwoDayDiscount_21_Up+FedExExrpessEarnedDiscount))*'2Day Base'!F40),2),ROUND(MinBase2Day*(1+ExpressFuelSurcharge),2),ROUND(((1-(TwoDayDiscount_21_Up+FedExExrpessEarnedDiscount))*'2Day Base'!F40)*(1+ExpressFuelSurcharge),2)))*(1+FedEx_Markup),2)</f>
        <v>173.11</v>
      </c>
      <c r="G43" s="218">
        <f>ROUND((IF(MinBase2Day&gt;ROUND(((1-(TwoDayDiscount_21_Up+FedExExrpessEarnedDiscount))*'2Day Base'!G40),2),ROUND(MinBase2Day*(1+ExpressFuelSurcharge),2),ROUND(((1-(TwoDayDiscount_21_Up+FedExExrpessEarnedDiscount))*'2Day Base'!G40)*(1+ExpressFuelSurcharge),2)))*(1+FedEx_Markup),2)</f>
        <v>187.71</v>
      </c>
      <c r="H43" s="218">
        <f>ROUND((IF(MinBase2Day&gt;ROUND(((1-(TwoDayDiscount_21_Up+FedExExrpessEarnedDiscount))*'2Day Base'!H40),2),ROUND(MinBase2Day*(1+ExpressFuelSurcharge),2),ROUND(((1-(TwoDayDiscount_21_Up+FedExExrpessEarnedDiscount))*'2Day Base'!H40)*(1+ExpressFuelSurcharge),2)))*(1+FedEx_Markup),2)</f>
        <v>193.81</v>
      </c>
      <c r="I43" s="218">
        <f>ROUND((IF(MinBase2Day&gt;ROUND(((1-(TwoDayDiscount_21_Up+FedExExrpessEarnedDiscount))*'2Day Base'!I40),2),ROUND(MinBase2Day*(1+ExpressFuelSurcharge),2),ROUND(((1-(TwoDayDiscount_21_Up+FedExExrpessEarnedDiscount))*'2Day Base'!I40)*(1+ExpressFuelSurcharge),2)))*(1+FedEx_Markup),2)</f>
        <v>200</v>
      </c>
      <c r="J43" s="218">
        <f>ROUND((IF(MinBase2Day&gt;ROUND(((1-(TwoDayDiscount_21_Up+FedExExrpessEarnedDiscount))*'2Day Base'!J40),2),ROUND(MinBase2Day*(1+ExpressFuelSurcharge),2),ROUND(((1-(TwoDayDiscount_21_Up+FedExExrpessEarnedDiscount))*'2Day Base'!J40)*(1+ExpressFuelSurcharge),2)))*(1+FedEx_Markup),2)</f>
        <v>200</v>
      </c>
      <c r="K43" s="218">
        <f>ROUND((IF(MinBase2Day&gt;ROUND(((1-(TwoDayDiscount_21_Up+FedExExrpessEarnedDiscount))*'2Day Base'!K40),2),ROUND(MinBase2Day*(1+ExpressFuelSurcharge),2),ROUND(((1-(TwoDayDiscount_21_Up+FedExExrpessEarnedDiscount))*'2Day Base'!K40)*(1+ExpressFuelSurcharge),2)))*(1+FedEx_Markup),2)</f>
        <v>204</v>
      </c>
      <c r="L43" s="218">
        <f>ROUND((IF(MinBase2Day&gt;ROUND(((1-(TwoDayDiscount_21_Up+FedExExrpessEarnedDiscount))*'2Day Base'!L40),2),ROUND(MinBase2Day*(1+ExpressFuelSurcharge),2),ROUND(((1-(TwoDayDiscount_21_Up+FedExExrpessEarnedDiscount))*'2Day Base'!L40)*(1+ExpressFuelSurcharge),2)))*(1+FedEx_Markup),2)</f>
        <v>204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17">
        <v>39</v>
      </c>
      <c r="B44" s="218">
        <f>ROUND((IF(MinBase2Day&gt;ROUND(((1-(TwoDayDiscount_21_Up+FedExExrpessEarnedDiscount))*'2Day Base'!B41),2),ROUND(MinBase2Day*(1+ExpressFuelSurcharge),2),ROUND(((1-(TwoDayDiscount_21_Up+FedExExrpessEarnedDiscount))*'2Day Base'!B41)*(1+ExpressFuelSurcharge),2)))*(1+FedEx_Markup),2)</f>
        <v>48.27</v>
      </c>
      <c r="C44" s="218">
        <f>ROUND((IF(MinBase2Day&gt;ROUND(((1-(TwoDayDiscount_21_Up+FedExExrpessEarnedDiscount))*'2Day Base'!C41),2),ROUND(MinBase2Day*(1+ExpressFuelSurcharge),2),ROUND(((1-(TwoDayDiscount_21_Up+FedExExrpessEarnedDiscount))*'2Day Base'!C41)*(1+ExpressFuelSurcharge),2)))*(1+FedEx_Markup),2)</f>
        <v>58.16</v>
      </c>
      <c r="D44" s="218">
        <f>ROUND((IF(MinBase2Day&gt;ROUND(((1-(TwoDayDiscount_21_Up+FedExExrpessEarnedDiscount))*'2Day Base'!D41),2),ROUND(MinBase2Day*(1+ExpressFuelSurcharge),2),ROUND(((1-(TwoDayDiscount_21_Up+FedExExrpessEarnedDiscount))*'2Day Base'!D41)*(1+ExpressFuelSurcharge),2)))*(1+FedEx_Markup),2)</f>
        <v>74.73</v>
      </c>
      <c r="E44" s="218">
        <f>ROUND((IF(MinBase2Day&gt;ROUND(((1-(TwoDayDiscount_21_Up+FedExExrpessEarnedDiscount))*'2Day Base'!E41),2),ROUND(MinBase2Day*(1+ExpressFuelSurcharge),2),ROUND(((1-(TwoDayDiscount_21_Up+FedExExrpessEarnedDiscount))*'2Day Base'!E41)*(1+ExpressFuelSurcharge),2)))*(1+FedEx_Markup),2)</f>
        <v>116</v>
      </c>
      <c r="F44" s="218">
        <f>ROUND((IF(MinBase2Day&gt;ROUND(((1-(TwoDayDiscount_21_Up+FedExExrpessEarnedDiscount))*'2Day Base'!F41),2),ROUND(MinBase2Day*(1+ExpressFuelSurcharge),2),ROUND(((1-(TwoDayDiscount_21_Up+FedExExrpessEarnedDiscount))*'2Day Base'!F41)*(1+ExpressFuelSurcharge),2)))*(1+FedEx_Markup),2)</f>
        <v>177.31</v>
      </c>
      <c r="G44" s="218">
        <f>ROUND((IF(MinBase2Day&gt;ROUND(((1-(TwoDayDiscount_21_Up+FedExExrpessEarnedDiscount))*'2Day Base'!G41),2),ROUND(MinBase2Day*(1+ExpressFuelSurcharge),2),ROUND(((1-(TwoDayDiscount_21_Up+FedExExrpessEarnedDiscount))*'2Day Base'!G41)*(1+ExpressFuelSurcharge),2)))*(1+FedEx_Markup),2)</f>
        <v>192.71</v>
      </c>
      <c r="H44" s="218">
        <f>ROUND((IF(MinBase2Day&gt;ROUND(((1-(TwoDayDiscount_21_Up+FedExExrpessEarnedDiscount))*'2Day Base'!H41),2),ROUND(MinBase2Day*(1+ExpressFuelSurcharge),2),ROUND(((1-(TwoDayDiscount_21_Up+FedExExrpessEarnedDiscount))*'2Day Base'!H41)*(1+ExpressFuelSurcharge),2)))*(1+FedEx_Markup),2)</f>
        <v>198.85</v>
      </c>
      <c r="I44" s="218">
        <f>ROUND((IF(MinBase2Day&gt;ROUND(((1-(TwoDayDiscount_21_Up+FedExExrpessEarnedDiscount))*'2Day Base'!I41),2),ROUND(MinBase2Day*(1+ExpressFuelSurcharge),2),ROUND(((1-(TwoDayDiscount_21_Up+FedExExrpessEarnedDiscount))*'2Day Base'!I41)*(1+ExpressFuelSurcharge),2)))*(1+FedEx_Markup),2)</f>
        <v>208.9</v>
      </c>
      <c r="J44" s="218">
        <f>ROUND((IF(MinBase2Day&gt;ROUND(((1-(TwoDayDiscount_21_Up+FedExExrpessEarnedDiscount))*'2Day Base'!J41),2),ROUND(MinBase2Day*(1+ExpressFuelSurcharge),2),ROUND(((1-(TwoDayDiscount_21_Up+FedExExrpessEarnedDiscount))*'2Day Base'!J41)*(1+ExpressFuelSurcharge),2)))*(1+FedEx_Markup),2)</f>
        <v>208.9</v>
      </c>
      <c r="K44" s="218">
        <f>ROUND((IF(MinBase2Day&gt;ROUND(((1-(TwoDayDiscount_21_Up+FedExExrpessEarnedDiscount))*'2Day Base'!K41),2),ROUND(MinBase2Day*(1+ExpressFuelSurcharge),2),ROUND(((1-(TwoDayDiscount_21_Up+FedExExrpessEarnedDiscount))*'2Day Base'!K41)*(1+ExpressFuelSurcharge),2)))*(1+FedEx_Markup),2)</f>
        <v>218.37</v>
      </c>
      <c r="L44" s="218">
        <f>ROUND((IF(MinBase2Day&gt;ROUND(((1-(TwoDayDiscount_21_Up+FedExExrpessEarnedDiscount))*'2Day Base'!L41),2),ROUND(MinBase2Day*(1+ExpressFuelSurcharge),2),ROUND(((1-(TwoDayDiscount_21_Up+FedExExrpessEarnedDiscount))*'2Day Base'!L41)*(1+ExpressFuelSurcharge),2)))*(1+FedEx_Markup),2)</f>
        <v>218.37</v>
      </c>
    </row>
    <row r="45" spans="1:26" ht="12.75" customHeight="1">
      <c r="A45" s="217">
        <v>40</v>
      </c>
      <c r="B45" s="218">
        <f>ROUND((IF(MinBase2Day&gt;ROUND(((1-(TwoDayDiscount_21_Up+FedExExrpessEarnedDiscount))*'2Day Base'!B42),2),ROUND(MinBase2Day*(1+ExpressFuelSurcharge),2),ROUND(((1-(TwoDayDiscount_21_Up+FedExExrpessEarnedDiscount))*'2Day Base'!B42)*(1+ExpressFuelSurcharge),2)))*(1+FedEx_Markup),2)</f>
        <v>48.42</v>
      </c>
      <c r="C45" s="218">
        <f>ROUND((IF(MinBase2Day&gt;ROUND(((1-(TwoDayDiscount_21_Up+FedExExrpessEarnedDiscount))*'2Day Base'!C42),2),ROUND(MinBase2Day*(1+ExpressFuelSurcharge),2),ROUND(((1-(TwoDayDiscount_21_Up+FedExExrpessEarnedDiscount))*'2Day Base'!C42)*(1+ExpressFuelSurcharge),2)))*(1+FedEx_Markup),2)</f>
        <v>58.8</v>
      </c>
      <c r="D45" s="218">
        <f>ROUND((IF(MinBase2Day&gt;ROUND(((1-(TwoDayDiscount_21_Up+FedExExrpessEarnedDiscount))*'2Day Base'!D42),2),ROUND(MinBase2Day*(1+ExpressFuelSurcharge),2),ROUND(((1-(TwoDayDiscount_21_Up+FedExExrpessEarnedDiscount))*'2Day Base'!D42)*(1+ExpressFuelSurcharge),2)))*(1+FedEx_Markup),2)</f>
        <v>76.5</v>
      </c>
      <c r="E45" s="218">
        <f>ROUND((IF(MinBase2Day&gt;ROUND(((1-(TwoDayDiscount_21_Up+FedExExrpessEarnedDiscount))*'2Day Base'!E42),2),ROUND(MinBase2Day*(1+ExpressFuelSurcharge),2),ROUND(((1-(TwoDayDiscount_21_Up+FedExExrpessEarnedDiscount))*'2Day Base'!E42)*(1+ExpressFuelSurcharge),2)))*(1+FedEx_Markup),2)</f>
        <v>118.61</v>
      </c>
      <c r="F45" s="218">
        <f>ROUND((IF(MinBase2Day&gt;ROUND(((1-(TwoDayDiscount_21_Up+FedExExrpessEarnedDiscount))*'2Day Base'!F42),2),ROUND(MinBase2Day*(1+ExpressFuelSurcharge),2),ROUND(((1-(TwoDayDiscount_21_Up+FedExExrpessEarnedDiscount))*'2Day Base'!F42)*(1+ExpressFuelSurcharge),2)))*(1+FedEx_Markup),2)</f>
        <v>181.32</v>
      </c>
      <c r="G45" s="218">
        <f>ROUND((IF(MinBase2Day&gt;ROUND(((1-(TwoDayDiscount_21_Up+FedExExrpessEarnedDiscount))*'2Day Base'!G42),2),ROUND(MinBase2Day*(1+ExpressFuelSurcharge),2),ROUND(((1-(TwoDayDiscount_21_Up+FedExExrpessEarnedDiscount))*'2Day Base'!G42)*(1+ExpressFuelSurcharge),2)))*(1+FedEx_Markup),2)</f>
        <v>197.43</v>
      </c>
      <c r="H45" s="218">
        <f>ROUND((IF(MinBase2Day&gt;ROUND(((1-(TwoDayDiscount_21_Up+FedExExrpessEarnedDiscount))*'2Day Base'!H42),2),ROUND(MinBase2Day*(1+ExpressFuelSurcharge),2),ROUND(((1-(TwoDayDiscount_21_Up+FedExExrpessEarnedDiscount))*'2Day Base'!H42)*(1+ExpressFuelSurcharge),2)))*(1+FedEx_Markup),2)</f>
        <v>203.24</v>
      </c>
      <c r="I45" s="218">
        <f>ROUND((IF(MinBase2Day&gt;ROUND(((1-(TwoDayDiscount_21_Up+FedExExrpessEarnedDiscount))*'2Day Base'!I42),2),ROUND(MinBase2Day*(1+ExpressFuelSurcharge),2),ROUND(((1-(TwoDayDiscount_21_Up+FedExExrpessEarnedDiscount))*'2Day Base'!I42)*(1+ExpressFuelSurcharge),2)))*(1+FedEx_Markup),2)</f>
        <v>213.06</v>
      </c>
      <c r="J45" s="218">
        <f>ROUND((IF(MinBase2Day&gt;ROUND(((1-(TwoDayDiscount_21_Up+FedExExrpessEarnedDiscount))*'2Day Base'!J42),2),ROUND(MinBase2Day*(1+ExpressFuelSurcharge),2),ROUND(((1-(TwoDayDiscount_21_Up+FedExExrpessEarnedDiscount))*'2Day Base'!J42)*(1+ExpressFuelSurcharge),2)))*(1+FedEx_Markup),2)</f>
        <v>213.06</v>
      </c>
      <c r="K45" s="218">
        <f>ROUND((IF(MinBase2Day&gt;ROUND(((1-(TwoDayDiscount_21_Up+FedExExrpessEarnedDiscount))*'2Day Base'!K42),2),ROUND(MinBase2Day*(1+ExpressFuelSurcharge),2),ROUND(((1-(TwoDayDiscount_21_Up+FedExExrpessEarnedDiscount))*'2Day Base'!K42)*(1+ExpressFuelSurcharge),2)))*(1+FedEx_Markup),2)</f>
        <v>220.49</v>
      </c>
      <c r="L45" s="218">
        <f>ROUND((IF(MinBase2Day&gt;ROUND(((1-(TwoDayDiscount_21_Up+FedExExrpessEarnedDiscount))*'2Day Base'!L42),2),ROUND(MinBase2Day*(1+ExpressFuelSurcharge),2),ROUND(((1-(TwoDayDiscount_21_Up+FedExExrpessEarnedDiscount))*'2Day Base'!L42)*(1+ExpressFuelSurcharge),2)))*(1+FedEx_Markup),2)</f>
        <v>220.49</v>
      </c>
    </row>
    <row r="46" spans="1:26" ht="12.75" customHeight="1">
      <c r="A46" s="217">
        <v>41</v>
      </c>
      <c r="B46" s="218">
        <f>ROUND((IF(MinBase2Day&gt;ROUND(((1-(TwoDayDiscount_21_Up+FedExExrpessEarnedDiscount))*'2Day Base'!B43),2),ROUND(MinBase2Day*(1+ExpressFuelSurcharge),2),ROUND(((1-(TwoDayDiscount_21_Up+FedExExrpessEarnedDiscount))*'2Day Base'!B43)*(1+ExpressFuelSurcharge),2)))*(1+FedEx_Markup),2)</f>
        <v>50.29</v>
      </c>
      <c r="C46" s="218">
        <f>ROUND((IF(MinBase2Day&gt;ROUND(((1-(TwoDayDiscount_21_Up+FedExExrpessEarnedDiscount))*'2Day Base'!C43),2),ROUND(MinBase2Day*(1+ExpressFuelSurcharge),2),ROUND(((1-(TwoDayDiscount_21_Up+FedExExrpessEarnedDiscount))*'2Day Base'!C43)*(1+ExpressFuelSurcharge),2)))*(1+FedEx_Markup),2)</f>
        <v>60.21</v>
      </c>
      <c r="D46" s="218">
        <f>ROUND((IF(MinBase2Day&gt;ROUND(((1-(TwoDayDiscount_21_Up+FedExExrpessEarnedDiscount))*'2Day Base'!D43),2),ROUND(MinBase2Day*(1+ExpressFuelSurcharge),2),ROUND(((1-(TwoDayDiscount_21_Up+FedExExrpessEarnedDiscount))*'2Day Base'!D43)*(1+ExpressFuelSurcharge),2)))*(1+FedEx_Markup),2)</f>
        <v>77.400000000000006</v>
      </c>
      <c r="E46" s="218">
        <f>ROUND((IF(MinBase2Day&gt;ROUND(((1-(TwoDayDiscount_21_Up+FedExExrpessEarnedDiscount))*'2Day Base'!E43),2),ROUND(MinBase2Day*(1+ExpressFuelSurcharge),2),ROUND(((1-(TwoDayDiscount_21_Up+FedExExrpessEarnedDiscount))*'2Day Base'!E43)*(1+ExpressFuelSurcharge),2)))*(1+FedEx_Markup),2)</f>
        <v>120.78</v>
      </c>
      <c r="F46" s="218">
        <f>ROUND((IF(MinBase2Day&gt;ROUND(((1-(TwoDayDiscount_21_Up+FedExExrpessEarnedDiscount))*'2Day Base'!F43),2),ROUND(MinBase2Day*(1+ExpressFuelSurcharge),2),ROUND(((1-(TwoDayDiscount_21_Up+FedExExrpessEarnedDiscount))*'2Day Base'!F43)*(1+ExpressFuelSurcharge),2)))*(1+FedEx_Markup),2)</f>
        <v>185.43</v>
      </c>
      <c r="G46" s="218">
        <f>ROUND((IF(MinBase2Day&gt;ROUND(((1-(TwoDayDiscount_21_Up+FedExExrpessEarnedDiscount))*'2Day Base'!G43),2),ROUND(MinBase2Day*(1+ExpressFuelSurcharge),2),ROUND(((1-(TwoDayDiscount_21_Up+FedExExrpessEarnedDiscount))*'2Day Base'!G43)*(1+ExpressFuelSurcharge),2)))*(1+FedEx_Markup),2)</f>
        <v>202.58</v>
      </c>
      <c r="H46" s="218">
        <f>ROUND((IF(MinBase2Day&gt;ROUND(((1-(TwoDayDiscount_21_Up+FedExExrpessEarnedDiscount))*'2Day Base'!H43),2),ROUND(MinBase2Day*(1+ExpressFuelSurcharge),2),ROUND(((1-(TwoDayDiscount_21_Up+FedExExrpessEarnedDiscount))*'2Day Base'!H43)*(1+ExpressFuelSurcharge),2)))*(1+FedEx_Markup),2)</f>
        <v>208.74</v>
      </c>
      <c r="I46" s="218">
        <f>ROUND((IF(MinBase2Day&gt;ROUND(((1-(TwoDayDiscount_21_Up+FedExExrpessEarnedDiscount))*'2Day Base'!I43),2),ROUND(MinBase2Day*(1+ExpressFuelSurcharge),2),ROUND(((1-(TwoDayDiscount_21_Up+FedExExrpessEarnedDiscount))*'2Day Base'!I43)*(1+ExpressFuelSurcharge),2)))*(1+FedEx_Markup),2)</f>
        <v>217.72</v>
      </c>
      <c r="J46" s="218">
        <f>ROUND((IF(MinBase2Day&gt;ROUND(((1-(TwoDayDiscount_21_Up+FedExExrpessEarnedDiscount))*'2Day Base'!J43),2),ROUND(MinBase2Day*(1+ExpressFuelSurcharge),2),ROUND(((1-(TwoDayDiscount_21_Up+FedExExrpessEarnedDiscount))*'2Day Base'!J43)*(1+ExpressFuelSurcharge),2)))*(1+FedEx_Markup),2)</f>
        <v>217.72</v>
      </c>
      <c r="K46" s="218">
        <f>ROUND((IF(MinBase2Day&gt;ROUND(((1-(TwoDayDiscount_21_Up+FedExExrpessEarnedDiscount))*'2Day Base'!K43),2),ROUND(MinBase2Day*(1+ExpressFuelSurcharge),2),ROUND(((1-(TwoDayDiscount_21_Up+FedExExrpessEarnedDiscount))*'2Day Base'!K43)*(1+ExpressFuelSurcharge),2)))*(1+FedEx_Markup),2)</f>
        <v>225.58</v>
      </c>
      <c r="L46" s="218">
        <f>ROUND((IF(MinBase2Day&gt;ROUND(((1-(TwoDayDiscount_21_Up+FedExExrpessEarnedDiscount))*'2Day Base'!L43),2),ROUND(MinBase2Day*(1+ExpressFuelSurcharge),2),ROUND(((1-(TwoDayDiscount_21_Up+FedExExrpessEarnedDiscount))*'2Day Base'!L43)*(1+ExpressFuelSurcharge),2)))*(1+FedEx_Markup),2)</f>
        <v>225.58</v>
      </c>
    </row>
    <row r="47" spans="1:26" ht="12.75" customHeight="1">
      <c r="A47" s="217">
        <v>42</v>
      </c>
      <c r="B47" s="218">
        <f>ROUND((IF(MinBase2Day&gt;ROUND(((1-(TwoDayDiscount_21_Up+FedExExrpessEarnedDiscount))*'2Day Base'!B44),2),ROUND(MinBase2Day*(1+ExpressFuelSurcharge),2),ROUND(((1-(TwoDayDiscount_21_Up+FedExExrpessEarnedDiscount))*'2Day Base'!B44)*(1+ExpressFuelSurcharge),2)))*(1+FedEx_Markup),2)</f>
        <v>51.6</v>
      </c>
      <c r="C47" s="218">
        <f>ROUND((IF(MinBase2Day&gt;ROUND(((1-(TwoDayDiscount_21_Up+FedExExrpessEarnedDiscount))*'2Day Base'!C44),2),ROUND(MinBase2Day*(1+ExpressFuelSurcharge),2),ROUND(((1-(TwoDayDiscount_21_Up+FedExExrpessEarnedDiscount))*'2Day Base'!C44)*(1+ExpressFuelSurcharge),2)))*(1+FedEx_Markup),2)</f>
        <v>61.67</v>
      </c>
      <c r="D47" s="218">
        <f>ROUND((IF(MinBase2Day&gt;ROUND(((1-(TwoDayDiscount_21_Up+FedExExrpessEarnedDiscount))*'2Day Base'!D44),2),ROUND(MinBase2Day*(1+ExpressFuelSurcharge),2),ROUND(((1-(TwoDayDiscount_21_Up+FedExExrpessEarnedDiscount))*'2Day Base'!D44)*(1+ExpressFuelSurcharge),2)))*(1+FedEx_Markup),2)</f>
        <v>78.97</v>
      </c>
      <c r="E47" s="218">
        <f>ROUND((IF(MinBase2Day&gt;ROUND(((1-(TwoDayDiscount_21_Up+FedExExrpessEarnedDiscount))*'2Day Base'!E44),2),ROUND(MinBase2Day*(1+ExpressFuelSurcharge),2),ROUND(((1-(TwoDayDiscount_21_Up+FedExExrpessEarnedDiscount))*'2Day Base'!E44)*(1+ExpressFuelSurcharge),2)))*(1+FedEx_Markup),2)</f>
        <v>123.34</v>
      </c>
      <c r="F47" s="218">
        <f>ROUND((IF(MinBase2Day&gt;ROUND(((1-(TwoDayDiscount_21_Up+FedExExrpessEarnedDiscount))*'2Day Base'!F44),2),ROUND(MinBase2Day*(1+ExpressFuelSurcharge),2),ROUND(((1-(TwoDayDiscount_21_Up+FedExExrpessEarnedDiscount))*'2Day Base'!F44)*(1+ExpressFuelSurcharge),2)))*(1+FedEx_Markup),2)</f>
        <v>189.39</v>
      </c>
      <c r="G47" s="218">
        <f>ROUND((IF(MinBase2Day&gt;ROUND(((1-(TwoDayDiscount_21_Up+FedExExrpessEarnedDiscount))*'2Day Base'!G44),2),ROUND(MinBase2Day*(1+ExpressFuelSurcharge),2),ROUND(((1-(TwoDayDiscount_21_Up+FedExExrpessEarnedDiscount))*'2Day Base'!G44)*(1+ExpressFuelSurcharge),2)))*(1+FedEx_Markup),2)</f>
        <v>207.58</v>
      </c>
      <c r="H47" s="218">
        <f>ROUND((IF(MinBase2Day&gt;ROUND(((1-(TwoDayDiscount_21_Up+FedExExrpessEarnedDiscount))*'2Day Base'!H44),2),ROUND(MinBase2Day*(1+ExpressFuelSurcharge),2),ROUND(((1-(TwoDayDiscount_21_Up+FedExExrpessEarnedDiscount))*'2Day Base'!H44)*(1+ExpressFuelSurcharge),2)))*(1+FedEx_Markup),2)</f>
        <v>213.98</v>
      </c>
      <c r="I47" s="218">
        <f>ROUND((IF(MinBase2Day&gt;ROUND(((1-(TwoDayDiscount_21_Up+FedExExrpessEarnedDiscount))*'2Day Base'!I44),2),ROUND(MinBase2Day*(1+ExpressFuelSurcharge),2),ROUND(((1-(TwoDayDiscount_21_Up+FedExExrpessEarnedDiscount))*'2Day Base'!I44)*(1+ExpressFuelSurcharge),2)))*(1+FedEx_Markup),2)</f>
        <v>221.65</v>
      </c>
      <c r="J47" s="218">
        <f>ROUND((IF(MinBase2Day&gt;ROUND(((1-(TwoDayDiscount_21_Up+FedExExrpessEarnedDiscount))*'2Day Base'!J44),2),ROUND(MinBase2Day*(1+ExpressFuelSurcharge),2),ROUND(((1-(TwoDayDiscount_21_Up+FedExExrpessEarnedDiscount))*'2Day Base'!J44)*(1+ExpressFuelSurcharge),2)))*(1+FedEx_Markup),2)</f>
        <v>221.65</v>
      </c>
      <c r="K47" s="218">
        <f>ROUND((IF(MinBase2Day&gt;ROUND(((1-(TwoDayDiscount_21_Up+FedExExrpessEarnedDiscount))*'2Day Base'!K44),2),ROUND(MinBase2Day*(1+ExpressFuelSurcharge),2),ROUND(((1-(TwoDayDiscount_21_Up+FedExExrpessEarnedDiscount))*'2Day Base'!K44)*(1+ExpressFuelSurcharge),2)))*(1+FedEx_Markup),2)</f>
        <v>226.09</v>
      </c>
      <c r="L47" s="218">
        <f>ROUND((IF(MinBase2Day&gt;ROUND(((1-(TwoDayDiscount_21_Up+FedExExrpessEarnedDiscount))*'2Day Base'!L44),2),ROUND(MinBase2Day*(1+ExpressFuelSurcharge),2),ROUND(((1-(TwoDayDiscount_21_Up+FedExExrpessEarnedDiscount))*'2Day Base'!L44)*(1+ExpressFuelSurcharge),2)))*(1+FedEx_Markup),2)</f>
        <v>226.09</v>
      </c>
    </row>
    <row r="48" spans="1:26" ht="12.75" customHeight="1">
      <c r="A48" s="217">
        <v>43</v>
      </c>
      <c r="B48" s="218">
        <f>ROUND((IF(MinBase2Day&gt;ROUND(((1-(TwoDayDiscount_21_Up+FedExExrpessEarnedDiscount))*'2Day Base'!B45),2),ROUND(MinBase2Day*(1+ExpressFuelSurcharge),2),ROUND(((1-(TwoDayDiscount_21_Up+FedExExrpessEarnedDiscount))*'2Day Base'!B45)*(1+ExpressFuelSurcharge),2)))*(1+FedEx_Markup),2)</f>
        <v>52.19</v>
      </c>
      <c r="C48" s="218">
        <f>ROUND((IF(MinBase2Day&gt;ROUND(((1-(TwoDayDiscount_21_Up+FedExExrpessEarnedDiscount))*'2Day Base'!C45),2),ROUND(MinBase2Day*(1+ExpressFuelSurcharge),2),ROUND(((1-(TwoDayDiscount_21_Up+FedExExrpessEarnedDiscount))*'2Day Base'!C45)*(1+ExpressFuelSurcharge),2)))*(1+FedEx_Markup),2)</f>
        <v>62.96</v>
      </c>
      <c r="D48" s="218">
        <f>ROUND((IF(MinBase2Day&gt;ROUND(((1-(TwoDayDiscount_21_Up+FedExExrpessEarnedDiscount))*'2Day Base'!D45),2),ROUND(MinBase2Day*(1+ExpressFuelSurcharge),2),ROUND(((1-(TwoDayDiscount_21_Up+FedExExrpessEarnedDiscount))*'2Day Base'!D45)*(1+ExpressFuelSurcharge),2)))*(1+FedEx_Markup),2)</f>
        <v>80.17</v>
      </c>
      <c r="E48" s="218">
        <f>ROUND((IF(MinBase2Day&gt;ROUND(((1-(TwoDayDiscount_21_Up+FedExExrpessEarnedDiscount))*'2Day Base'!E45),2),ROUND(MinBase2Day*(1+ExpressFuelSurcharge),2),ROUND(((1-(TwoDayDiscount_21_Up+FedExExrpessEarnedDiscount))*'2Day Base'!E45)*(1+ExpressFuelSurcharge),2)))*(1+FedEx_Markup),2)</f>
        <v>125.4</v>
      </c>
      <c r="F48" s="218">
        <f>ROUND((IF(MinBase2Day&gt;ROUND(((1-(TwoDayDiscount_21_Up+FedExExrpessEarnedDiscount))*'2Day Base'!F45),2),ROUND(MinBase2Day*(1+ExpressFuelSurcharge),2),ROUND(((1-(TwoDayDiscount_21_Up+FedExExrpessEarnedDiscount))*'2Day Base'!F45)*(1+ExpressFuelSurcharge),2)))*(1+FedEx_Markup),2)</f>
        <v>193.86</v>
      </c>
      <c r="G48" s="218">
        <f>ROUND((IF(MinBase2Day&gt;ROUND(((1-(TwoDayDiscount_21_Up+FedExExrpessEarnedDiscount))*'2Day Base'!G45),2),ROUND(MinBase2Day*(1+ExpressFuelSurcharge),2),ROUND(((1-(TwoDayDiscount_21_Up+FedExExrpessEarnedDiscount))*'2Day Base'!G45)*(1+ExpressFuelSurcharge),2)))*(1+FedEx_Markup),2)</f>
        <v>211.43</v>
      </c>
      <c r="H48" s="218">
        <f>ROUND((IF(MinBase2Day&gt;ROUND(((1-(TwoDayDiscount_21_Up+FedExExrpessEarnedDiscount))*'2Day Base'!H45),2),ROUND(MinBase2Day*(1+ExpressFuelSurcharge),2),ROUND(((1-(TwoDayDiscount_21_Up+FedExExrpessEarnedDiscount))*'2Day Base'!H45)*(1+ExpressFuelSurcharge),2)))*(1+FedEx_Markup),2)</f>
        <v>218.44</v>
      </c>
      <c r="I48" s="218">
        <f>ROUND((IF(MinBase2Day&gt;ROUND(((1-(TwoDayDiscount_21_Up+FedExExrpessEarnedDiscount))*'2Day Base'!I45),2),ROUND(MinBase2Day*(1+ExpressFuelSurcharge),2),ROUND(((1-(TwoDayDiscount_21_Up+FedExExrpessEarnedDiscount))*'2Day Base'!I45)*(1+ExpressFuelSurcharge),2)))*(1+FedEx_Markup),2)</f>
        <v>226.84</v>
      </c>
      <c r="J48" s="218">
        <f>ROUND((IF(MinBase2Day&gt;ROUND(((1-(TwoDayDiscount_21_Up+FedExExrpessEarnedDiscount))*'2Day Base'!J45),2),ROUND(MinBase2Day*(1+ExpressFuelSurcharge),2),ROUND(((1-(TwoDayDiscount_21_Up+FedExExrpessEarnedDiscount))*'2Day Base'!J45)*(1+ExpressFuelSurcharge),2)))*(1+FedEx_Markup),2)</f>
        <v>226.84</v>
      </c>
      <c r="K48" s="218">
        <f>ROUND((IF(MinBase2Day&gt;ROUND(((1-(TwoDayDiscount_21_Up+FedExExrpessEarnedDiscount))*'2Day Base'!K45),2),ROUND(MinBase2Day*(1+ExpressFuelSurcharge),2),ROUND(((1-(TwoDayDiscount_21_Up+FedExExrpessEarnedDiscount))*'2Day Base'!K45)*(1+ExpressFuelSurcharge),2)))*(1+FedEx_Markup),2)</f>
        <v>236.13</v>
      </c>
      <c r="L48" s="218">
        <f>ROUND((IF(MinBase2Day&gt;ROUND(((1-(TwoDayDiscount_21_Up+FedExExrpessEarnedDiscount))*'2Day Base'!L45),2),ROUND(MinBase2Day*(1+ExpressFuelSurcharge),2),ROUND(((1-(TwoDayDiscount_21_Up+FedExExrpessEarnedDiscount))*'2Day Base'!L45)*(1+ExpressFuelSurcharge),2)))*(1+FedEx_Markup),2)</f>
        <v>236.13</v>
      </c>
    </row>
    <row r="49" spans="1:12" ht="12.75" customHeight="1">
      <c r="A49" s="217">
        <v>44</v>
      </c>
      <c r="B49" s="218">
        <f>ROUND((IF(MinBase2Day&gt;ROUND(((1-(TwoDayDiscount_21_Up+FedExExrpessEarnedDiscount))*'2Day Base'!B46),2),ROUND(MinBase2Day*(1+ExpressFuelSurcharge),2),ROUND(((1-(TwoDayDiscount_21_Up+FedExExrpessEarnedDiscount))*'2Day Base'!B46)*(1+ExpressFuelSurcharge),2)))*(1+FedEx_Markup),2)</f>
        <v>53.57</v>
      </c>
      <c r="C49" s="218">
        <f>ROUND((IF(MinBase2Day&gt;ROUND(((1-(TwoDayDiscount_21_Up+FedExExrpessEarnedDiscount))*'2Day Base'!C46),2),ROUND(MinBase2Day*(1+ExpressFuelSurcharge),2),ROUND(((1-(TwoDayDiscount_21_Up+FedExExrpessEarnedDiscount))*'2Day Base'!C46)*(1+ExpressFuelSurcharge),2)))*(1+FedEx_Markup),2)</f>
        <v>63.73</v>
      </c>
      <c r="D49" s="218">
        <f>ROUND((IF(MinBase2Day&gt;ROUND(((1-(TwoDayDiscount_21_Up+FedExExrpessEarnedDiscount))*'2Day Base'!D46),2),ROUND(MinBase2Day*(1+ExpressFuelSurcharge),2),ROUND(((1-(TwoDayDiscount_21_Up+FedExExrpessEarnedDiscount))*'2Day Base'!D46)*(1+ExpressFuelSurcharge),2)))*(1+FedEx_Markup),2)</f>
        <v>81.98</v>
      </c>
      <c r="E49" s="218">
        <f>ROUND((IF(MinBase2Day&gt;ROUND(((1-(TwoDayDiscount_21_Up+FedExExrpessEarnedDiscount))*'2Day Base'!E46),2),ROUND(MinBase2Day*(1+ExpressFuelSurcharge),2),ROUND(((1-(TwoDayDiscount_21_Up+FedExExrpessEarnedDiscount))*'2Day Base'!E46)*(1+ExpressFuelSurcharge),2)))*(1+FedEx_Markup),2)</f>
        <v>127.64</v>
      </c>
      <c r="F49" s="218">
        <f>ROUND((IF(MinBase2Day&gt;ROUND(((1-(TwoDayDiscount_21_Up+FedExExrpessEarnedDiscount))*'2Day Base'!F46),2),ROUND(MinBase2Day*(1+ExpressFuelSurcharge),2),ROUND(((1-(TwoDayDiscount_21_Up+FedExExrpessEarnedDiscount))*'2Day Base'!F46)*(1+ExpressFuelSurcharge),2)))*(1+FedEx_Markup),2)</f>
        <v>197.63</v>
      </c>
      <c r="G49" s="218">
        <f>ROUND((IF(MinBase2Day&gt;ROUND(((1-(TwoDayDiscount_21_Up+FedExExrpessEarnedDiscount))*'2Day Base'!G46),2),ROUND(MinBase2Day*(1+ExpressFuelSurcharge),2),ROUND(((1-(TwoDayDiscount_21_Up+FedExExrpessEarnedDiscount))*'2Day Base'!G46)*(1+ExpressFuelSurcharge),2)))*(1+FedEx_Markup),2)</f>
        <v>215.02</v>
      </c>
      <c r="H49" s="218">
        <f>ROUND((IF(MinBase2Day&gt;ROUND(((1-(TwoDayDiscount_21_Up+FedExExrpessEarnedDiscount))*'2Day Base'!H46),2),ROUND(MinBase2Day*(1+ExpressFuelSurcharge),2),ROUND(((1-(TwoDayDiscount_21_Up+FedExExrpessEarnedDiscount))*'2Day Base'!H46)*(1+ExpressFuelSurcharge),2)))*(1+FedEx_Markup),2)</f>
        <v>222.74</v>
      </c>
      <c r="I49" s="218">
        <f>ROUND((IF(MinBase2Day&gt;ROUND(((1-(TwoDayDiscount_21_Up+FedExExrpessEarnedDiscount))*'2Day Base'!I46),2),ROUND(MinBase2Day*(1+ExpressFuelSurcharge),2),ROUND(((1-(TwoDayDiscount_21_Up+FedExExrpessEarnedDiscount))*'2Day Base'!I46)*(1+ExpressFuelSurcharge),2)))*(1+FedEx_Markup),2)</f>
        <v>231.35</v>
      </c>
      <c r="J49" s="218">
        <f>ROUND((IF(MinBase2Day&gt;ROUND(((1-(TwoDayDiscount_21_Up+FedExExrpessEarnedDiscount))*'2Day Base'!J46),2),ROUND(MinBase2Day*(1+ExpressFuelSurcharge),2),ROUND(((1-(TwoDayDiscount_21_Up+FedExExrpessEarnedDiscount))*'2Day Base'!J46)*(1+ExpressFuelSurcharge),2)))*(1+FedEx_Markup),2)</f>
        <v>231.35</v>
      </c>
      <c r="K49" s="218">
        <f>ROUND((IF(MinBase2Day&gt;ROUND(((1-(TwoDayDiscount_21_Up+FedExExrpessEarnedDiscount))*'2Day Base'!K46),2),ROUND(MinBase2Day*(1+ExpressFuelSurcharge),2),ROUND(((1-(TwoDayDiscount_21_Up+FedExExrpessEarnedDiscount))*'2Day Base'!K46)*(1+ExpressFuelSurcharge),2)))*(1+FedEx_Markup),2)</f>
        <v>240.1</v>
      </c>
      <c r="L49" s="218">
        <f>ROUND((IF(MinBase2Day&gt;ROUND(((1-(TwoDayDiscount_21_Up+FedExExrpessEarnedDiscount))*'2Day Base'!L46),2),ROUND(MinBase2Day*(1+ExpressFuelSurcharge),2),ROUND(((1-(TwoDayDiscount_21_Up+FedExExrpessEarnedDiscount))*'2Day Base'!L46)*(1+ExpressFuelSurcharge),2)))*(1+FedEx_Markup),2)</f>
        <v>240.1</v>
      </c>
    </row>
    <row r="50" spans="1:12" ht="12.75" customHeight="1">
      <c r="A50" s="217">
        <v>45</v>
      </c>
      <c r="B50" s="218">
        <f>ROUND((IF(MinBase2Day&gt;ROUND(((1-(TwoDayDiscount_21_Up+FedExExrpessEarnedDiscount))*'2Day Base'!B47),2),ROUND(MinBase2Day*(1+ExpressFuelSurcharge),2),ROUND(((1-(TwoDayDiscount_21_Up+FedExExrpessEarnedDiscount))*'2Day Base'!B47)*(1+ExpressFuelSurcharge),2)))*(1+FedEx_Markup),2)</f>
        <v>53.72</v>
      </c>
      <c r="C50" s="218">
        <f>ROUND((IF(MinBase2Day&gt;ROUND(((1-(TwoDayDiscount_21_Up+FedExExrpessEarnedDiscount))*'2Day Base'!C47),2),ROUND(MinBase2Day*(1+ExpressFuelSurcharge),2),ROUND(((1-(TwoDayDiscount_21_Up+FedExExrpessEarnedDiscount))*'2Day Base'!C47)*(1+ExpressFuelSurcharge),2)))*(1+FedEx_Markup),2)</f>
        <v>65.3</v>
      </c>
      <c r="D50" s="218">
        <f>ROUND((IF(MinBase2Day&gt;ROUND(((1-(TwoDayDiscount_21_Up+FedExExrpessEarnedDiscount))*'2Day Base'!D47),2),ROUND(MinBase2Day*(1+ExpressFuelSurcharge),2),ROUND(((1-(TwoDayDiscount_21_Up+FedExExrpessEarnedDiscount))*'2Day Base'!D47)*(1+ExpressFuelSurcharge),2)))*(1+FedEx_Markup),2)</f>
        <v>83.18</v>
      </c>
      <c r="E50" s="218">
        <f>ROUND((IF(MinBase2Day&gt;ROUND(((1-(TwoDayDiscount_21_Up+FedExExrpessEarnedDiscount))*'2Day Base'!E47),2),ROUND(MinBase2Day*(1+ExpressFuelSurcharge),2),ROUND(((1-(TwoDayDiscount_21_Up+FedExExrpessEarnedDiscount))*'2Day Base'!E47)*(1+ExpressFuelSurcharge),2)))*(1+FedEx_Markup),2)</f>
        <v>129.41</v>
      </c>
      <c r="F50" s="218">
        <f>ROUND((IF(MinBase2Day&gt;ROUND(((1-(TwoDayDiscount_21_Up+FedExExrpessEarnedDiscount))*'2Day Base'!F47),2),ROUND(MinBase2Day*(1+ExpressFuelSurcharge),2),ROUND(((1-(TwoDayDiscount_21_Up+FedExExrpessEarnedDiscount))*'2Day Base'!F47)*(1+ExpressFuelSurcharge),2)))*(1+FedEx_Markup),2)</f>
        <v>201.23</v>
      </c>
      <c r="G50" s="218">
        <f>ROUND((IF(MinBase2Day&gt;ROUND(((1-(TwoDayDiscount_21_Up+FedExExrpessEarnedDiscount))*'2Day Base'!G47),2),ROUND(MinBase2Day*(1+ExpressFuelSurcharge),2),ROUND(((1-(TwoDayDiscount_21_Up+FedExExrpessEarnedDiscount))*'2Day Base'!G47)*(1+ExpressFuelSurcharge),2)))*(1+FedEx_Markup),2)</f>
        <v>219.04</v>
      </c>
      <c r="H50" s="218">
        <f>ROUND((IF(MinBase2Day&gt;ROUND(((1-(TwoDayDiscount_21_Up+FedExExrpessEarnedDiscount))*'2Day Base'!H47),2),ROUND(MinBase2Day*(1+ExpressFuelSurcharge),2),ROUND(((1-(TwoDayDiscount_21_Up+FedExExrpessEarnedDiscount))*'2Day Base'!H47)*(1+ExpressFuelSurcharge),2)))*(1+FedEx_Markup),2)</f>
        <v>226.07</v>
      </c>
      <c r="I50" s="218">
        <f>ROUND((IF(MinBase2Day&gt;ROUND(((1-(TwoDayDiscount_21_Up+FedExExrpessEarnedDiscount))*'2Day Base'!I47),2),ROUND(MinBase2Day*(1+ExpressFuelSurcharge),2),ROUND(((1-(TwoDayDiscount_21_Up+FedExExrpessEarnedDiscount))*'2Day Base'!I47)*(1+ExpressFuelSurcharge),2)))*(1+FedEx_Markup),2)</f>
        <v>234.72</v>
      </c>
      <c r="J50" s="218">
        <f>ROUND((IF(MinBase2Day&gt;ROUND(((1-(TwoDayDiscount_21_Up+FedExExrpessEarnedDiscount))*'2Day Base'!J47),2),ROUND(MinBase2Day*(1+ExpressFuelSurcharge),2),ROUND(((1-(TwoDayDiscount_21_Up+FedExExrpessEarnedDiscount))*'2Day Base'!J47)*(1+ExpressFuelSurcharge),2)))*(1+FedEx_Markup),2)</f>
        <v>234.72</v>
      </c>
      <c r="K50" s="218">
        <f>ROUND((IF(MinBase2Day&gt;ROUND(((1-(TwoDayDiscount_21_Up+FedExExrpessEarnedDiscount))*'2Day Base'!K47),2),ROUND(MinBase2Day*(1+ExpressFuelSurcharge),2),ROUND(((1-(TwoDayDiscount_21_Up+FedExExrpessEarnedDiscount))*'2Day Base'!K47)*(1+ExpressFuelSurcharge),2)))*(1+FedEx_Markup),2)</f>
        <v>242.24</v>
      </c>
      <c r="L50" s="218">
        <f>ROUND((IF(MinBase2Day&gt;ROUND(((1-(TwoDayDiscount_21_Up+FedExExrpessEarnedDiscount))*'2Day Base'!L47),2),ROUND(MinBase2Day*(1+ExpressFuelSurcharge),2),ROUND(((1-(TwoDayDiscount_21_Up+FedExExrpessEarnedDiscount))*'2Day Base'!L47)*(1+ExpressFuelSurcharge),2)))*(1+FedEx_Markup),2)</f>
        <v>242.24</v>
      </c>
    </row>
    <row r="51" spans="1:12" ht="12.75" customHeight="1">
      <c r="A51" s="217">
        <v>46</v>
      </c>
      <c r="B51" s="218">
        <f>ROUND((IF(MinBase2Day&gt;ROUND(((1-(TwoDayDiscount_21_Up+FedExExrpessEarnedDiscount))*'2Day Base'!B48),2),ROUND(MinBase2Day*(1+ExpressFuelSurcharge),2),ROUND(((1-(TwoDayDiscount_21_Up+FedExExrpessEarnedDiscount))*'2Day Base'!B48)*(1+ExpressFuelSurcharge),2)))*(1+FedEx_Markup),2)</f>
        <v>55.46</v>
      </c>
      <c r="C51" s="218">
        <f>ROUND((IF(MinBase2Day&gt;ROUND(((1-(TwoDayDiscount_21_Up+FedExExrpessEarnedDiscount))*'2Day Base'!C48),2),ROUND(MinBase2Day*(1+ExpressFuelSurcharge),2),ROUND(((1-(TwoDayDiscount_21_Up+FedExExrpessEarnedDiscount))*'2Day Base'!C48)*(1+ExpressFuelSurcharge),2)))*(1+FedEx_Markup),2)</f>
        <v>66.02</v>
      </c>
      <c r="D51" s="218">
        <f>ROUND((IF(MinBase2Day&gt;ROUND(((1-(TwoDayDiscount_21_Up+FedExExrpessEarnedDiscount))*'2Day Base'!D48),2),ROUND(MinBase2Day*(1+ExpressFuelSurcharge),2),ROUND(((1-(TwoDayDiscount_21_Up+FedExExrpessEarnedDiscount))*'2Day Base'!D48)*(1+ExpressFuelSurcharge),2)))*(1+FedEx_Markup),2)</f>
        <v>84.86</v>
      </c>
      <c r="E51" s="218">
        <f>ROUND((IF(MinBase2Day&gt;ROUND(((1-(TwoDayDiscount_21_Up+FedExExrpessEarnedDiscount))*'2Day Base'!E48),2),ROUND(MinBase2Day*(1+ExpressFuelSurcharge),2),ROUND(((1-(TwoDayDiscount_21_Up+FedExExrpessEarnedDiscount))*'2Day Base'!E48)*(1+ExpressFuelSurcharge),2)))*(1+FedEx_Markup),2)</f>
        <v>130.72999999999999</v>
      </c>
      <c r="F51" s="218">
        <f>ROUND((IF(MinBase2Day&gt;ROUND(((1-(TwoDayDiscount_21_Up+FedExExrpessEarnedDiscount))*'2Day Base'!F48),2),ROUND(MinBase2Day*(1+ExpressFuelSurcharge),2),ROUND(((1-(TwoDayDiscount_21_Up+FedExExrpessEarnedDiscount))*'2Day Base'!F48)*(1+ExpressFuelSurcharge),2)))*(1+FedEx_Markup),2)</f>
        <v>204.63</v>
      </c>
      <c r="G51" s="218">
        <f>ROUND((IF(MinBase2Day&gt;ROUND(((1-(TwoDayDiscount_21_Up+FedExExrpessEarnedDiscount))*'2Day Base'!G48),2),ROUND(MinBase2Day*(1+ExpressFuelSurcharge),2),ROUND(((1-(TwoDayDiscount_21_Up+FedExExrpessEarnedDiscount))*'2Day Base'!G48)*(1+ExpressFuelSurcharge),2)))*(1+FedEx_Markup),2)</f>
        <v>222.58</v>
      </c>
      <c r="H51" s="218">
        <f>ROUND((IF(MinBase2Day&gt;ROUND(((1-(TwoDayDiscount_21_Up+FedExExrpessEarnedDiscount))*'2Day Base'!H48),2),ROUND(MinBase2Day*(1+ExpressFuelSurcharge),2),ROUND(((1-(TwoDayDiscount_21_Up+FedExExrpessEarnedDiscount))*'2Day Base'!H48)*(1+ExpressFuelSurcharge),2)))*(1+FedEx_Markup),2)</f>
        <v>230.94</v>
      </c>
      <c r="I51" s="218">
        <f>ROUND((IF(MinBase2Day&gt;ROUND(((1-(TwoDayDiscount_21_Up+FedExExrpessEarnedDiscount))*'2Day Base'!I48),2),ROUND(MinBase2Day*(1+ExpressFuelSurcharge),2),ROUND(((1-(TwoDayDiscount_21_Up+FedExExrpessEarnedDiscount))*'2Day Base'!I48)*(1+ExpressFuelSurcharge),2)))*(1+FedEx_Markup),2)</f>
        <v>235.85</v>
      </c>
      <c r="J51" s="218">
        <f>ROUND((IF(MinBase2Day&gt;ROUND(((1-(TwoDayDiscount_21_Up+FedExExrpessEarnedDiscount))*'2Day Base'!J48),2),ROUND(MinBase2Day*(1+ExpressFuelSurcharge),2),ROUND(((1-(TwoDayDiscount_21_Up+FedExExrpessEarnedDiscount))*'2Day Base'!J48)*(1+ExpressFuelSurcharge),2)))*(1+FedEx_Markup),2)</f>
        <v>235.85</v>
      </c>
      <c r="K51" s="218">
        <f>ROUND((IF(MinBase2Day&gt;ROUND(((1-(TwoDayDiscount_21_Up+FedExExrpessEarnedDiscount))*'2Day Base'!K48),2),ROUND(MinBase2Day*(1+ExpressFuelSurcharge),2),ROUND(((1-(TwoDayDiscount_21_Up+FedExExrpessEarnedDiscount))*'2Day Base'!K48)*(1+ExpressFuelSurcharge),2)))*(1+FedEx_Markup),2)</f>
        <v>242.45</v>
      </c>
      <c r="L51" s="218">
        <f>ROUND((IF(MinBase2Day&gt;ROUND(((1-(TwoDayDiscount_21_Up+FedExExrpessEarnedDiscount))*'2Day Base'!L48),2),ROUND(MinBase2Day*(1+ExpressFuelSurcharge),2),ROUND(((1-(TwoDayDiscount_21_Up+FedExExrpessEarnedDiscount))*'2Day Base'!L48)*(1+ExpressFuelSurcharge),2)))*(1+FedEx_Markup),2)</f>
        <v>242.45</v>
      </c>
    </row>
    <row r="52" spans="1:12" ht="12.75" customHeight="1">
      <c r="A52" s="217">
        <v>47</v>
      </c>
      <c r="B52" s="218">
        <f>ROUND((IF(MinBase2Day&gt;ROUND(((1-(TwoDayDiscount_21_Up+FedExExrpessEarnedDiscount))*'2Day Base'!B49),2),ROUND(MinBase2Day*(1+ExpressFuelSurcharge),2),ROUND(((1-(TwoDayDiscount_21_Up+FedExExrpessEarnedDiscount))*'2Day Base'!B49)*(1+ExpressFuelSurcharge),2)))*(1+FedEx_Markup),2)</f>
        <v>55.64</v>
      </c>
      <c r="C52" s="218">
        <f>ROUND((IF(MinBase2Day&gt;ROUND(((1-(TwoDayDiscount_21_Up+FedExExrpessEarnedDiscount))*'2Day Base'!C49),2),ROUND(MinBase2Day*(1+ExpressFuelSurcharge),2),ROUND(((1-(TwoDayDiscount_21_Up+FedExExrpessEarnedDiscount))*'2Day Base'!C49)*(1+ExpressFuelSurcharge),2)))*(1+FedEx_Markup),2)</f>
        <v>67.180000000000007</v>
      </c>
      <c r="D52" s="218">
        <f>ROUND((IF(MinBase2Day&gt;ROUND(((1-(TwoDayDiscount_21_Up+FedExExrpessEarnedDiscount))*'2Day Base'!D49),2),ROUND(MinBase2Day*(1+ExpressFuelSurcharge),2),ROUND(((1-(TwoDayDiscount_21_Up+FedExExrpessEarnedDiscount))*'2Day Base'!D49)*(1+ExpressFuelSurcharge),2)))*(1+FedEx_Markup),2)</f>
        <v>86.27</v>
      </c>
      <c r="E52" s="218">
        <f>ROUND((IF(MinBase2Day&gt;ROUND(((1-(TwoDayDiscount_21_Up+FedExExrpessEarnedDiscount))*'2Day Base'!E49),2),ROUND(MinBase2Day*(1+ExpressFuelSurcharge),2),ROUND(((1-(TwoDayDiscount_21_Up+FedExExrpessEarnedDiscount))*'2Day Base'!E49)*(1+ExpressFuelSurcharge),2)))*(1+FedEx_Markup),2)</f>
        <v>130.9</v>
      </c>
      <c r="F52" s="218">
        <f>ROUND((IF(MinBase2Day&gt;ROUND(((1-(TwoDayDiscount_21_Up+FedExExrpessEarnedDiscount))*'2Day Base'!F49),2),ROUND(MinBase2Day*(1+ExpressFuelSurcharge),2),ROUND(((1-(TwoDayDiscount_21_Up+FedExExrpessEarnedDiscount))*'2Day Base'!F49)*(1+ExpressFuelSurcharge),2)))*(1+FedEx_Markup),2)</f>
        <v>205</v>
      </c>
      <c r="G52" s="218">
        <f>ROUND((IF(MinBase2Day&gt;ROUND(((1-(TwoDayDiscount_21_Up+FedExExrpessEarnedDiscount))*'2Day Base'!G49),2),ROUND(MinBase2Day*(1+ExpressFuelSurcharge),2),ROUND(((1-(TwoDayDiscount_21_Up+FedExExrpessEarnedDiscount))*'2Day Base'!G49)*(1+ExpressFuelSurcharge),2)))*(1+FedEx_Markup),2)</f>
        <v>222.94</v>
      </c>
      <c r="H52" s="218">
        <f>ROUND((IF(MinBase2Day&gt;ROUND(((1-(TwoDayDiscount_21_Up+FedExExrpessEarnedDiscount))*'2Day Base'!H49),2),ROUND(MinBase2Day*(1+ExpressFuelSurcharge),2),ROUND(((1-(TwoDayDiscount_21_Up+FedExExrpessEarnedDiscount))*'2Day Base'!H49)*(1+ExpressFuelSurcharge),2)))*(1+FedEx_Markup),2)</f>
        <v>231.44</v>
      </c>
      <c r="I52" s="218">
        <f>ROUND((IF(MinBase2Day&gt;ROUND(((1-(TwoDayDiscount_21_Up+FedExExrpessEarnedDiscount))*'2Day Base'!I49),2),ROUND(MinBase2Day*(1+ExpressFuelSurcharge),2),ROUND(((1-(TwoDayDiscount_21_Up+FedExExrpessEarnedDiscount))*'2Day Base'!I49)*(1+ExpressFuelSurcharge),2)))*(1+FedEx_Markup),2)</f>
        <v>236.07</v>
      </c>
      <c r="J52" s="218">
        <f>ROUND((IF(MinBase2Day&gt;ROUND(((1-(TwoDayDiscount_21_Up+FedExExrpessEarnedDiscount))*'2Day Base'!J49),2),ROUND(MinBase2Day*(1+ExpressFuelSurcharge),2),ROUND(((1-(TwoDayDiscount_21_Up+FedExExrpessEarnedDiscount))*'2Day Base'!J49)*(1+ExpressFuelSurcharge),2)))*(1+FedEx_Markup),2)</f>
        <v>236.07</v>
      </c>
      <c r="K52" s="218">
        <f>ROUND((IF(MinBase2Day&gt;ROUND(((1-(TwoDayDiscount_21_Up+FedExExrpessEarnedDiscount))*'2Day Base'!K49),2),ROUND(MinBase2Day*(1+ExpressFuelSurcharge),2),ROUND(((1-(TwoDayDiscount_21_Up+FedExExrpessEarnedDiscount))*'2Day Base'!K49)*(1+ExpressFuelSurcharge),2)))*(1+FedEx_Markup),2)</f>
        <v>242.63</v>
      </c>
      <c r="L52" s="218">
        <f>ROUND((IF(MinBase2Day&gt;ROUND(((1-(TwoDayDiscount_21_Up+FedExExrpessEarnedDiscount))*'2Day Base'!L49),2),ROUND(MinBase2Day*(1+ExpressFuelSurcharge),2),ROUND(((1-(TwoDayDiscount_21_Up+FedExExrpessEarnedDiscount))*'2Day Base'!L49)*(1+ExpressFuelSurcharge),2)))*(1+FedEx_Markup),2)</f>
        <v>242.63</v>
      </c>
    </row>
    <row r="53" spans="1:12" ht="12.75" customHeight="1">
      <c r="A53" s="217">
        <v>48</v>
      </c>
      <c r="B53" s="218">
        <f>ROUND((IF(MinBase2Day&gt;ROUND(((1-(TwoDayDiscount_21_Up+FedExExrpessEarnedDiscount))*'2Day Base'!B50),2),ROUND(MinBase2Day*(1+ExpressFuelSurcharge),2),ROUND(((1-(TwoDayDiscount_21_Up+FedExExrpessEarnedDiscount))*'2Day Base'!B50)*(1+ExpressFuelSurcharge),2)))*(1+FedEx_Markup),2)</f>
        <v>56.27</v>
      </c>
      <c r="C53" s="218">
        <f>ROUND((IF(MinBase2Day&gt;ROUND(((1-(TwoDayDiscount_21_Up+FedExExrpessEarnedDiscount))*'2Day Base'!C50),2),ROUND(MinBase2Day*(1+ExpressFuelSurcharge),2),ROUND(((1-(TwoDayDiscount_21_Up+FedExExrpessEarnedDiscount))*'2Day Base'!C50)*(1+ExpressFuelSurcharge),2)))*(1+FedEx_Markup),2)</f>
        <v>68.84</v>
      </c>
      <c r="D53" s="218">
        <f>ROUND((IF(MinBase2Day&gt;ROUND(((1-(TwoDayDiscount_21_Up+FedExExrpessEarnedDiscount))*'2Day Base'!D50),2),ROUND(MinBase2Day*(1+ExpressFuelSurcharge),2),ROUND(((1-(TwoDayDiscount_21_Up+FedExExrpessEarnedDiscount))*'2Day Base'!D50)*(1+ExpressFuelSurcharge),2)))*(1+FedEx_Markup),2)</f>
        <v>87.8</v>
      </c>
      <c r="E53" s="218">
        <f>ROUND((IF(MinBase2Day&gt;ROUND(((1-(TwoDayDiscount_21_Up+FedExExrpessEarnedDiscount))*'2Day Base'!E50),2),ROUND(MinBase2Day*(1+ExpressFuelSurcharge),2),ROUND(((1-(TwoDayDiscount_21_Up+FedExExrpessEarnedDiscount))*'2Day Base'!E50)*(1+ExpressFuelSurcharge),2)))*(1+FedEx_Markup),2)</f>
        <v>131.05000000000001</v>
      </c>
      <c r="F53" s="218">
        <f>ROUND((IF(MinBase2Day&gt;ROUND(((1-(TwoDayDiscount_21_Up+FedExExrpessEarnedDiscount))*'2Day Base'!F50),2),ROUND(MinBase2Day*(1+ExpressFuelSurcharge),2),ROUND(((1-(TwoDayDiscount_21_Up+FedExExrpessEarnedDiscount))*'2Day Base'!F50)*(1+ExpressFuelSurcharge),2)))*(1+FedEx_Markup),2)</f>
        <v>212.35</v>
      </c>
      <c r="G53" s="218">
        <f>ROUND((IF(MinBase2Day&gt;ROUND(((1-(TwoDayDiscount_21_Up+FedExExrpessEarnedDiscount))*'2Day Base'!G50),2),ROUND(MinBase2Day*(1+ExpressFuelSurcharge),2),ROUND(((1-(TwoDayDiscount_21_Up+FedExExrpessEarnedDiscount))*'2Day Base'!G50)*(1+ExpressFuelSurcharge),2)))*(1+FedEx_Markup),2)</f>
        <v>228.33</v>
      </c>
      <c r="H53" s="218">
        <f>ROUND((IF(MinBase2Day&gt;ROUND(((1-(TwoDayDiscount_21_Up+FedExExrpessEarnedDiscount))*'2Day Base'!H50),2),ROUND(MinBase2Day*(1+ExpressFuelSurcharge),2),ROUND(((1-(TwoDayDiscount_21_Up+FedExExrpessEarnedDiscount))*'2Day Base'!H50)*(1+ExpressFuelSurcharge),2)))*(1+FedEx_Markup),2)</f>
        <v>233.28</v>
      </c>
      <c r="I53" s="218">
        <f>ROUND((IF(MinBase2Day&gt;ROUND(((1-(TwoDayDiscount_21_Up+FedExExrpessEarnedDiscount))*'2Day Base'!I50),2),ROUND(MinBase2Day*(1+ExpressFuelSurcharge),2),ROUND(((1-(TwoDayDiscount_21_Up+FedExExrpessEarnedDiscount))*'2Day Base'!I50)*(1+ExpressFuelSurcharge),2)))*(1+FedEx_Markup),2)</f>
        <v>237.95</v>
      </c>
      <c r="J53" s="218">
        <f>ROUND((IF(MinBase2Day&gt;ROUND(((1-(TwoDayDiscount_21_Up+FedExExrpessEarnedDiscount))*'2Day Base'!J50),2),ROUND(MinBase2Day*(1+ExpressFuelSurcharge),2),ROUND(((1-(TwoDayDiscount_21_Up+FedExExrpessEarnedDiscount))*'2Day Base'!J50)*(1+ExpressFuelSurcharge),2)))*(1+FedEx_Markup),2)</f>
        <v>237.95</v>
      </c>
      <c r="K53" s="218">
        <f>ROUND((IF(MinBase2Day&gt;ROUND(((1-(TwoDayDiscount_21_Up+FedExExrpessEarnedDiscount))*'2Day Base'!K50),2),ROUND(MinBase2Day*(1+ExpressFuelSurcharge),2),ROUND(((1-(TwoDayDiscount_21_Up+FedExExrpessEarnedDiscount))*'2Day Base'!K50)*(1+ExpressFuelSurcharge),2)))*(1+FedEx_Markup),2)</f>
        <v>242.79</v>
      </c>
      <c r="L53" s="218">
        <f>ROUND((IF(MinBase2Day&gt;ROUND(((1-(TwoDayDiscount_21_Up+FedExExrpessEarnedDiscount))*'2Day Base'!L50),2),ROUND(MinBase2Day*(1+ExpressFuelSurcharge),2),ROUND(((1-(TwoDayDiscount_21_Up+FedExExrpessEarnedDiscount))*'2Day Base'!L50)*(1+ExpressFuelSurcharge),2)))*(1+FedEx_Markup),2)</f>
        <v>242.79</v>
      </c>
    </row>
    <row r="54" spans="1:12" ht="12.75" customHeight="1">
      <c r="A54" s="217">
        <v>49</v>
      </c>
      <c r="B54" s="218">
        <f>ROUND((IF(MinBase2Day&gt;ROUND(((1-(TwoDayDiscount_21_Up+FedExExrpessEarnedDiscount))*'2Day Base'!B51),2),ROUND(MinBase2Day*(1+ExpressFuelSurcharge),2),ROUND(((1-(TwoDayDiscount_21_Up+FedExExrpessEarnedDiscount))*'2Day Base'!B51)*(1+ExpressFuelSurcharge),2)))*(1+FedEx_Markup),2)</f>
        <v>56.42</v>
      </c>
      <c r="C54" s="218">
        <f>ROUND((IF(MinBase2Day&gt;ROUND(((1-(TwoDayDiscount_21_Up+FedExExrpessEarnedDiscount))*'2Day Base'!C51),2),ROUND(MinBase2Day*(1+ExpressFuelSurcharge),2),ROUND(((1-(TwoDayDiscount_21_Up+FedExExrpessEarnedDiscount))*'2Day Base'!C51)*(1+ExpressFuelSurcharge),2)))*(1+FedEx_Markup),2)</f>
        <v>69.12</v>
      </c>
      <c r="D54" s="218">
        <f>ROUND((IF(MinBase2Day&gt;ROUND(((1-(TwoDayDiscount_21_Up+FedExExrpessEarnedDiscount))*'2Day Base'!D51),2),ROUND(MinBase2Day*(1+ExpressFuelSurcharge),2),ROUND(((1-(TwoDayDiscount_21_Up+FedExExrpessEarnedDiscount))*'2Day Base'!D51)*(1+ExpressFuelSurcharge),2)))*(1+FedEx_Markup),2)</f>
        <v>88.01</v>
      </c>
      <c r="E54" s="218">
        <f>ROUND((IF(MinBase2Day&gt;ROUND(((1-(TwoDayDiscount_21_Up+FedExExrpessEarnedDiscount))*'2Day Base'!E51),2),ROUND(MinBase2Day*(1+ExpressFuelSurcharge),2),ROUND(((1-(TwoDayDiscount_21_Up+FedExExrpessEarnedDiscount))*'2Day Base'!E51)*(1+ExpressFuelSurcharge),2)))*(1+FedEx_Markup),2)</f>
        <v>131.19999999999999</v>
      </c>
      <c r="F54" s="218">
        <f>ROUND((IF(MinBase2Day&gt;ROUND(((1-(TwoDayDiscount_21_Up+FedExExrpessEarnedDiscount))*'2Day Base'!F51),2),ROUND(MinBase2Day*(1+ExpressFuelSurcharge),2),ROUND(((1-(TwoDayDiscount_21_Up+FedExExrpessEarnedDiscount))*'2Day Base'!F51)*(1+ExpressFuelSurcharge),2)))*(1+FedEx_Markup),2)</f>
        <v>215.96</v>
      </c>
      <c r="G54" s="218">
        <f>ROUND((IF(MinBase2Day&gt;ROUND(((1-(TwoDayDiscount_21_Up+FedExExrpessEarnedDiscount))*'2Day Base'!G51),2),ROUND(MinBase2Day*(1+ExpressFuelSurcharge),2),ROUND(((1-(TwoDayDiscount_21_Up+FedExExrpessEarnedDiscount))*'2Day Base'!G51)*(1+ExpressFuelSurcharge),2)))*(1+FedEx_Markup),2)</f>
        <v>228.87</v>
      </c>
      <c r="H54" s="218">
        <f>ROUND((IF(MinBase2Day&gt;ROUND(((1-(TwoDayDiscount_21_Up+FedExExrpessEarnedDiscount))*'2Day Base'!H51),2),ROUND(MinBase2Day*(1+ExpressFuelSurcharge),2),ROUND(((1-(TwoDayDiscount_21_Up+FedExExrpessEarnedDiscount))*'2Day Base'!H51)*(1+ExpressFuelSurcharge),2)))*(1+FedEx_Markup),2)</f>
        <v>233.46</v>
      </c>
      <c r="I54" s="218">
        <f>ROUND((IF(MinBase2Day&gt;ROUND(((1-(TwoDayDiscount_21_Up+FedExExrpessEarnedDiscount))*'2Day Base'!I51),2),ROUND(MinBase2Day*(1+ExpressFuelSurcharge),2),ROUND(((1-(TwoDayDiscount_21_Up+FedExExrpessEarnedDiscount))*'2Day Base'!I51)*(1+ExpressFuelSurcharge),2)))*(1+FedEx_Markup),2)</f>
        <v>238.14</v>
      </c>
      <c r="J54" s="218">
        <f>ROUND((IF(MinBase2Day&gt;ROUND(((1-(TwoDayDiscount_21_Up+FedExExrpessEarnedDiscount))*'2Day Base'!J51),2),ROUND(MinBase2Day*(1+ExpressFuelSurcharge),2),ROUND(((1-(TwoDayDiscount_21_Up+FedExExrpessEarnedDiscount))*'2Day Base'!J51)*(1+ExpressFuelSurcharge),2)))*(1+FedEx_Markup),2)</f>
        <v>238.14</v>
      </c>
      <c r="K54" s="218">
        <f>ROUND((IF(MinBase2Day&gt;ROUND(((1-(TwoDayDiscount_21_Up+FedExExrpessEarnedDiscount))*'2Day Base'!K51),2),ROUND(MinBase2Day*(1+ExpressFuelSurcharge),2),ROUND(((1-(TwoDayDiscount_21_Up+FedExExrpessEarnedDiscount))*'2Day Base'!K51)*(1+ExpressFuelSurcharge),2)))*(1+FedEx_Markup),2)</f>
        <v>242.9</v>
      </c>
      <c r="L54" s="218">
        <f>ROUND((IF(MinBase2Day&gt;ROUND(((1-(TwoDayDiscount_21_Up+FedExExrpessEarnedDiscount))*'2Day Base'!L51),2),ROUND(MinBase2Day*(1+ExpressFuelSurcharge),2),ROUND(((1-(TwoDayDiscount_21_Up+FedExExrpessEarnedDiscount))*'2Day Base'!L51)*(1+ExpressFuelSurcharge),2)))*(1+FedEx_Markup),2)</f>
        <v>242.9</v>
      </c>
    </row>
    <row r="55" spans="1:12" ht="12.75" customHeight="1">
      <c r="A55" s="217">
        <v>50</v>
      </c>
      <c r="B55" s="218">
        <f>ROUND((IF(MinBase2Day&gt;ROUND(((1-(TwoDayDiscount_21_Up+FedExExrpessEarnedDiscount))*'2Day Base'!B52),2),ROUND(MinBase2Day*(1+ExpressFuelSurcharge),2),ROUND(((1-(TwoDayDiscount_21_Up+FedExExrpessEarnedDiscount))*'2Day Base'!B52)*(1+ExpressFuelSurcharge),2)))*(1+FedEx_Markup),2)</f>
        <v>56.57</v>
      </c>
      <c r="C55" s="218">
        <f>ROUND((IF(MinBase2Day&gt;ROUND(((1-(TwoDayDiscount_21_Up+FedExExrpessEarnedDiscount))*'2Day Base'!C52),2),ROUND(MinBase2Day*(1+ExpressFuelSurcharge),2),ROUND(((1-(TwoDayDiscount_21_Up+FedExExrpessEarnedDiscount))*'2Day Base'!C52)*(1+ExpressFuelSurcharge),2)))*(1+FedEx_Markup),2)</f>
        <v>70.319999999999993</v>
      </c>
      <c r="D55" s="218">
        <f>ROUND((IF(MinBase2Day&gt;ROUND(((1-(TwoDayDiscount_21_Up+FedExExrpessEarnedDiscount))*'2Day Base'!D52),2),ROUND(MinBase2Day*(1+ExpressFuelSurcharge),2),ROUND(((1-(TwoDayDiscount_21_Up+FedExExrpessEarnedDiscount))*'2Day Base'!D52)*(1+ExpressFuelSurcharge),2)))*(1+FedEx_Markup),2)</f>
        <v>92.01</v>
      </c>
      <c r="E55" s="218">
        <f>ROUND((IF(MinBase2Day&gt;ROUND(((1-(TwoDayDiscount_21_Up+FedExExrpessEarnedDiscount))*'2Day Base'!E52),2),ROUND(MinBase2Day*(1+ExpressFuelSurcharge),2),ROUND(((1-(TwoDayDiscount_21_Up+FedExExrpessEarnedDiscount))*'2Day Base'!E52)*(1+ExpressFuelSurcharge),2)))*(1+FedEx_Markup),2)</f>
        <v>131.46</v>
      </c>
      <c r="F55" s="218">
        <f>ROUND((IF(MinBase2Day&gt;ROUND(((1-(TwoDayDiscount_21_Up+FedExExrpessEarnedDiscount))*'2Day Base'!F52),2),ROUND(MinBase2Day*(1+ExpressFuelSurcharge),2),ROUND(((1-(TwoDayDiscount_21_Up+FedExExrpessEarnedDiscount))*'2Day Base'!F52)*(1+ExpressFuelSurcharge),2)))*(1+FedEx_Markup),2)</f>
        <v>219.65</v>
      </c>
      <c r="G55" s="218">
        <f>ROUND((IF(MinBase2Day&gt;ROUND(((1-(TwoDayDiscount_21_Up+FedExExrpessEarnedDiscount))*'2Day Base'!G52),2),ROUND(MinBase2Day*(1+ExpressFuelSurcharge),2),ROUND(((1-(TwoDayDiscount_21_Up+FedExExrpessEarnedDiscount))*'2Day Base'!G52)*(1+ExpressFuelSurcharge),2)))*(1+FedEx_Markup),2)</f>
        <v>229.24</v>
      </c>
      <c r="H55" s="218">
        <f>ROUND((IF(MinBase2Day&gt;ROUND(((1-(TwoDayDiscount_21_Up+FedExExrpessEarnedDiscount))*'2Day Base'!H52),2),ROUND(MinBase2Day*(1+ExpressFuelSurcharge),2),ROUND(((1-(TwoDayDiscount_21_Up+FedExExrpessEarnedDiscount))*'2Day Base'!H52)*(1+ExpressFuelSurcharge),2)))*(1+FedEx_Markup),2)</f>
        <v>233.83</v>
      </c>
      <c r="I55" s="218">
        <f>ROUND((IF(MinBase2Day&gt;ROUND(((1-(TwoDayDiscount_21_Up+FedExExrpessEarnedDiscount))*'2Day Base'!I52),2),ROUND(MinBase2Day*(1+ExpressFuelSurcharge),2),ROUND(((1-(TwoDayDiscount_21_Up+FedExExrpessEarnedDiscount))*'2Day Base'!I52)*(1+ExpressFuelSurcharge),2)))*(1+FedEx_Markup),2)</f>
        <v>238.52</v>
      </c>
      <c r="J55" s="218">
        <f>ROUND((IF(MinBase2Day&gt;ROUND(((1-(TwoDayDiscount_21_Up+FedExExrpessEarnedDiscount))*'2Day Base'!J52),2),ROUND(MinBase2Day*(1+ExpressFuelSurcharge),2),ROUND(((1-(TwoDayDiscount_21_Up+FedExExrpessEarnedDiscount))*'2Day Base'!J52)*(1+ExpressFuelSurcharge),2)))*(1+FedEx_Markup),2)</f>
        <v>238.52</v>
      </c>
      <c r="K55" s="218">
        <f>ROUND((IF(MinBase2Day&gt;ROUND(((1-(TwoDayDiscount_21_Up+FedExExrpessEarnedDiscount))*'2Day Base'!K52),2),ROUND(MinBase2Day*(1+ExpressFuelSurcharge),2),ROUND(((1-(TwoDayDiscount_21_Up+FedExExrpessEarnedDiscount))*'2Day Base'!K52)*(1+ExpressFuelSurcharge),2)))*(1+FedEx_Markup),2)</f>
        <v>243.29</v>
      </c>
      <c r="L55" s="218">
        <f>ROUND((IF(MinBase2Day&gt;ROUND(((1-(TwoDayDiscount_21_Up+FedExExrpessEarnedDiscount))*'2Day Base'!L52),2),ROUND(MinBase2Day*(1+ExpressFuelSurcharge),2),ROUND(((1-(TwoDayDiscount_21_Up+FedExExrpessEarnedDiscount))*'2Day Base'!L52)*(1+ExpressFuelSurcharge),2)))*(1+FedEx_Markup),2)</f>
        <v>243.29</v>
      </c>
    </row>
    <row r="56" spans="1:12" ht="12.75" customHeight="1">
      <c r="A56" s="217">
        <v>51</v>
      </c>
      <c r="B56" s="218">
        <f>ROUND((IF(MinBase2Day&gt;ROUND(((1-(TwoDayDiscount_21_Up+FedExExrpessEarnedDiscount))*'2Day Base'!B53),2),ROUND(MinBase2Day*(1+ExpressFuelSurcharge),2),ROUND(((1-(TwoDayDiscount_21_Up+FedExExrpessEarnedDiscount))*'2Day Base'!B53)*(1+ExpressFuelSurcharge),2)))*(1+FedEx_Markup),2)</f>
        <v>57.1</v>
      </c>
      <c r="C56" s="218">
        <f>ROUND((IF(MinBase2Day&gt;ROUND(((1-(TwoDayDiscount_21_Up+FedExExrpessEarnedDiscount))*'2Day Base'!C53),2),ROUND(MinBase2Day*(1+ExpressFuelSurcharge),2),ROUND(((1-(TwoDayDiscount_21_Up+FedExExrpessEarnedDiscount))*'2Day Base'!C53)*(1+ExpressFuelSurcharge),2)))*(1+FedEx_Markup),2)</f>
        <v>70.62</v>
      </c>
      <c r="D56" s="218">
        <f>ROUND((IF(MinBase2Day&gt;ROUND(((1-(TwoDayDiscount_21_Up+FedExExrpessEarnedDiscount))*'2Day Base'!D53),2),ROUND(MinBase2Day*(1+ExpressFuelSurcharge),2),ROUND(((1-(TwoDayDiscount_21_Up+FedExExrpessEarnedDiscount))*'2Day Base'!D53)*(1+ExpressFuelSurcharge),2)))*(1+FedEx_Markup),2)</f>
        <v>94.06</v>
      </c>
      <c r="E56" s="218">
        <f>ROUND((IF(MinBase2Day&gt;ROUND(((1-(TwoDayDiscount_21_Up+FedExExrpessEarnedDiscount))*'2Day Base'!E53),2),ROUND(MinBase2Day*(1+ExpressFuelSurcharge),2),ROUND(((1-(TwoDayDiscount_21_Up+FedExExrpessEarnedDiscount))*'2Day Base'!E53)*(1+ExpressFuelSurcharge),2)))*(1+FedEx_Markup),2)</f>
        <v>136.41999999999999</v>
      </c>
      <c r="F56" s="218">
        <f>ROUND((IF(MinBase2Day&gt;ROUND(((1-(TwoDayDiscount_21_Up+FedExExrpessEarnedDiscount))*'2Day Base'!F53),2),ROUND(MinBase2Day*(1+ExpressFuelSurcharge),2),ROUND(((1-(TwoDayDiscount_21_Up+FedExExrpessEarnedDiscount))*'2Day Base'!F53)*(1+ExpressFuelSurcharge),2)))*(1+FedEx_Markup),2)</f>
        <v>231.07</v>
      </c>
      <c r="G56" s="218">
        <f>ROUND((IF(MinBase2Day&gt;ROUND(((1-(TwoDayDiscount_21_Up+FedExExrpessEarnedDiscount))*'2Day Base'!G53),2),ROUND(MinBase2Day*(1+ExpressFuelSurcharge),2),ROUND(((1-(TwoDayDiscount_21_Up+FedExExrpessEarnedDiscount))*'2Day Base'!G53)*(1+ExpressFuelSurcharge),2)))*(1+FedEx_Markup),2)</f>
        <v>236.56</v>
      </c>
      <c r="H56" s="218">
        <f>ROUND((IF(MinBase2Day&gt;ROUND(((1-(TwoDayDiscount_21_Up+FedExExrpessEarnedDiscount))*'2Day Base'!H53),2),ROUND(MinBase2Day*(1+ExpressFuelSurcharge),2),ROUND(((1-(TwoDayDiscount_21_Up+FedExExrpessEarnedDiscount))*'2Day Base'!H53)*(1+ExpressFuelSurcharge),2)))*(1+FedEx_Markup),2)</f>
        <v>241.29</v>
      </c>
      <c r="I56" s="218">
        <f>ROUND((IF(MinBase2Day&gt;ROUND(((1-(TwoDayDiscount_21_Up+FedExExrpessEarnedDiscount))*'2Day Base'!I53),2),ROUND(MinBase2Day*(1+ExpressFuelSurcharge),2),ROUND(((1-(TwoDayDiscount_21_Up+FedExExrpessEarnedDiscount))*'2Day Base'!I53)*(1+ExpressFuelSurcharge),2)))*(1+FedEx_Markup),2)</f>
        <v>246.12</v>
      </c>
      <c r="J56" s="218">
        <f>ROUND((IF(MinBase2Day&gt;ROUND(((1-(TwoDayDiscount_21_Up+FedExExrpessEarnedDiscount))*'2Day Base'!J53),2),ROUND(MinBase2Day*(1+ExpressFuelSurcharge),2),ROUND(((1-(TwoDayDiscount_21_Up+FedExExrpessEarnedDiscount))*'2Day Base'!J53)*(1+ExpressFuelSurcharge),2)))*(1+FedEx_Markup),2)</f>
        <v>246.12</v>
      </c>
      <c r="K56" s="218">
        <f>ROUND((IF(MinBase2Day&gt;ROUND(((1-(TwoDayDiscount_21_Up+FedExExrpessEarnedDiscount))*'2Day Base'!K53),2),ROUND(MinBase2Day*(1+ExpressFuelSurcharge),2),ROUND(((1-(TwoDayDiscount_21_Up+FedExExrpessEarnedDiscount))*'2Day Base'!K53)*(1+ExpressFuelSurcharge),2)))*(1+FedEx_Markup),2)</f>
        <v>251.06</v>
      </c>
      <c r="L56" s="218">
        <f>ROUND((IF(MinBase2Day&gt;ROUND(((1-(TwoDayDiscount_21_Up+FedExExrpessEarnedDiscount))*'2Day Base'!L53),2),ROUND(MinBase2Day*(1+ExpressFuelSurcharge),2),ROUND(((1-(TwoDayDiscount_21_Up+FedExExrpessEarnedDiscount))*'2Day Base'!L53)*(1+ExpressFuelSurcharge),2)))*(1+FedEx_Markup),2)</f>
        <v>251.06</v>
      </c>
    </row>
    <row r="57" spans="1:12" ht="12.75" customHeight="1">
      <c r="A57" s="217">
        <v>52</v>
      </c>
      <c r="B57" s="218">
        <f>ROUND((IF(MinBase2Day&gt;ROUND(((1-(TwoDayDiscount_21_Up+FedExExrpessEarnedDiscount))*'2Day Base'!B54),2),ROUND(MinBase2Day*(1+ExpressFuelSurcharge),2),ROUND(((1-(TwoDayDiscount_21_Up+FedExExrpessEarnedDiscount))*'2Day Base'!B54)*(1+ExpressFuelSurcharge),2)))*(1+FedEx_Markup),2)</f>
        <v>61.71</v>
      </c>
      <c r="C57" s="218">
        <f>ROUND((IF(MinBase2Day&gt;ROUND(((1-(TwoDayDiscount_21_Up+FedExExrpessEarnedDiscount))*'2Day Base'!C54),2),ROUND(MinBase2Day*(1+ExpressFuelSurcharge),2),ROUND(((1-(TwoDayDiscount_21_Up+FedExExrpessEarnedDiscount))*'2Day Base'!C54)*(1+ExpressFuelSurcharge),2)))*(1+FedEx_Markup),2)</f>
        <v>74.42</v>
      </c>
      <c r="D57" s="218">
        <f>ROUND((IF(MinBase2Day&gt;ROUND(((1-(TwoDayDiscount_21_Up+FedExExrpessEarnedDiscount))*'2Day Base'!D54),2),ROUND(MinBase2Day*(1+ExpressFuelSurcharge),2),ROUND(((1-(TwoDayDiscount_21_Up+FedExExrpessEarnedDiscount))*'2Day Base'!D54)*(1+ExpressFuelSurcharge),2)))*(1+FedEx_Markup),2)</f>
        <v>97.07</v>
      </c>
      <c r="E57" s="218">
        <f>ROUND((IF(MinBase2Day&gt;ROUND(((1-(TwoDayDiscount_21_Up+FedExExrpessEarnedDiscount))*'2Day Base'!E54),2),ROUND(MinBase2Day*(1+ExpressFuelSurcharge),2),ROUND(((1-(TwoDayDiscount_21_Up+FedExExrpessEarnedDiscount))*'2Day Base'!E54)*(1+ExpressFuelSurcharge),2)))*(1+FedEx_Markup),2)</f>
        <v>143.91999999999999</v>
      </c>
      <c r="F57" s="218">
        <f>ROUND((IF(MinBase2Day&gt;ROUND(((1-(TwoDayDiscount_21_Up+FedExExrpessEarnedDiscount))*'2Day Base'!F54),2),ROUND(MinBase2Day*(1+ExpressFuelSurcharge),2),ROUND(((1-(TwoDayDiscount_21_Up+FedExExrpessEarnedDiscount))*'2Day Base'!F54)*(1+ExpressFuelSurcharge),2)))*(1+FedEx_Markup),2)</f>
        <v>234.59</v>
      </c>
      <c r="G57" s="218">
        <f>ROUND((IF(MinBase2Day&gt;ROUND(((1-(TwoDayDiscount_21_Up+FedExExrpessEarnedDiscount))*'2Day Base'!G54),2),ROUND(MinBase2Day*(1+ExpressFuelSurcharge),2),ROUND(((1-(TwoDayDiscount_21_Up+FedExExrpessEarnedDiscount))*'2Day Base'!G54)*(1+ExpressFuelSurcharge),2)))*(1+FedEx_Markup),2)</f>
        <v>253.44</v>
      </c>
      <c r="H57" s="218">
        <f>ROUND((IF(MinBase2Day&gt;ROUND(((1-(TwoDayDiscount_21_Up+FedExExrpessEarnedDiscount))*'2Day Base'!H54),2),ROUND(MinBase2Day*(1+ExpressFuelSurcharge),2),ROUND(((1-(TwoDayDiscount_21_Up+FedExExrpessEarnedDiscount))*'2Day Base'!H54)*(1+ExpressFuelSurcharge),2)))*(1+FedEx_Markup),2)</f>
        <v>259.33999999999997</v>
      </c>
      <c r="I57" s="218">
        <f>ROUND((IF(MinBase2Day&gt;ROUND(((1-(TwoDayDiscount_21_Up+FedExExrpessEarnedDiscount))*'2Day Base'!I54),2),ROUND(MinBase2Day*(1+ExpressFuelSurcharge),2),ROUND(((1-(TwoDayDiscount_21_Up+FedExExrpessEarnedDiscount))*'2Day Base'!I54)*(1+ExpressFuelSurcharge),2)))*(1+FedEx_Markup),2)</f>
        <v>264.52</v>
      </c>
      <c r="J57" s="218">
        <f>ROUND((IF(MinBase2Day&gt;ROUND(((1-(TwoDayDiscount_21_Up+FedExExrpessEarnedDiscount))*'2Day Base'!J54),2),ROUND(MinBase2Day*(1+ExpressFuelSurcharge),2),ROUND(((1-(TwoDayDiscount_21_Up+FedExExrpessEarnedDiscount))*'2Day Base'!J54)*(1+ExpressFuelSurcharge),2)))*(1+FedEx_Markup),2)</f>
        <v>264.52</v>
      </c>
      <c r="K57" s="218">
        <f>ROUND((IF(MinBase2Day&gt;ROUND(((1-(TwoDayDiscount_21_Up+FedExExrpessEarnedDiscount))*'2Day Base'!K54),2),ROUND(MinBase2Day*(1+ExpressFuelSurcharge),2),ROUND(((1-(TwoDayDiscount_21_Up+FedExExrpessEarnedDiscount))*'2Day Base'!K54)*(1+ExpressFuelSurcharge),2)))*(1+FedEx_Markup),2)</f>
        <v>272.62</v>
      </c>
      <c r="L57" s="218">
        <f>ROUND((IF(MinBase2Day&gt;ROUND(((1-(TwoDayDiscount_21_Up+FedExExrpessEarnedDiscount))*'2Day Base'!L54),2),ROUND(MinBase2Day*(1+ExpressFuelSurcharge),2),ROUND(((1-(TwoDayDiscount_21_Up+FedExExrpessEarnedDiscount))*'2Day Base'!L54)*(1+ExpressFuelSurcharge),2)))*(1+FedEx_Markup),2)</f>
        <v>272.62</v>
      </c>
    </row>
    <row r="58" spans="1:12" ht="12.75" customHeight="1">
      <c r="A58" s="217">
        <v>53</v>
      </c>
      <c r="B58" s="218">
        <f>ROUND((IF(MinBase2Day&gt;ROUND(((1-(TwoDayDiscount_21_Up+FedExExrpessEarnedDiscount))*'2Day Base'!B55),2),ROUND(MinBase2Day*(1+ExpressFuelSurcharge),2),ROUND(((1-(TwoDayDiscount_21_Up+FedExExrpessEarnedDiscount))*'2Day Base'!B55)*(1+ExpressFuelSurcharge),2)))*(1+FedEx_Markup),2)</f>
        <v>62.95</v>
      </c>
      <c r="C58" s="218">
        <f>ROUND((IF(MinBase2Day&gt;ROUND(((1-(TwoDayDiscount_21_Up+FedExExrpessEarnedDiscount))*'2Day Base'!C55),2),ROUND(MinBase2Day*(1+ExpressFuelSurcharge),2),ROUND(((1-(TwoDayDiscount_21_Up+FedExExrpessEarnedDiscount))*'2Day Base'!C55)*(1+ExpressFuelSurcharge),2)))*(1+FedEx_Markup),2)</f>
        <v>75.930000000000007</v>
      </c>
      <c r="D58" s="218">
        <f>ROUND((IF(MinBase2Day&gt;ROUND(((1-(TwoDayDiscount_21_Up+FedExExrpessEarnedDiscount))*'2Day Base'!D55),2),ROUND(MinBase2Day*(1+ExpressFuelSurcharge),2),ROUND(((1-(TwoDayDiscount_21_Up+FedExExrpessEarnedDiscount))*'2Day Base'!D55)*(1+ExpressFuelSurcharge),2)))*(1+FedEx_Markup),2)</f>
        <v>98.44</v>
      </c>
      <c r="E58" s="218">
        <f>ROUND((IF(MinBase2Day&gt;ROUND(((1-(TwoDayDiscount_21_Up+FedExExrpessEarnedDiscount))*'2Day Base'!E55),2),ROUND(MinBase2Day*(1+ExpressFuelSurcharge),2),ROUND(((1-(TwoDayDiscount_21_Up+FedExExrpessEarnedDiscount))*'2Day Base'!E55)*(1+ExpressFuelSurcharge),2)))*(1+FedEx_Markup),2)</f>
        <v>144.97999999999999</v>
      </c>
      <c r="F58" s="218">
        <f>ROUND((IF(MinBase2Day&gt;ROUND(((1-(TwoDayDiscount_21_Up+FedExExrpessEarnedDiscount))*'2Day Base'!F55),2),ROUND(MinBase2Day*(1+ExpressFuelSurcharge),2),ROUND(((1-(TwoDayDiscount_21_Up+FedExExrpessEarnedDiscount))*'2Day Base'!F55)*(1+ExpressFuelSurcharge),2)))*(1+FedEx_Markup),2)</f>
        <v>234.95</v>
      </c>
      <c r="G58" s="218">
        <f>ROUND((IF(MinBase2Day&gt;ROUND(((1-(TwoDayDiscount_21_Up+FedExExrpessEarnedDiscount))*'2Day Base'!G55),2),ROUND(MinBase2Day*(1+ExpressFuelSurcharge),2),ROUND(((1-(TwoDayDiscount_21_Up+FedExExrpessEarnedDiscount))*'2Day Base'!G55)*(1+ExpressFuelSurcharge),2)))*(1+FedEx_Markup),2)</f>
        <v>256.02</v>
      </c>
      <c r="H58" s="218">
        <f>ROUND((IF(MinBase2Day&gt;ROUND(((1-(TwoDayDiscount_21_Up+FedExExrpessEarnedDiscount))*'2Day Base'!H55),2),ROUND(MinBase2Day*(1+ExpressFuelSurcharge),2),ROUND(((1-(TwoDayDiscount_21_Up+FedExExrpessEarnedDiscount))*'2Day Base'!H55)*(1+ExpressFuelSurcharge),2)))*(1+FedEx_Markup),2)</f>
        <v>261.14</v>
      </c>
      <c r="I58" s="218">
        <f>ROUND((IF(MinBase2Day&gt;ROUND(((1-(TwoDayDiscount_21_Up+FedExExrpessEarnedDiscount))*'2Day Base'!I55),2),ROUND(MinBase2Day*(1+ExpressFuelSurcharge),2),ROUND(((1-(TwoDayDiscount_21_Up+FedExExrpessEarnedDiscount))*'2Day Base'!I55)*(1+ExpressFuelSurcharge),2)))*(1+FedEx_Markup),2)</f>
        <v>266.37</v>
      </c>
      <c r="J58" s="218">
        <f>ROUND((IF(MinBase2Day&gt;ROUND(((1-(TwoDayDiscount_21_Up+FedExExrpessEarnedDiscount))*'2Day Base'!J55),2),ROUND(MinBase2Day*(1+ExpressFuelSurcharge),2),ROUND(((1-(TwoDayDiscount_21_Up+FedExExrpessEarnedDiscount))*'2Day Base'!J55)*(1+ExpressFuelSurcharge),2)))*(1+FedEx_Markup),2)</f>
        <v>266.37</v>
      </c>
      <c r="K58" s="218">
        <f>ROUND((IF(MinBase2Day&gt;ROUND(((1-(TwoDayDiscount_21_Up+FedExExrpessEarnedDiscount))*'2Day Base'!K55),2),ROUND(MinBase2Day*(1+ExpressFuelSurcharge),2),ROUND(((1-(TwoDayDiscount_21_Up+FedExExrpessEarnedDiscount))*'2Day Base'!K55)*(1+ExpressFuelSurcharge),2)))*(1+FedEx_Markup),2)</f>
        <v>274.77999999999997</v>
      </c>
      <c r="L58" s="218">
        <f>ROUND((IF(MinBase2Day&gt;ROUND(((1-(TwoDayDiscount_21_Up+FedExExrpessEarnedDiscount))*'2Day Base'!L55),2),ROUND(MinBase2Day*(1+ExpressFuelSurcharge),2),ROUND(((1-(TwoDayDiscount_21_Up+FedExExrpessEarnedDiscount))*'2Day Base'!L55)*(1+ExpressFuelSurcharge),2)))*(1+FedEx_Markup),2)</f>
        <v>274.77999999999997</v>
      </c>
    </row>
    <row r="59" spans="1:12" ht="12.75" customHeight="1">
      <c r="A59" s="217">
        <v>54</v>
      </c>
      <c r="B59" s="218">
        <f>ROUND((IF(MinBase2Day&gt;ROUND(((1-(TwoDayDiscount_21_Up+FedExExrpessEarnedDiscount))*'2Day Base'!B56),2),ROUND(MinBase2Day*(1+ExpressFuelSurcharge),2),ROUND(((1-(TwoDayDiscount_21_Up+FedExExrpessEarnedDiscount))*'2Day Base'!B56)*(1+ExpressFuelSurcharge),2)))*(1+FedEx_Markup),2)</f>
        <v>63.84</v>
      </c>
      <c r="C59" s="218">
        <f>ROUND((IF(MinBase2Day&gt;ROUND(((1-(TwoDayDiscount_21_Up+FedExExrpessEarnedDiscount))*'2Day Base'!C56),2),ROUND(MinBase2Day*(1+ExpressFuelSurcharge),2),ROUND(((1-(TwoDayDiscount_21_Up+FedExExrpessEarnedDiscount))*'2Day Base'!C56)*(1+ExpressFuelSurcharge),2)))*(1+FedEx_Markup),2)</f>
        <v>76.849999999999994</v>
      </c>
      <c r="D59" s="218">
        <f>ROUND((IF(MinBase2Day&gt;ROUND(((1-(TwoDayDiscount_21_Up+FedExExrpessEarnedDiscount))*'2Day Base'!D56),2),ROUND(MinBase2Day*(1+ExpressFuelSurcharge),2),ROUND(((1-(TwoDayDiscount_21_Up+FedExExrpessEarnedDiscount))*'2Day Base'!D56)*(1+ExpressFuelSurcharge),2)))*(1+FedEx_Markup),2)</f>
        <v>99.23</v>
      </c>
      <c r="E59" s="218">
        <f>ROUND((IF(MinBase2Day&gt;ROUND(((1-(TwoDayDiscount_21_Up+FedExExrpessEarnedDiscount))*'2Day Base'!E56),2),ROUND(MinBase2Day*(1+ExpressFuelSurcharge),2),ROUND(((1-(TwoDayDiscount_21_Up+FedExExrpessEarnedDiscount))*'2Day Base'!E56)*(1+ExpressFuelSurcharge),2)))*(1+FedEx_Markup),2)</f>
        <v>145.33000000000001</v>
      </c>
      <c r="F59" s="218">
        <f>ROUND((IF(MinBase2Day&gt;ROUND(((1-(TwoDayDiscount_21_Up+FedExExrpessEarnedDiscount))*'2Day Base'!F56),2),ROUND(MinBase2Day*(1+ExpressFuelSurcharge),2),ROUND(((1-(TwoDayDiscount_21_Up+FedExExrpessEarnedDiscount))*'2Day Base'!F56)*(1+ExpressFuelSurcharge),2)))*(1+FedEx_Markup),2)</f>
        <v>235.46</v>
      </c>
      <c r="G59" s="218">
        <f>ROUND((IF(MinBase2Day&gt;ROUND(((1-(TwoDayDiscount_21_Up+FedExExrpessEarnedDiscount))*'2Day Base'!G56),2),ROUND(MinBase2Day*(1+ExpressFuelSurcharge),2),ROUND(((1-(TwoDayDiscount_21_Up+FedExExrpessEarnedDiscount))*'2Day Base'!G56)*(1+ExpressFuelSurcharge),2)))*(1+FedEx_Markup),2)</f>
        <v>256.33999999999997</v>
      </c>
      <c r="H59" s="218">
        <f>ROUND((IF(MinBase2Day&gt;ROUND(((1-(TwoDayDiscount_21_Up+FedExExrpessEarnedDiscount))*'2Day Base'!H56),2),ROUND(MinBase2Day*(1+ExpressFuelSurcharge),2),ROUND(((1-(TwoDayDiscount_21_Up+FedExExrpessEarnedDiscount))*'2Day Base'!H56)*(1+ExpressFuelSurcharge),2)))*(1+FedEx_Markup),2)</f>
        <v>261.48</v>
      </c>
      <c r="I59" s="218">
        <f>ROUND((IF(MinBase2Day&gt;ROUND(((1-(TwoDayDiscount_21_Up+FedExExrpessEarnedDiscount))*'2Day Base'!I56),2),ROUND(MinBase2Day*(1+ExpressFuelSurcharge),2),ROUND(((1-(TwoDayDiscount_21_Up+FedExExrpessEarnedDiscount))*'2Day Base'!I56)*(1+ExpressFuelSurcharge),2)))*(1+FedEx_Markup),2)</f>
        <v>266.72000000000003</v>
      </c>
      <c r="J59" s="218">
        <f>ROUND((IF(MinBase2Day&gt;ROUND(((1-(TwoDayDiscount_21_Up+FedExExrpessEarnedDiscount))*'2Day Base'!J56),2),ROUND(MinBase2Day*(1+ExpressFuelSurcharge),2),ROUND(((1-(TwoDayDiscount_21_Up+FedExExrpessEarnedDiscount))*'2Day Base'!J56)*(1+ExpressFuelSurcharge),2)))*(1+FedEx_Markup),2)</f>
        <v>266.72000000000003</v>
      </c>
      <c r="K59" s="218">
        <f>ROUND((IF(MinBase2Day&gt;ROUND(((1-(TwoDayDiscount_21_Up+FedExExrpessEarnedDiscount))*'2Day Base'!K56),2),ROUND(MinBase2Day*(1+ExpressFuelSurcharge),2),ROUND(((1-(TwoDayDiscount_21_Up+FedExExrpessEarnedDiscount))*'2Day Base'!K56)*(1+ExpressFuelSurcharge),2)))*(1+FedEx_Markup),2)</f>
        <v>275.11</v>
      </c>
      <c r="L59" s="218">
        <f>ROUND((IF(MinBase2Day&gt;ROUND(((1-(TwoDayDiscount_21_Up+FedExExrpessEarnedDiscount))*'2Day Base'!L56),2),ROUND(MinBase2Day*(1+ExpressFuelSurcharge),2),ROUND(((1-(TwoDayDiscount_21_Up+FedExExrpessEarnedDiscount))*'2Day Base'!L56)*(1+ExpressFuelSurcharge),2)))*(1+FedEx_Markup),2)</f>
        <v>275.11</v>
      </c>
    </row>
    <row r="60" spans="1:12" ht="12.75" customHeight="1">
      <c r="A60" s="217">
        <v>55</v>
      </c>
      <c r="B60" s="218">
        <f>ROUND((IF(MinBase2Day&gt;ROUND(((1-(TwoDayDiscount_21_Up+FedExExrpessEarnedDiscount))*'2Day Base'!B57),2),ROUND(MinBase2Day*(1+ExpressFuelSurcharge),2),ROUND(((1-(TwoDayDiscount_21_Up+FedExExrpessEarnedDiscount))*'2Day Base'!B57)*(1+ExpressFuelSurcharge),2)))*(1+FedEx_Markup),2)</f>
        <v>65.010000000000005</v>
      </c>
      <c r="C60" s="218">
        <f>ROUND((IF(MinBase2Day&gt;ROUND(((1-(TwoDayDiscount_21_Up+FedExExrpessEarnedDiscount))*'2Day Base'!C57),2),ROUND(MinBase2Day*(1+ExpressFuelSurcharge),2),ROUND(((1-(TwoDayDiscount_21_Up+FedExExrpessEarnedDiscount))*'2Day Base'!C57)*(1+ExpressFuelSurcharge),2)))*(1+FedEx_Markup),2)</f>
        <v>77.06</v>
      </c>
      <c r="D60" s="218">
        <f>ROUND((IF(MinBase2Day&gt;ROUND(((1-(TwoDayDiscount_21_Up+FedExExrpessEarnedDiscount))*'2Day Base'!D57),2),ROUND(MinBase2Day*(1+ExpressFuelSurcharge),2),ROUND(((1-(TwoDayDiscount_21_Up+FedExExrpessEarnedDiscount))*'2Day Base'!D57)*(1+ExpressFuelSurcharge),2)))*(1+FedEx_Markup),2)</f>
        <v>99.45</v>
      </c>
      <c r="E60" s="218">
        <f>ROUND((IF(MinBase2Day&gt;ROUND(((1-(TwoDayDiscount_21_Up+FedExExrpessEarnedDiscount))*'2Day Base'!E57),2),ROUND(MinBase2Day*(1+ExpressFuelSurcharge),2),ROUND(((1-(TwoDayDiscount_21_Up+FedExExrpessEarnedDiscount))*'2Day Base'!E57)*(1+ExpressFuelSurcharge),2)))*(1+FedEx_Markup),2)</f>
        <v>145.66</v>
      </c>
      <c r="F60" s="218">
        <f>ROUND((IF(MinBase2Day&gt;ROUND(((1-(TwoDayDiscount_21_Up+FedExExrpessEarnedDiscount))*'2Day Base'!F57),2),ROUND(MinBase2Day*(1+ExpressFuelSurcharge),2),ROUND(((1-(TwoDayDiscount_21_Up+FedExExrpessEarnedDiscount))*'2Day Base'!F57)*(1+ExpressFuelSurcharge),2)))*(1+FedEx_Markup),2)</f>
        <v>245.54</v>
      </c>
      <c r="G60" s="218">
        <f>ROUND((IF(MinBase2Day&gt;ROUND(((1-(TwoDayDiscount_21_Up+FedExExrpessEarnedDiscount))*'2Day Base'!G57),2),ROUND(MinBase2Day*(1+ExpressFuelSurcharge),2),ROUND(((1-(TwoDayDiscount_21_Up+FedExExrpessEarnedDiscount))*'2Day Base'!G57)*(1+ExpressFuelSurcharge),2)))*(1+FedEx_Markup),2)</f>
        <v>256.66000000000003</v>
      </c>
      <c r="H60" s="218">
        <f>ROUND((IF(MinBase2Day&gt;ROUND(((1-(TwoDayDiscount_21_Up+FedExExrpessEarnedDiscount))*'2Day Base'!H57),2),ROUND(MinBase2Day*(1+ExpressFuelSurcharge),2),ROUND(((1-(TwoDayDiscount_21_Up+FedExExrpessEarnedDiscount))*'2Day Base'!H57)*(1+ExpressFuelSurcharge),2)))*(1+FedEx_Markup),2)</f>
        <v>261.8</v>
      </c>
      <c r="I60" s="218">
        <f>ROUND((IF(MinBase2Day&gt;ROUND(((1-(TwoDayDiscount_21_Up+FedExExrpessEarnedDiscount))*'2Day Base'!I57),2),ROUND(MinBase2Day*(1+ExpressFuelSurcharge),2),ROUND(((1-(TwoDayDiscount_21_Up+FedExExrpessEarnedDiscount))*'2Day Base'!I57)*(1+ExpressFuelSurcharge),2)))*(1+FedEx_Markup),2)</f>
        <v>267.02999999999997</v>
      </c>
      <c r="J60" s="218">
        <f>ROUND((IF(MinBase2Day&gt;ROUND(((1-(TwoDayDiscount_21_Up+FedExExrpessEarnedDiscount))*'2Day Base'!J57),2),ROUND(MinBase2Day*(1+ExpressFuelSurcharge),2),ROUND(((1-(TwoDayDiscount_21_Up+FedExExrpessEarnedDiscount))*'2Day Base'!J57)*(1+ExpressFuelSurcharge),2)))*(1+FedEx_Markup),2)</f>
        <v>267.02999999999997</v>
      </c>
      <c r="K60" s="218">
        <f>ROUND((IF(MinBase2Day&gt;ROUND(((1-(TwoDayDiscount_21_Up+FedExExrpessEarnedDiscount))*'2Day Base'!K57),2),ROUND(MinBase2Day*(1+ExpressFuelSurcharge),2),ROUND(((1-(TwoDayDiscount_21_Up+FedExExrpessEarnedDiscount))*'2Day Base'!K57)*(1+ExpressFuelSurcharge),2)))*(1+FedEx_Markup),2)</f>
        <v>275.41000000000003</v>
      </c>
      <c r="L60" s="218">
        <f>ROUND((IF(MinBase2Day&gt;ROUND(((1-(TwoDayDiscount_21_Up+FedExExrpessEarnedDiscount))*'2Day Base'!L57),2),ROUND(MinBase2Day*(1+ExpressFuelSurcharge),2),ROUND(((1-(TwoDayDiscount_21_Up+FedExExrpessEarnedDiscount))*'2Day Base'!L57)*(1+ExpressFuelSurcharge),2)))*(1+FedEx_Markup),2)</f>
        <v>275.41000000000003</v>
      </c>
    </row>
    <row r="61" spans="1:12" ht="12.75" customHeight="1">
      <c r="A61" s="217">
        <v>56</v>
      </c>
      <c r="B61" s="218">
        <f>ROUND((IF(MinBase2Day&gt;ROUND(((1-(TwoDayDiscount_21_Up+FedExExrpessEarnedDiscount))*'2Day Base'!B58),2),ROUND(MinBase2Day*(1+ExpressFuelSurcharge),2),ROUND(((1-(TwoDayDiscount_21_Up+FedExExrpessEarnedDiscount))*'2Day Base'!B58)*(1+ExpressFuelSurcharge),2)))*(1+FedEx_Markup),2)</f>
        <v>65.53</v>
      </c>
      <c r="C61" s="218">
        <f>ROUND((IF(MinBase2Day&gt;ROUND(((1-(TwoDayDiscount_21_Up+FedExExrpessEarnedDiscount))*'2Day Base'!C58),2),ROUND(MinBase2Day*(1+ExpressFuelSurcharge),2),ROUND(((1-(TwoDayDiscount_21_Up+FedExExrpessEarnedDiscount))*'2Day Base'!C58)*(1+ExpressFuelSurcharge),2)))*(1+FedEx_Markup),2)</f>
        <v>77.459999999999994</v>
      </c>
      <c r="D61" s="218">
        <f>ROUND((IF(MinBase2Day&gt;ROUND(((1-(TwoDayDiscount_21_Up+FedExExrpessEarnedDiscount))*'2Day Base'!D58),2),ROUND(MinBase2Day*(1+ExpressFuelSurcharge),2),ROUND(((1-(TwoDayDiscount_21_Up+FedExExrpessEarnedDiscount))*'2Day Base'!D58)*(1+ExpressFuelSurcharge),2)))*(1+FedEx_Markup),2)</f>
        <v>101.17</v>
      </c>
      <c r="E61" s="218">
        <f>ROUND((IF(MinBase2Day&gt;ROUND(((1-(TwoDayDiscount_21_Up+FedExExrpessEarnedDiscount))*'2Day Base'!E58),2),ROUND(MinBase2Day*(1+ExpressFuelSurcharge),2),ROUND(((1-(TwoDayDiscount_21_Up+FedExExrpessEarnedDiscount))*'2Day Base'!E58)*(1+ExpressFuelSurcharge),2)))*(1+FedEx_Markup),2)</f>
        <v>148.81</v>
      </c>
      <c r="F61" s="218">
        <f>ROUND((IF(MinBase2Day&gt;ROUND(((1-(TwoDayDiscount_21_Up+FedExExrpessEarnedDiscount))*'2Day Base'!F58),2),ROUND(MinBase2Day*(1+ExpressFuelSurcharge),2),ROUND(((1-(TwoDayDiscount_21_Up+FedExExrpessEarnedDiscount))*'2Day Base'!F58)*(1+ExpressFuelSurcharge),2)))*(1+FedEx_Markup),2)</f>
        <v>246.56</v>
      </c>
      <c r="G61" s="218">
        <f>ROUND((IF(MinBase2Day&gt;ROUND(((1-(TwoDayDiscount_21_Up+FedExExrpessEarnedDiscount))*'2Day Base'!G58),2),ROUND(MinBase2Day*(1+ExpressFuelSurcharge),2),ROUND(((1-(TwoDayDiscount_21_Up+FedExExrpessEarnedDiscount))*'2Day Base'!G58)*(1+ExpressFuelSurcharge),2)))*(1+FedEx_Markup),2)</f>
        <v>256.98</v>
      </c>
      <c r="H61" s="218">
        <f>ROUND((IF(MinBase2Day&gt;ROUND(((1-(TwoDayDiscount_21_Up+FedExExrpessEarnedDiscount))*'2Day Base'!H58),2),ROUND(MinBase2Day*(1+ExpressFuelSurcharge),2),ROUND(((1-(TwoDayDiscount_21_Up+FedExExrpessEarnedDiscount))*'2Day Base'!H58)*(1+ExpressFuelSurcharge),2)))*(1+FedEx_Markup),2)</f>
        <v>262.12</v>
      </c>
      <c r="I61" s="218">
        <f>ROUND((IF(MinBase2Day&gt;ROUND(((1-(TwoDayDiscount_21_Up+FedExExrpessEarnedDiscount))*'2Day Base'!I58),2),ROUND(MinBase2Day*(1+ExpressFuelSurcharge),2),ROUND(((1-(TwoDayDiscount_21_Up+FedExExrpessEarnedDiscount))*'2Day Base'!I58)*(1+ExpressFuelSurcharge),2)))*(1+FedEx_Markup),2)</f>
        <v>267.38</v>
      </c>
      <c r="J61" s="218">
        <f>ROUND((IF(MinBase2Day&gt;ROUND(((1-(TwoDayDiscount_21_Up+FedExExrpessEarnedDiscount))*'2Day Base'!J58),2),ROUND(MinBase2Day*(1+ExpressFuelSurcharge),2),ROUND(((1-(TwoDayDiscount_21_Up+FedExExrpessEarnedDiscount))*'2Day Base'!J58)*(1+ExpressFuelSurcharge),2)))*(1+FedEx_Markup),2)</f>
        <v>267.38</v>
      </c>
      <c r="K61" s="218">
        <f>ROUND((IF(MinBase2Day&gt;ROUND(((1-(TwoDayDiscount_21_Up+FedExExrpessEarnedDiscount))*'2Day Base'!K58),2),ROUND(MinBase2Day*(1+ExpressFuelSurcharge),2),ROUND(((1-(TwoDayDiscount_21_Up+FedExExrpessEarnedDiscount))*'2Day Base'!K58)*(1+ExpressFuelSurcharge),2)))*(1+FedEx_Markup),2)</f>
        <v>275.70999999999998</v>
      </c>
      <c r="L61" s="218">
        <f>ROUND((IF(MinBase2Day&gt;ROUND(((1-(TwoDayDiscount_21_Up+FedExExrpessEarnedDiscount))*'2Day Base'!L58),2),ROUND(MinBase2Day*(1+ExpressFuelSurcharge),2),ROUND(((1-(TwoDayDiscount_21_Up+FedExExrpessEarnedDiscount))*'2Day Base'!L58)*(1+ExpressFuelSurcharge),2)))*(1+FedEx_Markup),2)</f>
        <v>275.70999999999998</v>
      </c>
    </row>
    <row r="62" spans="1:12" ht="12.75" customHeight="1">
      <c r="A62" s="217">
        <v>57</v>
      </c>
      <c r="B62" s="218">
        <f>ROUND((IF(MinBase2Day&gt;ROUND(((1-(TwoDayDiscount_21_Up+FedExExrpessEarnedDiscount))*'2Day Base'!B59),2),ROUND(MinBase2Day*(1+ExpressFuelSurcharge),2),ROUND(((1-(TwoDayDiscount_21_Up+FedExExrpessEarnedDiscount))*'2Day Base'!B59)*(1+ExpressFuelSurcharge),2)))*(1+FedEx_Markup),2)</f>
        <v>65.75</v>
      </c>
      <c r="C62" s="218">
        <f>ROUND((IF(MinBase2Day&gt;ROUND(((1-(TwoDayDiscount_21_Up+FedExExrpessEarnedDiscount))*'2Day Base'!C59),2),ROUND(MinBase2Day*(1+ExpressFuelSurcharge),2),ROUND(((1-(TwoDayDiscount_21_Up+FedExExrpessEarnedDiscount))*'2Day Base'!C59)*(1+ExpressFuelSurcharge),2)))*(1+FedEx_Markup),2)</f>
        <v>80.790000000000006</v>
      </c>
      <c r="D62" s="218">
        <f>ROUND((IF(MinBase2Day&gt;ROUND(((1-(TwoDayDiscount_21_Up+FedExExrpessEarnedDiscount))*'2Day Base'!D59),2),ROUND(MinBase2Day*(1+ExpressFuelSurcharge),2),ROUND(((1-(TwoDayDiscount_21_Up+FedExExrpessEarnedDiscount))*'2Day Base'!D59)*(1+ExpressFuelSurcharge),2)))*(1+FedEx_Markup),2)</f>
        <v>104.27</v>
      </c>
      <c r="E62" s="218">
        <f>ROUND((IF(MinBase2Day&gt;ROUND(((1-(TwoDayDiscount_21_Up+FedExExrpessEarnedDiscount))*'2Day Base'!E59),2),ROUND(MinBase2Day*(1+ExpressFuelSurcharge),2),ROUND(((1-(TwoDayDiscount_21_Up+FedExExrpessEarnedDiscount))*'2Day Base'!E59)*(1+ExpressFuelSurcharge),2)))*(1+FedEx_Markup),2)</f>
        <v>154.32</v>
      </c>
      <c r="F62" s="218">
        <f>ROUND((IF(MinBase2Day&gt;ROUND(((1-(TwoDayDiscount_21_Up+FedExExrpessEarnedDiscount))*'2Day Base'!F59),2),ROUND(MinBase2Day*(1+ExpressFuelSurcharge),2),ROUND(((1-(TwoDayDiscount_21_Up+FedExExrpessEarnedDiscount))*'2Day Base'!F59)*(1+ExpressFuelSurcharge),2)))*(1+FedEx_Markup),2)</f>
        <v>254.59</v>
      </c>
      <c r="G62" s="218">
        <f>ROUND((IF(MinBase2Day&gt;ROUND(((1-(TwoDayDiscount_21_Up+FedExExrpessEarnedDiscount))*'2Day Base'!G59),2),ROUND(MinBase2Day*(1+ExpressFuelSurcharge),2),ROUND(((1-(TwoDayDiscount_21_Up+FedExExrpessEarnedDiscount))*'2Day Base'!G59)*(1+ExpressFuelSurcharge),2)))*(1+FedEx_Markup),2)</f>
        <v>262.17</v>
      </c>
      <c r="H62" s="218">
        <f>ROUND((IF(MinBase2Day&gt;ROUND(((1-(TwoDayDiscount_21_Up+FedExExrpessEarnedDiscount))*'2Day Base'!H59),2),ROUND(MinBase2Day*(1+ExpressFuelSurcharge),2),ROUND(((1-(TwoDayDiscount_21_Up+FedExExrpessEarnedDiscount))*'2Day Base'!H59)*(1+ExpressFuelSurcharge),2)))*(1+FedEx_Markup),2)</f>
        <v>267.42</v>
      </c>
      <c r="I62" s="218">
        <f>ROUND((IF(MinBase2Day&gt;ROUND(((1-(TwoDayDiscount_21_Up+FedExExrpessEarnedDiscount))*'2Day Base'!I59),2),ROUND(MinBase2Day*(1+ExpressFuelSurcharge),2),ROUND(((1-(TwoDayDiscount_21_Up+FedExExrpessEarnedDiscount))*'2Day Base'!I59)*(1+ExpressFuelSurcharge),2)))*(1+FedEx_Markup),2)</f>
        <v>272.77</v>
      </c>
      <c r="J62" s="218">
        <f>ROUND((IF(MinBase2Day&gt;ROUND(((1-(TwoDayDiscount_21_Up+FedExExrpessEarnedDiscount))*'2Day Base'!J59),2),ROUND(MinBase2Day*(1+ExpressFuelSurcharge),2),ROUND(((1-(TwoDayDiscount_21_Up+FedExExrpessEarnedDiscount))*'2Day Base'!J59)*(1+ExpressFuelSurcharge),2)))*(1+FedEx_Markup),2)</f>
        <v>272.77</v>
      </c>
      <c r="K62" s="218">
        <f>ROUND((IF(MinBase2Day&gt;ROUND(((1-(TwoDayDiscount_21_Up+FedExExrpessEarnedDiscount))*'2Day Base'!K59),2),ROUND(MinBase2Day*(1+ExpressFuelSurcharge),2),ROUND(((1-(TwoDayDiscount_21_Up+FedExExrpessEarnedDiscount))*'2Day Base'!K59)*(1+ExpressFuelSurcharge),2)))*(1+FedEx_Markup),2)</f>
        <v>280.63</v>
      </c>
      <c r="L62" s="218">
        <f>ROUND((IF(MinBase2Day&gt;ROUND(((1-(TwoDayDiscount_21_Up+FedExExrpessEarnedDiscount))*'2Day Base'!L59),2),ROUND(MinBase2Day*(1+ExpressFuelSurcharge),2),ROUND(((1-(TwoDayDiscount_21_Up+FedExExrpessEarnedDiscount))*'2Day Base'!L59)*(1+ExpressFuelSurcharge),2)))*(1+FedEx_Markup),2)</f>
        <v>280.63</v>
      </c>
    </row>
    <row r="63" spans="1:12" ht="12.75" customHeight="1">
      <c r="A63" s="217">
        <v>58</v>
      </c>
      <c r="B63" s="218">
        <f>ROUND((IF(MinBase2Day&gt;ROUND(((1-(TwoDayDiscount_21_Up+FedExExrpessEarnedDiscount))*'2Day Base'!B60),2),ROUND(MinBase2Day*(1+ExpressFuelSurcharge),2),ROUND(((1-(TwoDayDiscount_21_Up+FedExExrpessEarnedDiscount))*'2Day Base'!B60)*(1+ExpressFuelSurcharge),2)))*(1+FedEx_Markup),2)</f>
        <v>66.150000000000006</v>
      </c>
      <c r="C63" s="218">
        <f>ROUND((IF(MinBase2Day&gt;ROUND(((1-(TwoDayDiscount_21_Up+FedExExrpessEarnedDiscount))*'2Day Base'!C60),2),ROUND(MinBase2Day*(1+ExpressFuelSurcharge),2),ROUND(((1-(TwoDayDiscount_21_Up+FedExExrpessEarnedDiscount))*'2Day Base'!C60)*(1+ExpressFuelSurcharge),2)))*(1+FedEx_Markup),2)</f>
        <v>81.13</v>
      </c>
      <c r="D63" s="218">
        <f>ROUND((IF(MinBase2Day&gt;ROUND(((1-(TwoDayDiscount_21_Up+FedExExrpessEarnedDiscount))*'2Day Base'!D60),2),ROUND(MinBase2Day*(1+ExpressFuelSurcharge),2),ROUND(((1-(TwoDayDiscount_21_Up+FedExExrpessEarnedDiscount))*'2Day Base'!D60)*(1+ExpressFuelSurcharge),2)))*(1+FedEx_Markup),2)</f>
        <v>104.58</v>
      </c>
      <c r="E63" s="218">
        <f>ROUND((IF(MinBase2Day&gt;ROUND(((1-(TwoDayDiscount_21_Up+FedExExrpessEarnedDiscount))*'2Day Base'!E60),2),ROUND(MinBase2Day*(1+ExpressFuelSurcharge),2),ROUND(((1-(TwoDayDiscount_21_Up+FedExExrpessEarnedDiscount))*'2Day Base'!E60)*(1+ExpressFuelSurcharge),2)))*(1+FedEx_Markup),2)</f>
        <v>155.16</v>
      </c>
      <c r="F63" s="218">
        <f>ROUND((IF(MinBase2Day&gt;ROUND(((1-(TwoDayDiscount_21_Up+FedExExrpessEarnedDiscount))*'2Day Base'!F60),2),ROUND(MinBase2Day*(1+ExpressFuelSurcharge),2),ROUND(((1-(TwoDayDiscount_21_Up+FedExExrpessEarnedDiscount))*'2Day Base'!F60)*(1+ExpressFuelSurcharge),2)))*(1+FedEx_Markup),2)</f>
        <v>257.52999999999997</v>
      </c>
      <c r="G63" s="218">
        <f>ROUND((IF(MinBase2Day&gt;ROUND(((1-(TwoDayDiscount_21_Up+FedExExrpessEarnedDiscount))*'2Day Base'!G60),2),ROUND(MinBase2Day*(1+ExpressFuelSurcharge),2),ROUND(((1-(TwoDayDiscount_21_Up+FedExExrpessEarnedDiscount))*'2Day Base'!G60)*(1+ExpressFuelSurcharge),2)))*(1+FedEx_Markup),2)</f>
        <v>262.69</v>
      </c>
      <c r="H63" s="218">
        <f>ROUND((IF(MinBase2Day&gt;ROUND(((1-(TwoDayDiscount_21_Up+FedExExrpessEarnedDiscount))*'2Day Base'!H60),2),ROUND(MinBase2Day*(1+ExpressFuelSurcharge),2),ROUND(((1-(TwoDayDiscount_21_Up+FedExExrpessEarnedDiscount))*'2Day Base'!H60)*(1+ExpressFuelSurcharge),2)))*(1+FedEx_Markup),2)</f>
        <v>267.95</v>
      </c>
      <c r="I63" s="218">
        <f>ROUND((IF(MinBase2Day&gt;ROUND(((1-(TwoDayDiscount_21_Up+FedExExrpessEarnedDiscount))*'2Day Base'!I60),2),ROUND(MinBase2Day*(1+ExpressFuelSurcharge),2),ROUND(((1-(TwoDayDiscount_21_Up+FedExExrpessEarnedDiscount))*'2Day Base'!I60)*(1+ExpressFuelSurcharge),2)))*(1+FedEx_Markup),2)</f>
        <v>273.31</v>
      </c>
      <c r="J63" s="218">
        <f>ROUND((IF(MinBase2Day&gt;ROUND(((1-(TwoDayDiscount_21_Up+FedExExrpessEarnedDiscount))*'2Day Base'!J60),2),ROUND(MinBase2Day*(1+ExpressFuelSurcharge),2),ROUND(((1-(TwoDayDiscount_21_Up+FedExExrpessEarnedDiscount))*'2Day Base'!J60)*(1+ExpressFuelSurcharge),2)))*(1+FedEx_Markup),2)</f>
        <v>273.31</v>
      </c>
      <c r="K63" s="218">
        <f>ROUND((IF(MinBase2Day&gt;ROUND(((1-(TwoDayDiscount_21_Up+FedExExrpessEarnedDiscount))*'2Day Base'!K60),2),ROUND(MinBase2Day*(1+ExpressFuelSurcharge),2),ROUND(((1-(TwoDayDiscount_21_Up+FedExExrpessEarnedDiscount))*'2Day Base'!K60)*(1+ExpressFuelSurcharge),2)))*(1+FedEx_Markup),2)</f>
        <v>281.14</v>
      </c>
      <c r="L63" s="218">
        <f>ROUND((IF(MinBase2Day&gt;ROUND(((1-(TwoDayDiscount_21_Up+FedExExrpessEarnedDiscount))*'2Day Base'!L60),2),ROUND(MinBase2Day*(1+ExpressFuelSurcharge),2),ROUND(((1-(TwoDayDiscount_21_Up+FedExExrpessEarnedDiscount))*'2Day Base'!L60)*(1+ExpressFuelSurcharge),2)))*(1+FedEx_Markup),2)</f>
        <v>281.14</v>
      </c>
    </row>
    <row r="64" spans="1:12" ht="12.75" customHeight="1">
      <c r="A64" s="217">
        <v>59</v>
      </c>
      <c r="B64" s="218">
        <f>ROUND((IF(MinBase2Day&gt;ROUND(((1-(TwoDayDiscount_21_Up+FedExExrpessEarnedDiscount))*'2Day Base'!B61),2),ROUND(MinBase2Day*(1+ExpressFuelSurcharge),2),ROUND(((1-(TwoDayDiscount_21_Up+FedExExrpessEarnedDiscount))*'2Day Base'!B61)*(1+ExpressFuelSurcharge),2)))*(1+FedEx_Markup),2)</f>
        <v>66.36</v>
      </c>
      <c r="C64" s="218">
        <f>ROUND((IF(MinBase2Day&gt;ROUND(((1-(TwoDayDiscount_21_Up+FedExExrpessEarnedDiscount))*'2Day Base'!C61),2),ROUND(MinBase2Day*(1+ExpressFuelSurcharge),2),ROUND(((1-(TwoDayDiscount_21_Up+FedExExrpessEarnedDiscount))*'2Day Base'!C61)*(1+ExpressFuelSurcharge),2)))*(1+FedEx_Markup),2)</f>
        <v>81.62</v>
      </c>
      <c r="D64" s="218">
        <f>ROUND((IF(MinBase2Day&gt;ROUND(((1-(TwoDayDiscount_21_Up+FedExExrpessEarnedDiscount))*'2Day Base'!D61),2),ROUND(MinBase2Day*(1+ExpressFuelSurcharge),2),ROUND(((1-(TwoDayDiscount_21_Up+FedExExrpessEarnedDiscount))*'2Day Base'!D61)*(1+ExpressFuelSurcharge),2)))*(1+FedEx_Markup),2)</f>
        <v>108.19</v>
      </c>
      <c r="E64" s="218">
        <f>ROUND((IF(MinBase2Day&gt;ROUND(((1-(TwoDayDiscount_21_Up+FedExExrpessEarnedDiscount))*'2Day Base'!E61),2),ROUND(MinBase2Day*(1+ExpressFuelSurcharge),2),ROUND(((1-(TwoDayDiscount_21_Up+FedExExrpessEarnedDiscount))*'2Day Base'!E61)*(1+ExpressFuelSurcharge),2)))*(1+FedEx_Markup),2)</f>
        <v>155.49</v>
      </c>
      <c r="F64" s="218">
        <f>ROUND((IF(MinBase2Day&gt;ROUND(((1-(TwoDayDiscount_21_Up+FedExExrpessEarnedDiscount))*'2Day Base'!F61),2),ROUND(MinBase2Day*(1+ExpressFuelSurcharge),2),ROUND(((1-(TwoDayDiscount_21_Up+FedExExrpessEarnedDiscount))*'2Day Base'!F61)*(1+ExpressFuelSurcharge),2)))*(1+FedEx_Markup),2)</f>
        <v>260.74</v>
      </c>
      <c r="G64" s="218">
        <f>ROUND((IF(MinBase2Day&gt;ROUND(((1-(TwoDayDiscount_21_Up+FedExExrpessEarnedDiscount))*'2Day Base'!G61),2),ROUND(MinBase2Day*(1+ExpressFuelSurcharge),2),ROUND(((1-(TwoDayDiscount_21_Up+FedExExrpessEarnedDiscount))*'2Day Base'!G61)*(1+ExpressFuelSurcharge),2)))*(1+FedEx_Markup),2)</f>
        <v>265.95999999999998</v>
      </c>
      <c r="H64" s="218">
        <f>ROUND((IF(MinBase2Day&gt;ROUND(((1-(TwoDayDiscount_21_Up+FedExExrpessEarnedDiscount))*'2Day Base'!H61),2),ROUND(MinBase2Day*(1+ExpressFuelSurcharge),2),ROUND(((1-(TwoDayDiscount_21_Up+FedExExrpessEarnedDiscount))*'2Day Base'!H61)*(1+ExpressFuelSurcharge),2)))*(1+FedEx_Markup),2)</f>
        <v>271.29000000000002</v>
      </c>
      <c r="I64" s="218">
        <f>ROUND((IF(MinBase2Day&gt;ROUND(((1-(TwoDayDiscount_21_Up+FedExExrpessEarnedDiscount))*'2Day Base'!I61),2),ROUND(MinBase2Day*(1+ExpressFuelSurcharge),2),ROUND(((1-(TwoDayDiscount_21_Up+FedExExrpessEarnedDiscount))*'2Day Base'!I61)*(1+ExpressFuelSurcharge),2)))*(1+FedEx_Markup),2)</f>
        <v>276.70999999999998</v>
      </c>
      <c r="J64" s="218">
        <f>ROUND((IF(MinBase2Day&gt;ROUND(((1-(TwoDayDiscount_21_Up+FedExExrpessEarnedDiscount))*'2Day Base'!J61),2),ROUND(MinBase2Day*(1+ExpressFuelSurcharge),2),ROUND(((1-(TwoDayDiscount_21_Up+FedExExrpessEarnedDiscount))*'2Day Base'!J61)*(1+ExpressFuelSurcharge),2)))*(1+FedEx_Markup),2)</f>
        <v>276.70999999999998</v>
      </c>
      <c r="K64" s="218">
        <f>ROUND((IF(MinBase2Day&gt;ROUND(((1-(TwoDayDiscount_21_Up+FedExExrpessEarnedDiscount))*'2Day Base'!K61),2),ROUND(MinBase2Day*(1+ExpressFuelSurcharge),2),ROUND(((1-(TwoDayDiscount_21_Up+FedExExrpessEarnedDiscount))*'2Day Base'!K61)*(1+ExpressFuelSurcharge),2)))*(1+FedEx_Markup),2)</f>
        <v>282.26</v>
      </c>
      <c r="L64" s="218">
        <f>ROUND((IF(MinBase2Day&gt;ROUND(((1-(TwoDayDiscount_21_Up+FedExExrpessEarnedDiscount))*'2Day Base'!L61),2),ROUND(MinBase2Day*(1+ExpressFuelSurcharge),2),ROUND(((1-(TwoDayDiscount_21_Up+FedExExrpessEarnedDiscount))*'2Day Base'!L61)*(1+ExpressFuelSurcharge),2)))*(1+FedEx_Markup),2)</f>
        <v>282.26</v>
      </c>
    </row>
    <row r="65" spans="1:12" ht="12.75" customHeight="1">
      <c r="A65" s="217">
        <v>60</v>
      </c>
      <c r="B65" s="218">
        <f>ROUND((IF(MinBase2Day&gt;ROUND(((1-(TwoDayDiscount_21_Up+FedExExrpessEarnedDiscount))*'2Day Base'!B62),2),ROUND(MinBase2Day*(1+ExpressFuelSurcharge),2),ROUND(((1-(TwoDayDiscount_21_Up+FedExExrpessEarnedDiscount))*'2Day Base'!B62)*(1+ExpressFuelSurcharge),2)))*(1+FedEx_Markup),2)</f>
        <v>66.760000000000005</v>
      </c>
      <c r="C65" s="218">
        <f>ROUND((IF(MinBase2Day&gt;ROUND(((1-(TwoDayDiscount_21_Up+FedExExrpessEarnedDiscount))*'2Day Base'!C62),2),ROUND(MinBase2Day*(1+ExpressFuelSurcharge),2),ROUND(((1-(TwoDayDiscount_21_Up+FedExExrpessEarnedDiscount))*'2Day Base'!C62)*(1+ExpressFuelSurcharge),2)))*(1+FedEx_Markup),2)</f>
        <v>81.93</v>
      </c>
      <c r="D65" s="218">
        <f>ROUND((IF(MinBase2Day&gt;ROUND(((1-(TwoDayDiscount_21_Up+FedExExrpessEarnedDiscount))*'2Day Base'!D62),2),ROUND(MinBase2Day*(1+ExpressFuelSurcharge),2),ROUND(((1-(TwoDayDiscount_21_Up+FedExExrpessEarnedDiscount))*'2Day Base'!D62)*(1+ExpressFuelSurcharge),2)))*(1+FedEx_Markup),2)</f>
        <v>108.8</v>
      </c>
      <c r="E65" s="218">
        <f>ROUND((IF(MinBase2Day&gt;ROUND(((1-(TwoDayDiscount_21_Up+FedExExrpessEarnedDiscount))*'2Day Base'!E62),2),ROUND(MinBase2Day*(1+ExpressFuelSurcharge),2),ROUND(((1-(TwoDayDiscount_21_Up+FedExExrpessEarnedDiscount))*'2Day Base'!E62)*(1+ExpressFuelSurcharge),2)))*(1+FedEx_Markup),2)</f>
        <v>159.83000000000001</v>
      </c>
      <c r="F65" s="218">
        <f>ROUND((IF(MinBase2Day&gt;ROUND(((1-(TwoDayDiscount_21_Up+FedExExrpessEarnedDiscount))*'2Day Base'!F62),2),ROUND(MinBase2Day*(1+ExpressFuelSurcharge),2),ROUND(((1-(TwoDayDiscount_21_Up+FedExExrpessEarnedDiscount))*'2Day Base'!F62)*(1+ExpressFuelSurcharge),2)))*(1+FedEx_Markup),2)</f>
        <v>264.75</v>
      </c>
      <c r="G65" s="218">
        <f>ROUND((IF(MinBase2Day&gt;ROUND(((1-(TwoDayDiscount_21_Up+FedExExrpessEarnedDiscount))*'2Day Base'!G62),2),ROUND(MinBase2Day*(1+ExpressFuelSurcharge),2),ROUND(((1-(TwoDayDiscount_21_Up+FedExExrpessEarnedDiscount))*'2Day Base'!G62)*(1+ExpressFuelSurcharge),2)))*(1+FedEx_Markup),2)</f>
        <v>271.86</v>
      </c>
      <c r="H65" s="218">
        <f>ROUND((IF(MinBase2Day&gt;ROUND(((1-(TwoDayDiscount_21_Up+FedExExrpessEarnedDiscount))*'2Day Base'!H62),2),ROUND(MinBase2Day*(1+ExpressFuelSurcharge),2),ROUND(((1-(TwoDayDiscount_21_Up+FedExExrpessEarnedDiscount))*'2Day Base'!H62)*(1+ExpressFuelSurcharge),2)))*(1+FedEx_Markup),2)</f>
        <v>277.3</v>
      </c>
      <c r="I65" s="218">
        <f>ROUND((IF(MinBase2Day&gt;ROUND(((1-(TwoDayDiscount_21_Up+FedExExrpessEarnedDiscount))*'2Day Base'!I62),2),ROUND(MinBase2Day*(1+ExpressFuelSurcharge),2),ROUND(((1-(TwoDayDiscount_21_Up+FedExExrpessEarnedDiscount))*'2Day Base'!I62)*(1+ExpressFuelSurcharge),2)))*(1+FedEx_Markup),2)</f>
        <v>282.85000000000002</v>
      </c>
      <c r="J65" s="218">
        <f>ROUND((IF(MinBase2Day&gt;ROUND(((1-(TwoDayDiscount_21_Up+FedExExrpessEarnedDiscount))*'2Day Base'!J62),2),ROUND(MinBase2Day*(1+ExpressFuelSurcharge),2),ROUND(((1-(TwoDayDiscount_21_Up+FedExExrpessEarnedDiscount))*'2Day Base'!J62)*(1+ExpressFuelSurcharge),2)))*(1+FedEx_Markup),2)</f>
        <v>282.85000000000002</v>
      </c>
      <c r="K65" s="218">
        <f>ROUND((IF(MinBase2Day&gt;ROUND(((1-(TwoDayDiscount_21_Up+FedExExrpessEarnedDiscount))*'2Day Base'!K62),2),ROUND(MinBase2Day*(1+ExpressFuelSurcharge),2),ROUND(((1-(TwoDayDiscount_21_Up+FedExExrpessEarnedDiscount))*'2Day Base'!K62)*(1+ExpressFuelSurcharge),2)))*(1+FedEx_Markup),2)</f>
        <v>288.52</v>
      </c>
      <c r="L65" s="218">
        <f>ROUND((IF(MinBase2Day&gt;ROUND(((1-(TwoDayDiscount_21_Up+FedExExrpessEarnedDiscount))*'2Day Base'!L62),2),ROUND(MinBase2Day*(1+ExpressFuelSurcharge),2),ROUND(((1-(TwoDayDiscount_21_Up+FedExExrpessEarnedDiscount))*'2Day Base'!L62)*(1+ExpressFuelSurcharge),2)))*(1+FedEx_Markup),2)</f>
        <v>288.52</v>
      </c>
    </row>
    <row r="66" spans="1:12" ht="12.75" customHeight="1">
      <c r="A66" s="217">
        <v>61</v>
      </c>
      <c r="B66" s="218">
        <f>ROUND((IF(MinBase2Day&gt;ROUND(((1-(TwoDayDiscount_21_Up+FedExExrpessEarnedDiscount))*'2Day Base'!B63),2),ROUND(MinBase2Day*(1+ExpressFuelSurcharge),2),ROUND(((1-(TwoDayDiscount_21_Up+FedExExrpessEarnedDiscount))*'2Day Base'!B63)*(1+ExpressFuelSurcharge),2)))*(1+FedEx_Markup),2)</f>
        <v>67.069999999999993</v>
      </c>
      <c r="C66" s="218">
        <f>ROUND((IF(MinBase2Day&gt;ROUND(((1-(TwoDayDiscount_21_Up+FedExExrpessEarnedDiscount))*'2Day Base'!C63),2),ROUND(MinBase2Day*(1+ExpressFuelSurcharge),2),ROUND(((1-(TwoDayDiscount_21_Up+FedExExrpessEarnedDiscount))*'2Day Base'!C63)*(1+ExpressFuelSurcharge),2)))*(1+FedEx_Markup),2)</f>
        <v>82.24</v>
      </c>
      <c r="D66" s="218">
        <f>ROUND((IF(MinBase2Day&gt;ROUND(((1-(TwoDayDiscount_21_Up+FedExExrpessEarnedDiscount))*'2Day Base'!D63),2),ROUND(MinBase2Day*(1+ExpressFuelSurcharge),2),ROUND(((1-(TwoDayDiscount_21_Up+FedExExrpessEarnedDiscount))*'2Day Base'!D63)*(1+ExpressFuelSurcharge),2)))*(1+FedEx_Markup),2)</f>
        <v>109.11</v>
      </c>
      <c r="E66" s="218">
        <f>ROUND((IF(MinBase2Day&gt;ROUND(((1-(TwoDayDiscount_21_Up+FedExExrpessEarnedDiscount))*'2Day Base'!E63),2),ROUND(MinBase2Day*(1+ExpressFuelSurcharge),2),ROUND(((1-(TwoDayDiscount_21_Up+FedExExrpessEarnedDiscount))*'2Day Base'!E63)*(1+ExpressFuelSurcharge),2)))*(1+FedEx_Markup),2)</f>
        <v>160.28</v>
      </c>
      <c r="F66" s="218">
        <f>ROUND((IF(MinBase2Day&gt;ROUND(((1-(TwoDayDiscount_21_Up+FedExExrpessEarnedDiscount))*'2Day Base'!F63),2),ROUND(MinBase2Day*(1+ExpressFuelSurcharge),2),ROUND(((1-(TwoDayDiscount_21_Up+FedExExrpessEarnedDiscount))*'2Day Base'!F63)*(1+ExpressFuelSurcharge),2)))*(1+FedEx_Markup),2)</f>
        <v>268.61</v>
      </c>
      <c r="G66" s="218">
        <f>ROUND((IF(MinBase2Day&gt;ROUND(((1-(TwoDayDiscount_21_Up+FedExExrpessEarnedDiscount))*'2Day Base'!G63),2),ROUND(MinBase2Day*(1+ExpressFuelSurcharge),2),ROUND(((1-(TwoDayDiscount_21_Up+FedExExrpessEarnedDiscount))*'2Day Base'!G63)*(1+ExpressFuelSurcharge),2)))*(1+FedEx_Markup),2)</f>
        <v>274.08999999999997</v>
      </c>
      <c r="H66" s="218">
        <f>ROUND((IF(MinBase2Day&gt;ROUND(((1-(TwoDayDiscount_21_Up+FedExExrpessEarnedDiscount))*'2Day Base'!H63),2),ROUND(MinBase2Day*(1+ExpressFuelSurcharge),2),ROUND(((1-(TwoDayDiscount_21_Up+FedExExrpessEarnedDiscount))*'2Day Base'!H63)*(1+ExpressFuelSurcharge),2)))*(1+FedEx_Markup),2)</f>
        <v>279.60000000000002</v>
      </c>
      <c r="I66" s="218">
        <f>ROUND((IF(MinBase2Day&gt;ROUND(((1-(TwoDayDiscount_21_Up+FedExExrpessEarnedDiscount))*'2Day Base'!I63),2),ROUND(MinBase2Day*(1+ExpressFuelSurcharge),2),ROUND(((1-(TwoDayDiscount_21_Up+FedExExrpessEarnedDiscount))*'2Day Base'!I63)*(1+ExpressFuelSurcharge),2)))*(1+FedEx_Markup),2)</f>
        <v>285.2</v>
      </c>
      <c r="J66" s="218">
        <f>ROUND((IF(MinBase2Day&gt;ROUND(((1-(TwoDayDiscount_21_Up+FedExExrpessEarnedDiscount))*'2Day Base'!J63),2),ROUND(MinBase2Day*(1+ExpressFuelSurcharge),2),ROUND(((1-(TwoDayDiscount_21_Up+FedExExrpessEarnedDiscount))*'2Day Base'!J63)*(1+ExpressFuelSurcharge),2)))*(1+FedEx_Markup),2)</f>
        <v>285.2</v>
      </c>
      <c r="K66" s="218">
        <f>ROUND((IF(MinBase2Day&gt;ROUND(((1-(TwoDayDiscount_21_Up+FedExExrpessEarnedDiscount))*'2Day Base'!K63),2),ROUND(MinBase2Day*(1+ExpressFuelSurcharge),2),ROUND(((1-(TwoDayDiscount_21_Up+FedExExrpessEarnedDiscount))*'2Day Base'!K63)*(1+ExpressFuelSurcharge),2)))*(1+FedEx_Markup),2)</f>
        <v>290.89999999999998</v>
      </c>
      <c r="L66" s="218">
        <f>ROUND((IF(MinBase2Day&gt;ROUND(((1-(TwoDayDiscount_21_Up+FedExExrpessEarnedDiscount))*'2Day Base'!L63),2),ROUND(MinBase2Day*(1+ExpressFuelSurcharge),2),ROUND(((1-(TwoDayDiscount_21_Up+FedExExrpessEarnedDiscount))*'2Day Base'!L63)*(1+ExpressFuelSurcharge),2)))*(1+FedEx_Markup),2)</f>
        <v>290.89999999999998</v>
      </c>
    </row>
    <row r="67" spans="1:12" ht="12.75" customHeight="1">
      <c r="A67" s="217">
        <v>62</v>
      </c>
      <c r="B67" s="218">
        <f>ROUND((IF(MinBase2Day&gt;ROUND(((1-(TwoDayDiscount_21_Up+FedExExrpessEarnedDiscount))*'2Day Base'!B64),2),ROUND(MinBase2Day*(1+ExpressFuelSurcharge),2),ROUND(((1-(TwoDayDiscount_21_Up+FedExExrpessEarnedDiscount))*'2Day Base'!B64)*(1+ExpressFuelSurcharge),2)))*(1+FedEx_Markup),2)</f>
        <v>67.37</v>
      </c>
      <c r="C67" s="218">
        <f>ROUND((IF(MinBase2Day&gt;ROUND(((1-(TwoDayDiscount_21_Up+FedExExrpessEarnedDiscount))*'2Day Base'!C64),2),ROUND(MinBase2Day*(1+ExpressFuelSurcharge),2),ROUND(((1-(TwoDayDiscount_21_Up+FedExExrpessEarnedDiscount))*'2Day Base'!C64)*(1+ExpressFuelSurcharge),2)))*(1+FedEx_Markup),2)</f>
        <v>82.54</v>
      </c>
      <c r="D67" s="218">
        <f>ROUND((IF(MinBase2Day&gt;ROUND(((1-(TwoDayDiscount_21_Up+FedExExrpessEarnedDiscount))*'2Day Base'!D64),2),ROUND(MinBase2Day*(1+ExpressFuelSurcharge),2),ROUND(((1-(TwoDayDiscount_21_Up+FedExExrpessEarnedDiscount))*'2Day Base'!D64)*(1+ExpressFuelSurcharge),2)))*(1+FedEx_Markup),2)</f>
        <v>109.43</v>
      </c>
      <c r="E67" s="218">
        <f>ROUND((IF(MinBase2Day&gt;ROUND(((1-(TwoDayDiscount_21_Up+FedExExrpessEarnedDiscount))*'2Day Base'!E64),2),ROUND(MinBase2Day*(1+ExpressFuelSurcharge),2),ROUND(((1-(TwoDayDiscount_21_Up+FedExExrpessEarnedDiscount))*'2Day Base'!E64)*(1+ExpressFuelSurcharge),2)))*(1+FedEx_Markup),2)</f>
        <v>160.61000000000001</v>
      </c>
      <c r="F67" s="218">
        <f>ROUND((IF(MinBase2Day&gt;ROUND(((1-(TwoDayDiscount_21_Up+FedExExrpessEarnedDiscount))*'2Day Base'!F64),2),ROUND(MinBase2Day*(1+ExpressFuelSurcharge),2),ROUND(((1-(TwoDayDiscount_21_Up+FedExExrpessEarnedDiscount))*'2Day Base'!F64)*(1+ExpressFuelSurcharge),2)))*(1+FedEx_Markup),2)</f>
        <v>269.08999999999997</v>
      </c>
      <c r="G67" s="218">
        <f>ROUND((IF(MinBase2Day&gt;ROUND(((1-(TwoDayDiscount_21_Up+FedExExrpessEarnedDiscount))*'2Day Base'!G64),2),ROUND(MinBase2Day*(1+ExpressFuelSurcharge),2),ROUND(((1-(TwoDayDiscount_21_Up+FedExExrpessEarnedDiscount))*'2Day Base'!G64)*(1+ExpressFuelSurcharge),2)))*(1+FedEx_Markup),2)</f>
        <v>274.60000000000002</v>
      </c>
      <c r="H67" s="218">
        <f>ROUND((IF(MinBase2Day&gt;ROUND(((1-(TwoDayDiscount_21_Up+FedExExrpessEarnedDiscount))*'2Day Base'!H64),2),ROUND(MinBase2Day*(1+ExpressFuelSurcharge),2),ROUND(((1-(TwoDayDiscount_21_Up+FedExExrpessEarnedDiscount))*'2Day Base'!H64)*(1+ExpressFuelSurcharge),2)))*(1+FedEx_Markup),2)</f>
        <v>280.08999999999997</v>
      </c>
      <c r="I67" s="218">
        <f>ROUND((IF(MinBase2Day&gt;ROUND(((1-(TwoDayDiscount_21_Up+FedExExrpessEarnedDiscount))*'2Day Base'!I64),2),ROUND(MinBase2Day*(1+ExpressFuelSurcharge),2),ROUND(((1-(TwoDayDiscount_21_Up+FedExExrpessEarnedDiscount))*'2Day Base'!I64)*(1+ExpressFuelSurcharge),2)))*(1+FedEx_Markup),2)</f>
        <v>285.70999999999998</v>
      </c>
      <c r="J67" s="218">
        <f>ROUND((IF(MinBase2Day&gt;ROUND(((1-(TwoDayDiscount_21_Up+FedExExrpessEarnedDiscount))*'2Day Base'!J64),2),ROUND(MinBase2Day*(1+ExpressFuelSurcharge),2),ROUND(((1-(TwoDayDiscount_21_Up+FedExExrpessEarnedDiscount))*'2Day Base'!J64)*(1+ExpressFuelSurcharge),2)))*(1+FedEx_Markup),2)</f>
        <v>285.70999999999998</v>
      </c>
      <c r="K67" s="218">
        <f>ROUND((IF(MinBase2Day&gt;ROUND(((1-(TwoDayDiscount_21_Up+FedExExrpessEarnedDiscount))*'2Day Base'!K64),2),ROUND(MinBase2Day*(1+ExpressFuelSurcharge),2),ROUND(((1-(TwoDayDiscount_21_Up+FedExExrpessEarnedDiscount))*'2Day Base'!K64)*(1+ExpressFuelSurcharge),2)))*(1+FedEx_Markup),2)</f>
        <v>291.43</v>
      </c>
      <c r="L67" s="218">
        <f>ROUND((IF(MinBase2Day&gt;ROUND(((1-(TwoDayDiscount_21_Up+FedExExrpessEarnedDiscount))*'2Day Base'!L64),2),ROUND(MinBase2Day*(1+ExpressFuelSurcharge),2),ROUND(((1-(TwoDayDiscount_21_Up+FedExExrpessEarnedDiscount))*'2Day Base'!L64)*(1+ExpressFuelSurcharge),2)))*(1+FedEx_Markup),2)</f>
        <v>291.43</v>
      </c>
    </row>
    <row r="68" spans="1:12" ht="12.75" customHeight="1">
      <c r="A68" s="217">
        <v>63</v>
      </c>
      <c r="B68" s="218">
        <f>ROUND((IF(MinBase2Day&gt;ROUND(((1-(TwoDayDiscount_21_Up+FedExExrpessEarnedDiscount))*'2Day Base'!B65),2),ROUND(MinBase2Day*(1+ExpressFuelSurcharge),2),ROUND(((1-(TwoDayDiscount_21_Up+FedExExrpessEarnedDiscount))*'2Day Base'!B65)*(1+ExpressFuelSurcharge),2)))*(1+FedEx_Markup),2)</f>
        <v>67.569999999999993</v>
      </c>
      <c r="C68" s="218">
        <f>ROUND((IF(MinBase2Day&gt;ROUND(((1-(TwoDayDiscount_21_Up+FedExExrpessEarnedDiscount))*'2Day Base'!C65),2),ROUND(MinBase2Day*(1+ExpressFuelSurcharge),2),ROUND(((1-(TwoDayDiscount_21_Up+FedExExrpessEarnedDiscount))*'2Day Base'!C65)*(1+ExpressFuelSurcharge),2)))*(1+FedEx_Markup),2)</f>
        <v>82.85</v>
      </c>
      <c r="D68" s="218">
        <f>ROUND((IF(MinBase2Day&gt;ROUND(((1-(TwoDayDiscount_21_Up+FedExExrpessEarnedDiscount))*'2Day Base'!D65),2),ROUND(MinBase2Day*(1+ExpressFuelSurcharge),2),ROUND(((1-(TwoDayDiscount_21_Up+FedExExrpessEarnedDiscount))*'2Day Base'!D65)*(1+ExpressFuelSurcharge),2)))*(1+FedEx_Markup),2)</f>
        <v>109.65</v>
      </c>
      <c r="E68" s="218">
        <f>ROUND((IF(MinBase2Day&gt;ROUND(((1-(TwoDayDiscount_21_Up+FedExExrpessEarnedDiscount))*'2Day Base'!E65),2),ROUND(MinBase2Day*(1+ExpressFuelSurcharge),2),ROUND(((1-(TwoDayDiscount_21_Up+FedExExrpessEarnedDiscount))*'2Day Base'!E65)*(1+ExpressFuelSurcharge),2)))*(1+FedEx_Markup),2)</f>
        <v>163.93</v>
      </c>
      <c r="F68" s="218">
        <f>ROUND((IF(MinBase2Day&gt;ROUND(((1-(TwoDayDiscount_21_Up+FedExExrpessEarnedDiscount))*'2Day Base'!F65),2),ROUND(MinBase2Day*(1+ExpressFuelSurcharge),2),ROUND(((1-(TwoDayDiscount_21_Up+FedExExrpessEarnedDiscount))*'2Day Base'!F65)*(1+ExpressFuelSurcharge),2)))*(1+FedEx_Markup),2)</f>
        <v>278.79000000000002</v>
      </c>
      <c r="G68" s="218">
        <f>ROUND((IF(MinBase2Day&gt;ROUND(((1-(TwoDayDiscount_21_Up+FedExExrpessEarnedDiscount))*'2Day Base'!G65),2),ROUND(MinBase2Day*(1+ExpressFuelSurcharge),2),ROUND(((1-(TwoDayDiscount_21_Up+FedExExrpessEarnedDiscount))*'2Day Base'!G65)*(1+ExpressFuelSurcharge),2)))*(1+FedEx_Markup),2)</f>
        <v>284.38</v>
      </c>
      <c r="H68" s="218">
        <f>ROUND((IF(MinBase2Day&gt;ROUND(((1-(TwoDayDiscount_21_Up+FedExExrpessEarnedDiscount))*'2Day Base'!H65),2),ROUND(MinBase2Day*(1+ExpressFuelSurcharge),2),ROUND(((1-(TwoDayDiscount_21_Up+FedExExrpessEarnedDiscount))*'2Day Base'!H65)*(1+ExpressFuelSurcharge),2)))*(1+FedEx_Markup),2)</f>
        <v>290.08</v>
      </c>
      <c r="I68" s="218">
        <f>ROUND((IF(MinBase2Day&gt;ROUND(((1-(TwoDayDiscount_21_Up+FedExExrpessEarnedDiscount))*'2Day Base'!I65),2),ROUND(MinBase2Day*(1+ExpressFuelSurcharge),2),ROUND(((1-(TwoDayDiscount_21_Up+FedExExrpessEarnedDiscount))*'2Day Base'!I65)*(1+ExpressFuelSurcharge),2)))*(1+FedEx_Markup),2)</f>
        <v>295.89999999999998</v>
      </c>
      <c r="J68" s="218">
        <f>ROUND((IF(MinBase2Day&gt;ROUND(((1-(TwoDayDiscount_21_Up+FedExExrpessEarnedDiscount))*'2Day Base'!J65),2),ROUND(MinBase2Day*(1+ExpressFuelSurcharge),2),ROUND(((1-(TwoDayDiscount_21_Up+FedExExrpessEarnedDiscount))*'2Day Base'!J65)*(1+ExpressFuelSurcharge),2)))*(1+FedEx_Markup),2)</f>
        <v>295.89999999999998</v>
      </c>
      <c r="K68" s="218">
        <f>ROUND((IF(MinBase2Day&gt;ROUND(((1-(TwoDayDiscount_21_Up+FedExExrpessEarnedDiscount))*'2Day Base'!K65),2),ROUND(MinBase2Day*(1+ExpressFuelSurcharge),2),ROUND(((1-(TwoDayDiscount_21_Up+FedExExrpessEarnedDiscount))*'2Day Base'!K65)*(1+ExpressFuelSurcharge),2)))*(1+FedEx_Markup),2)</f>
        <v>301.81</v>
      </c>
      <c r="L68" s="218">
        <f>ROUND((IF(MinBase2Day&gt;ROUND(((1-(TwoDayDiscount_21_Up+FedExExrpessEarnedDiscount))*'2Day Base'!L65),2),ROUND(MinBase2Day*(1+ExpressFuelSurcharge),2),ROUND(((1-(TwoDayDiscount_21_Up+FedExExrpessEarnedDiscount))*'2Day Base'!L65)*(1+ExpressFuelSurcharge),2)))*(1+FedEx_Markup),2)</f>
        <v>301.81</v>
      </c>
    </row>
    <row r="69" spans="1:12" ht="12.75" customHeight="1">
      <c r="A69" s="217">
        <v>64</v>
      </c>
      <c r="B69" s="218">
        <f>ROUND((IF(MinBase2Day&gt;ROUND(((1-(TwoDayDiscount_21_Up+FedExExrpessEarnedDiscount))*'2Day Base'!B66),2),ROUND(MinBase2Day*(1+ExpressFuelSurcharge),2),ROUND(((1-(TwoDayDiscount_21_Up+FedExExrpessEarnedDiscount))*'2Day Base'!B66)*(1+ExpressFuelSurcharge),2)))*(1+FedEx_Markup),2)</f>
        <v>71.23</v>
      </c>
      <c r="C69" s="218">
        <f>ROUND((IF(MinBase2Day&gt;ROUND(((1-(TwoDayDiscount_21_Up+FedExExrpessEarnedDiscount))*'2Day Base'!C66),2),ROUND(MinBase2Day*(1+ExpressFuelSurcharge),2),ROUND(((1-(TwoDayDiscount_21_Up+FedExExrpessEarnedDiscount))*'2Day Base'!C66)*(1+ExpressFuelSurcharge),2)))*(1+FedEx_Markup),2)</f>
        <v>84.47</v>
      </c>
      <c r="D69" s="218">
        <f>ROUND((IF(MinBase2Day&gt;ROUND(((1-(TwoDayDiscount_21_Up+FedExExrpessEarnedDiscount))*'2Day Base'!D66),2),ROUND(MinBase2Day*(1+ExpressFuelSurcharge),2),ROUND(((1-(TwoDayDiscount_21_Up+FedExExrpessEarnedDiscount))*'2Day Base'!D66)*(1+ExpressFuelSurcharge),2)))*(1+FedEx_Markup),2)</f>
        <v>109.86</v>
      </c>
      <c r="E69" s="218">
        <f>ROUND((IF(MinBase2Day&gt;ROUND(((1-(TwoDayDiscount_21_Up+FedExExrpessEarnedDiscount))*'2Day Base'!E66),2),ROUND(MinBase2Day*(1+ExpressFuelSurcharge),2),ROUND(((1-(TwoDayDiscount_21_Up+FedExExrpessEarnedDiscount))*'2Day Base'!E66)*(1+ExpressFuelSurcharge),2)))*(1+FedEx_Markup),2)</f>
        <v>164.25</v>
      </c>
      <c r="F69" s="218">
        <f>ROUND((IF(MinBase2Day&gt;ROUND(((1-(TwoDayDiscount_21_Up+FedExExrpessEarnedDiscount))*'2Day Base'!F66),2),ROUND(MinBase2Day*(1+ExpressFuelSurcharge),2),ROUND(((1-(TwoDayDiscount_21_Up+FedExExrpessEarnedDiscount))*'2Day Base'!F66)*(1+ExpressFuelSurcharge),2)))*(1+FedEx_Markup),2)</f>
        <v>279.77</v>
      </c>
      <c r="G69" s="218">
        <f>ROUND((IF(MinBase2Day&gt;ROUND(((1-(TwoDayDiscount_21_Up+FedExExrpessEarnedDiscount))*'2Day Base'!G66),2),ROUND(MinBase2Day*(1+ExpressFuelSurcharge),2),ROUND(((1-(TwoDayDiscount_21_Up+FedExExrpessEarnedDiscount))*'2Day Base'!G66)*(1+ExpressFuelSurcharge),2)))*(1+FedEx_Markup),2)</f>
        <v>285.37</v>
      </c>
      <c r="H69" s="218">
        <f>ROUND((IF(MinBase2Day&gt;ROUND(((1-(TwoDayDiscount_21_Up+FedExExrpessEarnedDiscount))*'2Day Base'!H66),2),ROUND(MinBase2Day*(1+ExpressFuelSurcharge),2),ROUND(((1-(TwoDayDiscount_21_Up+FedExExrpessEarnedDiscount))*'2Day Base'!H66)*(1+ExpressFuelSurcharge),2)))*(1+FedEx_Markup),2)</f>
        <v>291.08999999999997</v>
      </c>
      <c r="I69" s="218">
        <f>ROUND((IF(MinBase2Day&gt;ROUND(((1-(TwoDayDiscount_21_Up+FedExExrpessEarnedDiscount))*'2Day Base'!I66),2),ROUND(MinBase2Day*(1+ExpressFuelSurcharge),2),ROUND(((1-(TwoDayDiscount_21_Up+FedExExrpessEarnedDiscount))*'2Day Base'!I66)*(1+ExpressFuelSurcharge),2)))*(1+FedEx_Markup),2)</f>
        <v>296.91000000000003</v>
      </c>
      <c r="J69" s="218">
        <f>ROUND((IF(MinBase2Day&gt;ROUND(((1-(TwoDayDiscount_21_Up+FedExExrpessEarnedDiscount))*'2Day Base'!J66),2),ROUND(MinBase2Day*(1+ExpressFuelSurcharge),2),ROUND(((1-(TwoDayDiscount_21_Up+FedExExrpessEarnedDiscount))*'2Day Base'!J66)*(1+ExpressFuelSurcharge),2)))*(1+FedEx_Markup),2)</f>
        <v>296.91000000000003</v>
      </c>
      <c r="K69" s="218">
        <f>ROUND((IF(MinBase2Day&gt;ROUND(((1-(TwoDayDiscount_21_Up+FedExExrpessEarnedDiscount))*'2Day Base'!K66),2),ROUND(MinBase2Day*(1+ExpressFuelSurcharge),2),ROUND(((1-(TwoDayDiscount_21_Up+FedExExrpessEarnedDiscount))*'2Day Base'!K66)*(1+ExpressFuelSurcharge),2)))*(1+FedEx_Markup),2)</f>
        <v>302.85000000000002</v>
      </c>
      <c r="L69" s="218">
        <f>ROUND((IF(MinBase2Day&gt;ROUND(((1-(TwoDayDiscount_21_Up+FedExExrpessEarnedDiscount))*'2Day Base'!L66),2),ROUND(MinBase2Day*(1+ExpressFuelSurcharge),2),ROUND(((1-(TwoDayDiscount_21_Up+FedExExrpessEarnedDiscount))*'2Day Base'!L66)*(1+ExpressFuelSurcharge),2)))*(1+FedEx_Markup),2)</f>
        <v>302.85000000000002</v>
      </c>
    </row>
    <row r="70" spans="1:12" ht="12.75" customHeight="1">
      <c r="A70" s="217">
        <v>65</v>
      </c>
      <c r="B70" s="218">
        <f>ROUND((IF(MinBase2Day&gt;ROUND(((1-(TwoDayDiscount_21_Up+FedExExrpessEarnedDiscount))*'2Day Base'!B67),2),ROUND(MinBase2Day*(1+ExpressFuelSurcharge),2),ROUND(((1-(TwoDayDiscount_21_Up+FedExExrpessEarnedDiscount))*'2Day Base'!B67)*(1+ExpressFuelSurcharge),2)))*(1+FedEx_Markup),2)</f>
        <v>74.59</v>
      </c>
      <c r="C70" s="218">
        <f>ROUND((IF(MinBase2Day&gt;ROUND(((1-(TwoDayDiscount_21_Up+FedExExrpessEarnedDiscount))*'2Day Base'!C67),2),ROUND(MinBase2Day*(1+ExpressFuelSurcharge),2),ROUND(((1-(TwoDayDiscount_21_Up+FedExExrpessEarnedDiscount))*'2Day Base'!C67)*(1+ExpressFuelSurcharge),2)))*(1+FedEx_Markup),2)</f>
        <v>86.71</v>
      </c>
      <c r="D70" s="218">
        <f>ROUND((IF(MinBase2Day&gt;ROUND(((1-(TwoDayDiscount_21_Up+FedExExrpessEarnedDiscount))*'2Day Base'!D67),2),ROUND(MinBase2Day*(1+ExpressFuelSurcharge),2),ROUND(((1-(TwoDayDiscount_21_Up+FedExExrpessEarnedDiscount))*'2Day Base'!D67)*(1+ExpressFuelSurcharge),2)))*(1+FedEx_Markup),2)</f>
        <v>110.07</v>
      </c>
      <c r="E70" s="218">
        <f>ROUND((IF(MinBase2Day&gt;ROUND(((1-(TwoDayDiscount_21_Up+FedExExrpessEarnedDiscount))*'2Day Base'!E67),2),ROUND(MinBase2Day*(1+ExpressFuelSurcharge),2),ROUND(((1-(TwoDayDiscount_21_Up+FedExExrpessEarnedDiscount))*'2Day Base'!E67)*(1+ExpressFuelSurcharge),2)))*(1+FedEx_Markup),2)</f>
        <v>168.62</v>
      </c>
      <c r="F70" s="218">
        <f>ROUND((IF(MinBase2Day&gt;ROUND(((1-(TwoDayDiscount_21_Up+FedExExrpessEarnedDiscount))*'2Day Base'!F67),2),ROUND(MinBase2Day*(1+ExpressFuelSurcharge),2),ROUND(((1-(TwoDayDiscount_21_Up+FedExExrpessEarnedDiscount))*'2Day Base'!F67)*(1+ExpressFuelSurcharge),2)))*(1+FedEx_Markup),2)</f>
        <v>280.07</v>
      </c>
      <c r="G70" s="218">
        <f>ROUND((IF(MinBase2Day&gt;ROUND(((1-(TwoDayDiscount_21_Up+FedExExrpessEarnedDiscount))*'2Day Base'!G67),2),ROUND(MinBase2Day*(1+ExpressFuelSurcharge),2),ROUND(((1-(TwoDayDiscount_21_Up+FedExExrpessEarnedDiscount))*'2Day Base'!G67)*(1+ExpressFuelSurcharge),2)))*(1+FedEx_Markup),2)</f>
        <v>285.68</v>
      </c>
      <c r="H70" s="218">
        <f>ROUND((IF(MinBase2Day&gt;ROUND(((1-(TwoDayDiscount_21_Up+FedExExrpessEarnedDiscount))*'2Day Base'!H67),2),ROUND(MinBase2Day*(1+ExpressFuelSurcharge),2),ROUND(((1-(TwoDayDiscount_21_Up+FedExExrpessEarnedDiscount))*'2Day Base'!H67)*(1+ExpressFuelSurcharge),2)))*(1+FedEx_Markup),2)</f>
        <v>291.39999999999998</v>
      </c>
      <c r="I70" s="218">
        <f>ROUND((IF(MinBase2Day&gt;ROUND(((1-(TwoDayDiscount_21_Up+FedExExrpessEarnedDiscount))*'2Day Base'!I67),2),ROUND(MinBase2Day*(1+ExpressFuelSurcharge),2),ROUND(((1-(TwoDayDiscount_21_Up+FedExExrpessEarnedDiscount))*'2Day Base'!I67)*(1+ExpressFuelSurcharge),2)))*(1+FedEx_Markup),2)</f>
        <v>297.23</v>
      </c>
      <c r="J70" s="218">
        <f>ROUND((IF(MinBase2Day&gt;ROUND(((1-(TwoDayDiscount_21_Up+FedExExrpessEarnedDiscount))*'2Day Base'!J67),2),ROUND(MinBase2Day*(1+ExpressFuelSurcharge),2),ROUND(((1-(TwoDayDiscount_21_Up+FedExExrpessEarnedDiscount))*'2Day Base'!J67)*(1+ExpressFuelSurcharge),2)))*(1+FedEx_Markup),2)</f>
        <v>297.23</v>
      </c>
      <c r="K70" s="218">
        <f>ROUND((IF(MinBase2Day&gt;ROUND(((1-(TwoDayDiscount_21_Up+FedExExrpessEarnedDiscount))*'2Day Base'!K67),2),ROUND(MinBase2Day*(1+ExpressFuelSurcharge),2),ROUND(((1-(TwoDayDiscount_21_Up+FedExExrpessEarnedDiscount))*'2Day Base'!K67)*(1+ExpressFuelSurcharge),2)))*(1+FedEx_Markup),2)</f>
        <v>303.19</v>
      </c>
      <c r="L70" s="218">
        <f>ROUND((IF(MinBase2Day&gt;ROUND(((1-(TwoDayDiscount_21_Up+FedExExrpessEarnedDiscount))*'2Day Base'!L67),2),ROUND(MinBase2Day*(1+ExpressFuelSurcharge),2),ROUND(((1-(TwoDayDiscount_21_Up+FedExExrpessEarnedDiscount))*'2Day Base'!L67)*(1+ExpressFuelSurcharge),2)))*(1+FedEx_Markup),2)</f>
        <v>303.19</v>
      </c>
    </row>
    <row r="71" spans="1:12" ht="12.75" customHeight="1">
      <c r="A71" s="217">
        <v>66</v>
      </c>
      <c r="B71" s="218">
        <f>ROUND((IF(MinBase2Day&gt;ROUND(((1-(TwoDayDiscount_21_Up+FedExExrpessEarnedDiscount))*'2Day Base'!B68),2),ROUND(MinBase2Day*(1+ExpressFuelSurcharge),2),ROUND(((1-(TwoDayDiscount_21_Up+FedExExrpessEarnedDiscount))*'2Day Base'!B68)*(1+ExpressFuelSurcharge),2)))*(1+FedEx_Markup),2)</f>
        <v>74.92</v>
      </c>
      <c r="C71" s="218">
        <f>ROUND((IF(MinBase2Day&gt;ROUND(((1-(TwoDayDiscount_21_Up+FedExExrpessEarnedDiscount))*'2Day Base'!C68),2),ROUND(MinBase2Day*(1+ExpressFuelSurcharge),2),ROUND(((1-(TwoDayDiscount_21_Up+FedExExrpessEarnedDiscount))*'2Day Base'!C68)*(1+ExpressFuelSurcharge),2)))*(1+FedEx_Markup),2)</f>
        <v>87.02</v>
      </c>
      <c r="D71" s="218">
        <f>ROUND((IF(MinBase2Day&gt;ROUND(((1-(TwoDayDiscount_21_Up+FedExExrpessEarnedDiscount))*'2Day Base'!D68),2),ROUND(MinBase2Day*(1+ExpressFuelSurcharge),2),ROUND(((1-(TwoDayDiscount_21_Up+FedExExrpessEarnedDiscount))*'2Day Base'!D68)*(1+ExpressFuelSurcharge),2)))*(1+FedEx_Markup),2)</f>
        <v>111.62</v>
      </c>
      <c r="E71" s="218">
        <f>ROUND((IF(MinBase2Day&gt;ROUND(((1-(TwoDayDiscount_21_Up+FedExExrpessEarnedDiscount))*'2Day Base'!E68),2),ROUND(MinBase2Day*(1+ExpressFuelSurcharge),2),ROUND(((1-(TwoDayDiscount_21_Up+FedExExrpessEarnedDiscount))*'2Day Base'!E68)*(1+ExpressFuelSurcharge),2)))*(1+FedEx_Markup),2)</f>
        <v>169.06</v>
      </c>
      <c r="F71" s="218">
        <f>ROUND((IF(MinBase2Day&gt;ROUND(((1-(TwoDayDiscount_21_Up+FedExExrpessEarnedDiscount))*'2Day Base'!F68),2),ROUND(MinBase2Day*(1+ExpressFuelSurcharge),2),ROUND(((1-(TwoDayDiscount_21_Up+FedExExrpessEarnedDiscount))*'2Day Base'!F68)*(1+ExpressFuelSurcharge),2)))*(1+FedEx_Markup),2)</f>
        <v>280.55</v>
      </c>
      <c r="G71" s="218">
        <f>ROUND((IF(MinBase2Day&gt;ROUND(((1-(TwoDayDiscount_21_Up+FedExExrpessEarnedDiscount))*'2Day Base'!G68),2),ROUND(MinBase2Day*(1+ExpressFuelSurcharge),2),ROUND(((1-(TwoDayDiscount_21_Up+FedExExrpessEarnedDiscount))*'2Day Base'!G68)*(1+ExpressFuelSurcharge),2)))*(1+FedEx_Markup),2)</f>
        <v>286.18</v>
      </c>
      <c r="H71" s="218">
        <f>ROUND((IF(MinBase2Day&gt;ROUND(((1-(TwoDayDiscount_21_Up+FedExExrpessEarnedDiscount))*'2Day Base'!H68),2),ROUND(MinBase2Day*(1+ExpressFuelSurcharge),2),ROUND(((1-(TwoDayDiscount_21_Up+FedExExrpessEarnedDiscount))*'2Day Base'!H68)*(1+ExpressFuelSurcharge),2)))*(1+FedEx_Markup),2)</f>
        <v>291.92</v>
      </c>
      <c r="I71" s="218">
        <f>ROUND((IF(MinBase2Day&gt;ROUND(((1-(TwoDayDiscount_21_Up+FedExExrpessEarnedDiscount))*'2Day Base'!I68),2),ROUND(MinBase2Day*(1+ExpressFuelSurcharge),2),ROUND(((1-(TwoDayDiscount_21_Up+FedExExrpessEarnedDiscount))*'2Day Base'!I68)*(1+ExpressFuelSurcharge),2)))*(1+FedEx_Markup),2)</f>
        <v>297.98</v>
      </c>
      <c r="J71" s="218">
        <f>ROUND((IF(MinBase2Day&gt;ROUND(((1-(TwoDayDiscount_21_Up+FedExExrpessEarnedDiscount))*'2Day Base'!J68),2),ROUND(MinBase2Day*(1+ExpressFuelSurcharge),2),ROUND(((1-(TwoDayDiscount_21_Up+FedExExrpessEarnedDiscount))*'2Day Base'!J68)*(1+ExpressFuelSurcharge),2)))*(1+FedEx_Markup),2)</f>
        <v>297.98</v>
      </c>
      <c r="K71" s="218">
        <f>ROUND((IF(MinBase2Day&gt;ROUND(((1-(TwoDayDiscount_21_Up+FedExExrpessEarnedDiscount))*'2Day Base'!K68),2),ROUND(MinBase2Day*(1+ExpressFuelSurcharge),2),ROUND(((1-(TwoDayDiscount_21_Up+FedExExrpessEarnedDiscount))*'2Day Base'!K68)*(1+ExpressFuelSurcharge),2)))*(1+FedEx_Markup),2)</f>
        <v>303.93</v>
      </c>
      <c r="L71" s="218">
        <f>ROUND((IF(MinBase2Day&gt;ROUND(((1-(TwoDayDiscount_21_Up+FedExExrpessEarnedDiscount))*'2Day Base'!L68),2),ROUND(MinBase2Day*(1+ExpressFuelSurcharge),2),ROUND(((1-(TwoDayDiscount_21_Up+FedExExrpessEarnedDiscount))*'2Day Base'!L68)*(1+ExpressFuelSurcharge),2)))*(1+FedEx_Markup),2)</f>
        <v>303.93</v>
      </c>
    </row>
    <row r="72" spans="1:12" ht="12.75" customHeight="1">
      <c r="A72" s="217">
        <v>67</v>
      </c>
      <c r="B72" s="218">
        <f>ROUND((IF(MinBase2Day&gt;ROUND(((1-(TwoDayDiscount_21_Up+FedExExrpessEarnedDiscount))*'2Day Base'!B69),2),ROUND(MinBase2Day*(1+ExpressFuelSurcharge),2),ROUND(((1-(TwoDayDiscount_21_Up+FedExExrpessEarnedDiscount))*'2Day Base'!B69)*(1+ExpressFuelSurcharge),2)))*(1+FedEx_Markup),2)</f>
        <v>75.23</v>
      </c>
      <c r="C72" s="218">
        <f>ROUND((IF(MinBase2Day&gt;ROUND(((1-(TwoDayDiscount_21_Up+FedExExrpessEarnedDiscount))*'2Day Base'!C69),2),ROUND(MinBase2Day*(1+ExpressFuelSurcharge),2),ROUND(((1-(TwoDayDiscount_21_Up+FedExExrpessEarnedDiscount))*'2Day Base'!C69)*(1+ExpressFuelSurcharge),2)))*(1+FedEx_Markup),2)</f>
        <v>88.76</v>
      </c>
      <c r="D72" s="218">
        <f>ROUND((IF(MinBase2Day&gt;ROUND(((1-(TwoDayDiscount_21_Up+FedExExrpessEarnedDiscount))*'2Day Base'!D69),2),ROUND(MinBase2Day*(1+ExpressFuelSurcharge),2),ROUND(((1-(TwoDayDiscount_21_Up+FedExExrpessEarnedDiscount))*'2Day Base'!D69)*(1+ExpressFuelSurcharge),2)))*(1+FedEx_Markup),2)</f>
        <v>111.91</v>
      </c>
      <c r="E72" s="218">
        <f>ROUND((IF(MinBase2Day&gt;ROUND(((1-(TwoDayDiscount_21_Up+FedExExrpessEarnedDiscount))*'2Day Base'!E69),2),ROUND(MinBase2Day*(1+ExpressFuelSurcharge),2),ROUND(((1-(TwoDayDiscount_21_Up+FedExExrpessEarnedDiscount))*'2Day Base'!E69)*(1+ExpressFuelSurcharge),2)))*(1+FedEx_Markup),2)</f>
        <v>169.4</v>
      </c>
      <c r="F72" s="218">
        <f>ROUND((IF(MinBase2Day&gt;ROUND(((1-(TwoDayDiscount_21_Up+FedExExrpessEarnedDiscount))*'2Day Base'!F69),2),ROUND(MinBase2Day*(1+ExpressFuelSurcharge),2),ROUND(((1-(TwoDayDiscount_21_Up+FedExExrpessEarnedDiscount))*'2Day Base'!F69)*(1+ExpressFuelSurcharge),2)))*(1+FedEx_Markup),2)</f>
        <v>280.86</v>
      </c>
      <c r="G72" s="218">
        <f>ROUND((IF(MinBase2Day&gt;ROUND(((1-(TwoDayDiscount_21_Up+FedExExrpessEarnedDiscount))*'2Day Base'!G69),2),ROUND(MinBase2Day*(1+ExpressFuelSurcharge),2),ROUND(((1-(TwoDayDiscount_21_Up+FedExExrpessEarnedDiscount))*'2Day Base'!G69)*(1+ExpressFuelSurcharge),2)))*(1+FedEx_Markup),2)</f>
        <v>286.49</v>
      </c>
      <c r="H72" s="218">
        <f>ROUND((IF(MinBase2Day&gt;ROUND(((1-(TwoDayDiscount_21_Up+FedExExrpessEarnedDiscount))*'2Day Base'!H69),2),ROUND(MinBase2Day*(1+ExpressFuelSurcharge),2),ROUND(((1-(TwoDayDiscount_21_Up+FedExExrpessEarnedDiscount))*'2Day Base'!H69)*(1+ExpressFuelSurcharge),2)))*(1+FedEx_Markup),2)</f>
        <v>292.23</v>
      </c>
      <c r="I72" s="218">
        <f>ROUND((IF(MinBase2Day&gt;ROUND(((1-(TwoDayDiscount_21_Up+FedExExrpessEarnedDiscount))*'2Day Base'!I69),2),ROUND(MinBase2Day*(1+ExpressFuelSurcharge),2),ROUND(((1-(TwoDayDiscount_21_Up+FedExExrpessEarnedDiscount))*'2Day Base'!I69)*(1+ExpressFuelSurcharge),2)))*(1+FedEx_Markup),2)</f>
        <v>298.18</v>
      </c>
      <c r="J72" s="218">
        <f>ROUND((IF(MinBase2Day&gt;ROUND(((1-(TwoDayDiscount_21_Up+FedExExrpessEarnedDiscount))*'2Day Base'!J69),2),ROUND(MinBase2Day*(1+ExpressFuelSurcharge),2),ROUND(((1-(TwoDayDiscount_21_Up+FedExExrpessEarnedDiscount))*'2Day Base'!J69)*(1+ExpressFuelSurcharge),2)))*(1+FedEx_Markup),2)</f>
        <v>298.18</v>
      </c>
      <c r="K72" s="218">
        <f>ROUND((IF(MinBase2Day&gt;ROUND(((1-(TwoDayDiscount_21_Up+FedExExrpessEarnedDiscount))*'2Day Base'!K69),2),ROUND(MinBase2Day*(1+ExpressFuelSurcharge),2),ROUND(((1-(TwoDayDiscount_21_Up+FedExExrpessEarnedDiscount))*'2Day Base'!K69)*(1+ExpressFuelSurcharge),2)))*(1+FedEx_Markup),2)</f>
        <v>304.14999999999998</v>
      </c>
      <c r="L72" s="218">
        <f>ROUND((IF(MinBase2Day&gt;ROUND(((1-(TwoDayDiscount_21_Up+FedExExrpessEarnedDiscount))*'2Day Base'!L69),2),ROUND(MinBase2Day*(1+ExpressFuelSurcharge),2),ROUND(((1-(TwoDayDiscount_21_Up+FedExExrpessEarnedDiscount))*'2Day Base'!L69)*(1+ExpressFuelSurcharge),2)))*(1+FedEx_Markup),2)</f>
        <v>304.14999999999998</v>
      </c>
    </row>
    <row r="73" spans="1:12" ht="12.75" customHeight="1">
      <c r="A73" s="217">
        <v>68</v>
      </c>
      <c r="B73" s="218">
        <f>ROUND((IF(MinBase2Day&gt;ROUND(((1-(TwoDayDiscount_21_Up+FedExExrpessEarnedDiscount))*'2Day Base'!B70),2),ROUND(MinBase2Day*(1+ExpressFuelSurcharge),2),ROUND(((1-(TwoDayDiscount_21_Up+FedExExrpessEarnedDiscount))*'2Day Base'!B70)*(1+ExpressFuelSurcharge),2)))*(1+FedEx_Markup),2)</f>
        <v>75.53</v>
      </c>
      <c r="C73" s="218">
        <f>ROUND((IF(MinBase2Day&gt;ROUND(((1-(TwoDayDiscount_21_Up+FedExExrpessEarnedDiscount))*'2Day Base'!C70),2),ROUND(MinBase2Day*(1+ExpressFuelSurcharge),2),ROUND(((1-(TwoDayDiscount_21_Up+FedExExrpessEarnedDiscount))*'2Day Base'!C70)*(1+ExpressFuelSurcharge),2)))*(1+FedEx_Markup),2)</f>
        <v>89.47</v>
      </c>
      <c r="D73" s="218">
        <f>ROUND((IF(MinBase2Day&gt;ROUND(((1-(TwoDayDiscount_21_Up+FedExExrpessEarnedDiscount))*'2Day Base'!D70),2),ROUND(MinBase2Day*(1+ExpressFuelSurcharge),2),ROUND(((1-(TwoDayDiscount_21_Up+FedExExrpessEarnedDiscount))*'2Day Base'!D70)*(1+ExpressFuelSurcharge),2)))*(1+FedEx_Markup),2)</f>
        <v>113.41</v>
      </c>
      <c r="E73" s="218">
        <f>ROUND((IF(MinBase2Day&gt;ROUND(((1-(TwoDayDiscount_21_Up+FedExExrpessEarnedDiscount))*'2Day Base'!E70),2),ROUND(MinBase2Day*(1+ExpressFuelSurcharge),2),ROUND(((1-(TwoDayDiscount_21_Up+FedExExrpessEarnedDiscount))*'2Day Base'!E70)*(1+ExpressFuelSurcharge),2)))*(1+FedEx_Markup),2)</f>
        <v>169.73</v>
      </c>
      <c r="F73" s="218">
        <f>ROUND((IF(MinBase2Day&gt;ROUND(((1-(TwoDayDiscount_21_Up+FedExExrpessEarnedDiscount))*'2Day Base'!F70),2),ROUND(MinBase2Day*(1+ExpressFuelSurcharge),2),ROUND(((1-(TwoDayDiscount_21_Up+FedExExrpessEarnedDiscount))*'2Day Base'!F70)*(1+ExpressFuelSurcharge),2)))*(1+FedEx_Markup),2)</f>
        <v>281.18</v>
      </c>
      <c r="G73" s="218">
        <f>ROUND((IF(MinBase2Day&gt;ROUND(((1-(TwoDayDiscount_21_Up+FedExExrpessEarnedDiscount))*'2Day Base'!G70),2),ROUND(MinBase2Day*(1+ExpressFuelSurcharge),2),ROUND(((1-(TwoDayDiscount_21_Up+FedExExrpessEarnedDiscount))*'2Day Base'!G70)*(1+ExpressFuelSurcharge),2)))*(1+FedEx_Markup),2)</f>
        <v>286.81</v>
      </c>
      <c r="H73" s="218">
        <f>ROUND((IF(MinBase2Day&gt;ROUND(((1-(TwoDayDiscount_21_Up+FedExExrpessEarnedDiscount))*'2Day Base'!H70),2),ROUND(MinBase2Day*(1+ExpressFuelSurcharge),2),ROUND(((1-(TwoDayDiscount_21_Up+FedExExrpessEarnedDiscount))*'2Day Base'!H70)*(1+ExpressFuelSurcharge),2)))*(1+FedEx_Markup),2)</f>
        <v>292.54000000000002</v>
      </c>
      <c r="I73" s="218">
        <f>ROUND((IF(MinBase2Day&gt;ROUND(((1-(TwoDayDiscount_21_Up+FedExExrpessEarnedDiscount))*'2Day Base'!I70),2),ROUND(MinBase2Day*(1+ExpressFuelSurcharge),2),ROUND(((1-(TwoDayDiscount_21_Up+FedExExrpessEarnedDiscount))*'2Day Base'!I70)*(1+ExpressFuelSurcharge),2)))*(1+FedEx_Markup),2)</f>
        <v>298.39</v>
      </c>
      <c r="J73" s="218">
        <f>ROUND((IF(MinBase2Day&gt;ROUND(((1-(TwoDayDiscount_21_Up+FedExExrpessEarnedDiscount))*'2Day Base'!J70),2),ROUND(MinBase2Day*(1+ExpressFuelSurcharge),2),ROUND(((1-(TwoDayDiscount_21_Up+FedExExrpessEarnedDiscount))*'2Day Base'!J70)*(1+ExpressFuelSurcharge),2)))*(1+FedEx_Markup),2)</f>
        <v>298.39</v>
      </c>
      <c r="K73" s="218">
        <f>ROUND((IF(MinBase2Day&gt;ROUND(((1-(TwoDayDiscount_21_Up+FedExExrpessEarnedDiscount))*'2Day Base'!K70),2),ROUND(MinBase2Day*(1+ExpressFuelSurcharge),2),ROUND(((1-(TwoDayDiscount_21_Up+FedExExrpessEarnedDiscount))*'2Day Base'!K70)*(1+ExpressFuelSurcharge),2)))*(1+FedEx_Markup),2)</f>
        <v>304.36</v>
      </c>
      <c r="L73" s="218">
        <f>ROUND((IF(MinBase2Day&gt;ROUND(((1-(TwoDayDiscount_21_Up+FedExExrpessEarnedDiscount))*'2Day Base'!L70),2),ROUND(MinBase2Day*(1+ExpressFuelSurcharge),2),ROUND(((1-(TwoDayDiscount_21_Up+FedExExrpessEarnedDiscount))*'2Day Base'!L70)*(1+ExpressFuelSurcharge),2)))*(1+FedEx_Markup),2)</f>
        <v>304.36</v>
      </c>
    </row>
    <row r="74" spans="1:12" ht="12.75" customHeight="1">
      <c r="A74" s="217">
        <v>69</v>
      </c>
      <c r="B74" s="218">
        <f>ROUND((IF(MinBase2Day&gt;ROUND(((1-(TwoDayDiscount_21_Up+FedExExrpessEarnedDiscount))*'2Day Base'!B71),2),ROUND(MinBase2Day*(1+ExpressFuelSurcharge),2),ROUND(((1-(TwoDayDiscount_21_Up+FedExExrpessEarnedDiscount))*'2Day Base'!B71)*(1+ExpressFuelSurcharge),2)))*(1+FedEx_Markup),2)</f>
        <v>75.84</v>
      </c>
      <c r="C74" s="218">
        <f>ROUND((IF(MinBase2Day&gt;ROUND(((1-(TwoDayDiscount_21_Up+FedExExrpessEarnedDiscount))*'2Day Base'!C71),2),ROUND(MinBase2Day*(1+ExpressFuelSurcharge),2),ROUND(((1-(TwoDayDiscount_21_Up+FedExExrpessEarnedDiscount))*'2Day Base'!C71)*(1+ExpressFuelSurcharge),2)))*(1+FedEx_Markup),2)</f>
        <v>91.45</v>
      </c>
      <c r="D74" s="218">
        <f>ROUND((IF(MinBase2Day&gt;ROUND(((1-(TwoDayDiscount_21_Up+FedExExrpessEarnedDiscount))*'2Day Base'!D71),2),ROUND(MinBase2Day*(1+ExpressFuelSurcharge),2),ROUND(((1-(TwoDayDiscount_21_Up+FedExExrpessEarnedDiscount))*'2Day Base'!D71)*(1+ExpressFuelSurcharge),2)))*(1+FedEx_Markup),2)</f>
        <v>115.32</v>
      </c>
      <c r="E74" s="218">
        <f>ROUND((IF(MinBase2Day&gt;ROUND(((1-(TwoDayDiscount_21_Up+FedExExrpessEarnedDiscount))*'2Day Base'!E71),2),ROUND(MinBase2Day*(1+ExpressFuelSurcharge),2),ROUND(((1-(TwoDayDiscount_21_Up+FedExExrpessEarnedDiscount))*'2Day Base'!E71)*(1+ExpressFuelSurcharge),2)))*(1+FedEx_Markup),2)</f>
        <v>170.46</v>
      </c>
      <c r="F74" s="218">
        <f>ROUND((IF(MinBase2Day&gt;ROUND(((1-(TwoDayDiscount_21_Up+FedExExrpessEarnedDiscount))*'2Day Base'!F71),2),ROUND(MinBase2Day*(1+ExpressFuelSurcharge),2),ROUND(((1-(TwoDayDiscount_21_Up+FedExExrpessEarnedDiscount))*'2Day Base'!F71)*(1+ExpressFuelSurcharge),2)))*(1+FedEx_Markup),2)</f>
        <v>282.13</v>
      </c>
      <c r="G74" s="218">
        <f>ROUND((IF(MinBase2Day&gt;ROUND(((1-(TwoDayDiscount_21_Up+FedExExrpessEarnedDiscount))*'2Day Base'!G71),2),ROUND(MinBase2Day*(1+ExpressFuelSurcharge),2),ROUND(((1-(TwoDayDiscount_21_Up+FedExExrpessEarnedDiscount))*'2Day Base'!G71)*(1+ExpressFuelSurcharge),2)))*(1+FedEx_Markup),2)</f>
        <v>287.79000000000002</v>
      </c>
      <c r="H74" s="218">
        <f>ROUND((IF(MinBase2Day&gt;ROUND(((1-(TwoDayDiscount_21_Up+FedExExrpessEarnedDiscount))*'2Day Base'!H71),2),ROUND(MinBase2Day*(1+ExpressFuelSurcharge),2),ROUND(((1-(TwoDayDiscount_21_Up+FedExExrpessEarnedDiscount))*'2Day Base'!H71)*(1+ExpressFuelSurcharge),2)))*(1+FedEx_Markup),2)</f>
        <v>293.54000000000002</v>
      </c>
      <c r="I74" s="218">
        <f>ROUND((IF(MinBase2Day&gt;ROUND(((1-(TwoDayDiscount_21_Up+FedExExrpessEarnedDiscount))*'2Day Base'!I71),2),ROUND(MinBase2Day*(1+ExpressFuelSurcharge),2),ROUND(((1-(TwoDayDiscount_21_Up+FedExExrpessEarnedDiscount))*'2Day Base'!I71)*(1+ExpressFuelSurcharge),2)))*(1+FedEx_Markup),2)</f>
        <v>299.43</v>
      </c>
      <c r="J74" s="218">
        <f>ROUND((IF(MinBase2Day&gt;ROUND(((1-(TwoDayDiscount_21_Up+FedExExrpessEarnedDiscount))*'2Day Base'!J71),2),ROUND(MinBase2Day*(1+ExpressFuelSurcharge),2),ROUND(((1-(TwoDayDiscount_21_Up+FedExExrpessEarnedDiscount))*'2Day Base'!J71)*(1+ExpressFuelSurcharge),2)))*(1+FedEx_Markup),2)</f>
        <v>299.43</v>
      </c>
      <c r="K74" s="218">
        <f>ROUND((IF(MinBase2Day&gt;ROUND(((1-(TwoDayDiscount_21_Up+FedExExrpessEarnedDiscount))*'2Day Base'!K71),2),ROUND(MinBase2Day*(1+ExpressFuelSurcharge),2),ROUND(((1-(TwoDayDiscount_21_Up+FedExExrpessEarnedDiscount))*'2Day Base'!K71)*(1+ExpressFuelSurcharge),2)))*(1+FedEx_Markup),2)</f>
        <v>305.42</v>
      </c>
      <c r="L74" s="218">
        <f>ROUND((IF(MinBase2Day&gt;ROUND(((1-(TwoDayDiscount_21_Up+FedExExrpessEarnedDiscount))*'2Day Base'!L71),2),ROUND(MinBase2Day*(1+ExpressFuelSurcharge),2),ROUND(((1-(TwoDayDiscount_21_Up+FedExExrpessEarnedDiscount))*'2Day Base'!L71)*(1+ExpressFuelSurcharge),2)))*(1+FedEx_Markup),2)</f>
        <v>305.42</v>
      </c>
    </row>
    <row r="75" spans="1:12" ht="12.75" customHeight="1">
      <c r="A75" s="217">
        <v>70</v>
      </c>
      <c r="B75" s="218">
        <f>ROUND((IF(MinBase2Day&gt;ROUND(((1-(TwoDayDiscount_21_Up+FedExExrpessEarnedDiscount))*'2Day Base'!B72),2),ROUND(MinBase2Day*(1+ExpressFuelSurcharge),2),ROUND(((1-(TwoDayDiscount_21_Up+FedExExrpessEarnedDiscount))*'2Day Base'!B72)*(1+ExpressFuelSurcharge),2)))*(1+FedEx_Markup),2)</f>
        <v>76.14</v>
      </c>
      <c r="C75" s="218">
        <f>ROUND((IF(MinBase2Day&gt;ROUND(((1-(TwoDayDiscount_21_Up+FedExExrpessEarnedDiscount))*'2Day Base'!C72),2),ROUND(MinBase2Day*(1+ExpressFuelSurcharge),2),ROUND(((1-(TwoDayDiscount_21_Up+FedExExrpessEarnedDiscount))*'2Day Base'!C72)*(1+ExpressFuelSurcharge),2)))*(1+FedEx_Markup),2)</f>
        <v>98.18</v>
      </c>
      <c r="D75" s="218">
        <f>ROUND((IF(MinBase2Day&gt;ROUND(((1-(TwoDayDiscount_21_Up+FedExExrpessEarnedDiscount))*'2Day Base'!D72),2),ROUND(MinBase2Day*(1+ExpressFuelSurcharge),2),ROUND(((1-(TwoDayDiscount_21_Up+FedExExrpessEarnedDiscount))*'2Day Base'!D72)*(1+ExpressFuelSurcharge),2)))*(1+FedEx_Markup),2)</f>
        <v>117.7</v>
      </c>
      <c r="E75" s="218">
        <f>ROUND((IF(MinBase2Day&gt;ROUND(((1-(TwoDayDiscount_21_Up+FedExExrpessEarnedDiscount))*'2Day Base'!E72),2),ROUND(MinBase2Day*(1+ExpressFuelSurcharge),2),ROUND(((1-(TwoDayDiscount_21_Up+FedExExrpessEarnedDiscount))*'2Day Base'!E72)*(1+ExpressFuelSurcharge),2)))*(1+FedEx_Markup),2)</f>
        <v>184.92</v>
      </c>
      <c r="F75" s="218">
        <f>ROUND((IF(MinBase2Day&gt;ROUND(((1-(TwoDayDiscount_21_Up+FedExExrpessEarnedDiscount))*'2Day Base'!F72),2),ROUND(MinBase2Day*(1+ExpressFuelSurcharge),2),ROUND(((1-(TwoDayDiscount_21_Up+FedExExrpessEarnedDiscount))*'2Day Base'!F72)*(1+ExpressFuelSurcharge),2)))*(1+FedEx_Markup),2)</f>
        <v>296.95</v>
      </c>
      <c r="G75" s="218">
        <f>ROUND((IF(MinBase2Day&gt;ROUND(((1-(TwoDayDiscount_21_Up+FedExExrpessEarnedDiscount))*'2Day Base'!G72),2),ROUND(MinBase2Day*(1+ExpressFuelSurcharge),2),ROUND(((1-(TwoDayDiscount_21_Up+FedExExrpessEarnedDiscount))*'2Day Base'!G72)*(1+ExpressFuelSurcharge),2)))*(1+FedEx_Markup),2)</f>
        <v>306.42</v>
      </c>
      <c r="H75" s="218">
        <f>ROUND((IF(MinBase2Day&gt;ROUND(((1-(TwoDayDiscount_21_Up+FedExExrpessEarnedDiscount))*'2Day Base'!H72),2),ROUND(MinBase2Day*(1+ExpressFuelSurcharge),2),ROUND(((1-(TwoDayDiscount_21_Up+FedExExrpessEarnedDiscount))*'2Day Base'!H72)*(1+ExpressFuelSurcharge),2)))*(1+FedEx_Markup),2)</f>
        <v>312.55</v>
      </c>
      <c r="I75" s="218">
        <f>ROUND((IF(MinBase2Day&gt;ROUND(((1-(TwoDayDiscount_21_Up+FedExExrpessEarnedDiscount))*'2Day Base'!I72),2),ROUND(MinBase2Day*(1+ExpressFuelSurcharge),2),ROUND(((1-(TwoDayDiscount_21_Up+FedExExrpessEarnedDiscount))*'2Day Base'!I72)*(1+ExpressFuelSurcharge),2)))*(1+FedEx_Markup),2)</f>
        <v>318.8</v>
      </c>
      <c r="J75" s="218">
        <f>ROUND((IF(MinBase2Day&gt;ROUND(((1-(TwoDayDiscount_21_Up+FedExExrpessEarnedDiscount))*'2Day Base'!J72),2),ROUND(MinBase2Day*(1+ExpressFuelSurcharge),2),ROUND(((1-(TwoDayDiscount_21_Up+FedExExrpessEarnedDiscount))*'2Day Base'!J72)*(1+ExpressFuelSurcharge),2)))*(1+FedEx_Markup),2)</f>
        <v>318.8</v>
      </c>
      <c r="K75" s="218">
        <f>ROUND((IF(MinBase2Day&gt;ROUND(((1-(TwoDayDiscount_21_Up+FedExExrpessEarnedDiscount))*'2Day Base'!K72),2),ROUND(MinBase2Day*(1+ExpressFuelSurcharge),2),ROUND(((1-(TwoDayDiscount_21_Up+FedExExrpessEarnedDiscount))*'2Day Base'!K72)*(1+ExpressFuelSurcharge),2)))*(1+FedEx_Markup),2)</f>
        <v>326.45</v>
      </c>
      <c r="L75" s="218">
        <f>ROUND((IF(MinBase2Day&gt;ROUND(((1-(TwoDayDiscount_21_Up+FedExExrpessEarnedDiscount))*'2Day Base'!L72),2),ROUND(MinBase2Day*(1+ExpressFuelSurcharge),2),ROUND(((1-(TwoDayDiscount_21_Up+FedExExrpessEarnedDiscount))*'2Day Base'!L72)*(1+ExpressFuelSurcharge),2)))*(1+FedEx_Markup),2)</f>
        <v>326.45</v>
      </c>
    </row>
    <row r="76" spans="1:12" ht="12.75" customHeight="1">
      <c r="A76" s="217">
        <v>71</v>
      </c>
      <c r="B76" s="218">
        <f>ROUND((IF(MinBase2Day&gt;ROUND(((1-(TwoDayDiscount_21_Up+FedExExrpessEarnedDiscount))*'2Day Base'!B73),2),ROUND(MinBase2Day*(1+ExpressFuelSurcharge),2),ROUND(((1-(TwoDayDiscount_21_Up+FedExExrpessEarnedDiscount))*'2Day Base'!B73)*(1+ExpressFuelSurcharge),2)))*(1+FedEx_Markup),2)</f>
        <v>80.78</v>
      </c>
      <c r="C76" s="218">
        <f>ROUND((IF(MinBase2Day&gt;ROUND(((1-(TwoDayDiscount_21_Up+FedExExrpessEarnedDiscount))*'2Day Base'!C73),2),ROUND(MinBase2Day*(1+ExpressFuelSurcharge),2),ROUND(((1-(TwoDayDiscount_21_Up+FedExExrpessEarnedDiscount))*'2Day Base'!C73)*(1+ExpressFuelSurcharge),2)))*(1+FedEx_Markup),2)</f>
        <v>101.03</v>
      </c>
      <c r="D76" s="218">
        <f>ROUND((IF(MinBase2Day&gt;ROUND(((1-(TwoDayDiscount_21_Up+FedExExrpessEarnedDiscount))*'2Day Base'!D73),2),ROUND(MinBase2Day*(1+ExpressFuelSurcharge),2),ROUND(((1-(TwoDayDiscount_21_Up+FedExExrpessEarnedDiscount))*'2Day Base'!D73)*(1+ExpressFuelSurcharge),2)))*(1+FedEx_Markup),2)</f>
        <v>119.78</v>
      </c>
      <c r="E76" s="218">
        <f>ROUND((IF(MinBase2Day&gt;ROUND(((1-(TwoDayDiscount_21_Up+FedExExrpessEarnedDiscount))*'2Day Base'!E73),2),ROUND(MinBase2Day*(1+ExpressFuelSurcharge),2),ROUND(((1-(TwoDayDiscount_21_Up+FedExExrpessEarnedDiscount))*'2Day Base'!E73)*(1+ExpressFuelSurcharge),2)))*(1+FedEx_Markup),2)</f>
        <v>186.39</v>
      </c>
      <c r="F76" s="218">
        <f>ROUND((IF(MinBase2Day&gt;ROUND(((1-(TwoDayDiscount_21_Up+FedExExrpessEarnedDiscount))*'2Day Base'!F73),2),ROUND(MinBase2Day*(1+ExpressFuelSurcharge),2),ROUND(((1-(TwoDayDiscount_21_Up+FedExExrpessEarnedDiscount))*'2Day Base'!F73)*(1+ExpressFuelSurcharge),2)))*(1+FedEx_Markup),2)</f>
        <v>298.44</v>
      </c>
      <c r="G76" s="218">
        <f>ROUND((IF(MinBase2Day&gt;ROUND(((1-(TwoDayDiscount_21_Up+FedExExrpessEarnedDiscount))*'2Day Base'!G73),2),ROUND(MinBase2Day*(1+ExpressFuelSurcharge),2),ROUND(((1-(TwoDayDiscount_21_Up+FedExExrpessEarnedDiscount))*'2Day Base'!G73)*(1+ExpressFuelSurcharge),2)))*(1+FedEx_Markup),2)</f>
        <v>309.48</v>
      </c>
      <c r="H76" s="218">
        <f>ROUND((IF(MinBase2Day&gt;ROUND(((1-(TwoDayDiscount_21_Up+FedExExrpessEarnedDiscount))*'2Day Base'!H73),2),ROUND(MinBase2Day*(1+ExpressFuelSurcharge),2),ROUND(((1-(TwoDayDiscount_21_Up+FedExExrpessEarnedDiscount))*'2Day Base'!H73)*(1+ExpressFuelSurcharge),2)))*(1+FedEx_Markup),2)</f>
        <v>315.68</v>
      </c>
      <c r="I76" s="218">
        <f>ROUND((IF(MinBase2Day&gt;ROUND(((1-(TwoDayDiscount_21_Up+FedExExrpessEarnedDiscount))*'2Day Base'!I73),2),ROUND(MinBase2Day*(1+ExpressFuelSurcharge),2),ROUND(((1-(TwoDayDiscount_21_Up+FedExExrpessEarnedDiscount))*'2Day Base'!I73)*(1+ExpressFuelSurcharge),2)))*(1+FedEx_Markup),2)</f>
        <v>322</v>
      </c>
      <c r="J76" s="218">
        <f>ROUND((IF(MinBase2Day&gt;ROUND(((1-(TwoDayDiscount_21_Up+FedExExrpessEarnedDiscount))*'2Day Base'!J73),2),ROUND(MinBase2Day*(1+ExpressFuelSurcharge),2),ROUND(((1-(TwoDayDiscount_21_Up+FedExExrpessEarnedDiscount))*'2Day Base'!J73)*(1+ExpressFuelSurcharge),2)))*(1+FedEx_Markup),2)</f>
        <v>322</v>
      </c>
      <c r="K76" s="218">
        <f>ROUND((IF(MinBase2Day&gt;ROUND(((1-(TwoDayDiscount_21_Up+FedExExrpessEarnedDiscount))*'2Day Base'!K73),2),ROUND(MinBase2Day*(1+ExpressFuelSurcharge),2),ROUND(((1-(TwoDayDiscount_21_Up+FedExExrpessEarnedDiscount))*'2Day Base'!K73)*(1+ExpressFuelSurcharge),2)))*(1+FedEx_Markup),2)</f>
        <v>328.56</v>
      </c>
      <c r="L76" s="218">
        <f>ROUND((IF(MinBase2Day&gt;ROUND(((1-(TwoDayDiscount_21_Up+FedExExrpessEarnedDiscount))*'2Day Base'!L73),2),ROUND(MinBase2Day*(1+ExpressFuelSurcharge),2),ROUND(((1-(TwoDayDiscount_21_Up+FedExExrpessEarnedDiscount))*'2Day Base'!L73)*(1+ExpressFuelSurcharge),2)))*(1+FedEx_Markup),2)</f>
        <v>328.56</v>
      </c>
    </row>
    <row r="77" spans="1:12" ht="12.75" customHeight="1">
      <c r="A77" s="217">
        <v>72</v>
      </c>
      <c r="B77" s="218">
        <f>ROUND((IF(MinBase2Day&gt;ROUND(((1-(TwoDayDiscount_21_Up+FedExExrpessEarnedDiscount))*'2Day Base'!B74),2),ROUND(MinBase2Day*(1+ExpressFuelSurcharge),2),ROUND(((1-(TwoDayDiscount_21_Up+FedExExrpessEarnedDiscount))*'2Day Base'!B74)*(1+ExpressFuelSurcharge),2)))*(1+FedEx_Markup),2)</f>
        <v>81.239999999999995</v>
      </c>
      <c r="C77" s="218">
        <f>ROUND((IF(MinBase2Day&gt;ROUND(((1-(TwoDayDiscount_21_Up+FedExExrpessEarnedDiscount))*'2Day Base'!C74),2),ROUND(MinBase2Day*(1+ExpressFuelSurcharge),2),ROUND(((1-(TwoDayDiscount_21_Up+FedExExrpessEarnedDiscount))*'2Day Base'!C74)*(1+ExpressFuelSurcharge),2)))*(1+FedEx_Markup),2)</f>
        <v>101.3</v>
      </c>
      <c r="D77" s="218">
        <f>ROUND((IF(MinBase2Day&gt;ROUND(((1-(TwoDayDiscount_21_Up+FedExExrpessEarnedDiscount))*'2Day Base'!D74),2),ROUND(MinBase2Day*(1+ExpressFuelSurcharge),2),ROUND(((1-(TwoDayDiscount_21_Up+FedExExrpessEarnedDiscount))*'2Day Base'!D74)*(1+ExpressFuelSurcharge),2)))*(1+FedEx_Markup),2)</f>
        <v>119.99</v>
      </c>
      <c r="E77" s="218">
        <f>ROUND((IF(MinBase2Day&gt;ROUND(((1-(TwoDayDiscount_21_Up+FedExExrpessEarnedDiscount))*'2Day Base'!E74),2),ROUND(MinBase2Day*(1+ExpressFuelSurcharge),2),ROUND(((1-(TwoDayDiscount_21_Up+FedExExrpessEarnedDiscount))*'2Day Base'!E74)*(1+ExpressFuelSurcharge),2)))*(1+FedEx_Markup),2)</f>
        <v>186.71</v>
      </c>
      <c r="F77" s="218">
        <f>ROUND((IF(MinBase2Day&gt;ROUND(((1-(TwoDayDiscount_21_Up+FedExExrpessEarnedDiscount))*'2Day Base'!F74),2),ROUND(MinBase2Day*(1+ExpressFuelSurcharge),2),ROUND(((1-(TwoDayDiscount_21_Up+FedExExrpessEarnedDiscount))*'2Day Base'!F74)*(1+ExpressFuelSurcharge),2)))*(1+FedEx_Markup),2)</f>
        <v>303.51</v>
      </c>
      <c r="G77" s="218">
        <f>ROUND((IF(MinBase2Day&gt;ROUND(((1-(TwoDayDiscount_21_Up+FedExExrpessEarnedDiscount))*'2Day Base'!G74),2),ROUND(MinBase2Day*(1+ExpressFuelSurcharge),2),ROUND(((1-(TwoDayDiscount_21_Up+FedExExrpessEarnedDiscount))*'2Day Base'!G74)*(1+ExpressFuelSurcharge),2)))*(1+FedEx_Markup),2)</f>
        <v>309.79000000000002</v>
      </c>
      <c r="H77" s="218">
        <f>ROUND((IF(MinBase2Day&gt;ROUND(((1-(TwoDayDiscount_21_Up+FedExExrpessEarnedDiscount))*'2Day Base'!H74),2),ROUND(MinBase2Day*(1+ExpressFuelSurcharge),2),ROUND(((1-(TwoDayDiscount_21_Up+FedExExrpessEarnedDiscount))*'2Day Base'!H74)*(1+ExpressFuelSurcharge),2)))*(1+FedEx_Markup),2)</f>
        <v>316</v>
      </c>
      <c r="I77" s="218">
        <f>ROUND((IF(MinBase2Day&gt;ROUND(((1-(TwoDayDiscount_21_Up+FedExExrpessEarnedDiscount))*'2Day Base'!I74),2),ROUND(MinBase2Day*(1+ExpressFuelSurcharge),2),ROUND(((1-(TwoDayDiscount_21_Up+FedExExrpessEarnedDiscount))*'2Day Base'!I74)*(1+ExpressFuelSurcharge),2)))*(1+FedEx_Markup),2)</f>
        <v>322.32</v>
      </c>
      <c r="J77" s="218">
        <f>ROUND((IF(MinBase2Day&gt;ROUND(((1-(TwoDayDiscount_21_Up+FedExExrpessEarnedDiscount))*'2Day Base'!J74),2),ROUND(MinBase2Day*(1+ExpressFuelSurcharge),2),ROUND(((1-(TwoDayDiscount_21_Up+FedExExrpessEarnedDiscount))*'2Day Base'!J74)*(1+ExpressFuelSurcharge),2)))*(1+FedEx_Markup),2)</f>
        <v>322.32</v>
      </c>
      <c r="K77" s="218">
        <f>ROUND((IF(MinBase2Day&gt;ROUND(((1-(TwoDayDiscount_21_Up+FedExExrpessEarnedDiscount))*'2Day Base'!K74),2),ROUND(MinBase2Day*(1+ExpressFuelSurcharge),2),ROUND(((1-(TwoDayDiscount_21_Up+FedExExrpessEarnedDiscount))*'2Day Base'!K74)*(1+ExpressFuelSurcharge),2)))*(1+FedEx_Markup),2)</f>
        <v>328.77</v>
      </c>
      <c r="L77" s="218">
        <f>ROUND((IF(MinBase2Day&gt;ROUND(((1-(TwoDayDiscount_21_Up+FedExExrpessEarnedDiscount))*'2Day Base'!L74),2),ROUND(MinBase2Day*(1+ExpressFuelSurcharge),2),ROUND(((1-(TwoDayDiscount_21_Up+FedExExrpessEarnedDiscount))*'2Day Base'!L74)*(1+ExpressFuelSurcharge),2)))*(1+FedEx_Markup),2)</f>
        <v>328.77</v>
      </c>
    </row>
    <row r="78" spans="1:12" ht="12.75" customHeight="1">
      <c r="A78" s="217">
        <v>73</v>
      </c>
      <c r="B78" s="218">
        <f>ROUND((IF(MinBase2Day&gt;ROUND(((1-(TwoDayDiscount_21_Up+FedExExrpessEarnedDiscount))*'2Day Base'!B75),2),ROUND(MinBase2Day*(1+ExpressFuelSurcharge),2),ROUND(((1-(TwoDayDiscount_21_Up+FedExExrpessEarnedDiscount))*'2Day Base'!B75)*(1+ExpressFuelSurcharge),2)))*(1+FedEx_Markup),2)</f>
        <v>81.510000000000005</v>
      </c>
      <c r="C78" s="218">
        <f>ROUND((IF(MinBase2Day&gt;ROUND(((1-(TwoDayDiscount_21_Up+FedExExrpessEarnedDiscount))*'2Day Base'!C75),2),ROUND(MinBase2Day*(1+ExpressFuelSurcharge),2),ROUND(((1-(TwoDayDiscount_21_Up+FedExExrpessEarnedDiscount))*'2Day Base'!C75)*(1+ExpressFuelSurcharge),2)))*(1+FedEx_Markup),2)</f>
        <v>101.65</v>
      </c>
      <c r="D78" s="218">
        <f>ROUND((IF(MinBase2Day&gt;ROUND(((1-(TwoDayDiscount_21_Up+FedExExrpessEarnedDiscount))*'2Day Base'!D75),2),ROUND(MinBase2Day*(1+ExpressFuelSurcharge),2),ROUND(((1-(TwoDayDiscount_21_Up+FedExExrpessEarnedDiscount))*'2Day Base'!D75)*(1+ExpressFuelSurcharge),2)))*(1+FedEx_Markup),2)</f>
        <v>120.2</v>
      </c>
      <c r="E78" s="218">
        <f>ROUND((IF(MinBase2Day&gt;ROUND(((1-(TwoDayDiscount_21_Up+FedExExrpessEarnedDiscount))*'2Day Base'!E75),2),ROUND(MinBase2Day*(1+ExpressFuelSurcharge),2),ROUND(((1-(TwoDayDiscount_21_Up+FedExExrpessEarnedDiscount))*'2Day Base'!E75)*(1+ExpressFuelSurcharge),2)))*(1+FedEx_Markup),2)</f>
        <v>193.05</v>
      </c>
      <c r="F78" s="218">
        <f>ROUND((IF(MinBase2Day&gt;ROUND(((1-(TwoDayDiscount_21_Up+FedExExrpessEarnedDiscount))*'2Day Base'!F75),2),ROUND(MinBase2Day*(1+ExpressFuelSurcharge),2),ROUND(((1-(TwoDayDiscount_21_Up+FedExExrpessEarnedDiscount))*'2Day Base'!F75)*(1+ExpressFuelSurcharge),2)))*(1+FedEx_Markup),2)</f>
        <v>304.02999999999997</v>
      </c>
      <c r="G78" s="218">
        <f>ROUND((IF(MinBase2Day&gt;ROUND(((1-(TwoDayDiscount_21_Up+FedExExrpessEarnedDiscount))*'2Day Base'!G75),2),ROUND(MinBase2Day*(1+ExpressFuelSurcharge),2),ROUND(((1-(TwoDayDiscount_21_Up+FedExExrpessEarnedDiscount))*'2Day Base'!G75)*(1+ExpressFuelSurcharge),2)))*(1+FedEx_Markup),2)</f>
        <v>310.11</v>
      </c>
      <c r="H78" s="218">
        <f>ROUND((IF(MinBase2Day&gt;ROUND(((1-(TwoDayDiscount_21_Up+FedExExrpessEarnedDiscount))*'2Day Base'!H75),2),ROUND(MinBase2Day*(1+ExpressFuelSurcharge),2),ROUND(((1-(TwoDayDiscount_21_Up+FedExExrpessEarnedDiscount))*'2Day Base'!H75)*(1+ExpressFuelSurcharge),2)))*(1+FedEx_Markup),2)</f>
        <v>316.32</v>
      </c>
      <c r="I78" s="218">
        <f>ROUND((IF(MinBase2Day&gt;ROUND(((1-(TwoDayDiscount_21_Up+FedExExrpessEarnedDiscount))*'2Day Base'!I75),2),ROUND(MinBase2Day*(1+ExpressFuelSurcharge),2),ROUND(((1-(TwoDayDiscount_21_Up+FedExExrpessEarnedDiscount))*'2Day Base'!I75)*(1+ExpressFuelSurcharge),2)))*(1+FedEx_Markup),2)</f>
        <v>322.64</v>
      </c>
      <c r="J78" s="218">
        <f>ROUND((IF(MinBase2Day&gt;ROUND(((1-(TwoDayDiscount_21_Up+FedExExrpessEarnedDiscount))*'2Day Base'!J75),2),ROUND(MinBase2Day*(1+ExpressFuelSurcharge),2),ROUND(((1-(TwoDayDiscount_21_Up+FedExExrpessEarnedDiscount))*'2Day Base'!J75)*(1+ExpressFuelSurcharge),2)))*(1+FedEx_Markup),2)</f>
        <v>322.64</v>
      </c>
      <c r="K78" s="218">
        <f>ROUND((IF(MinBase2Day&gt;ROUND(((1-(TwoDayDiscount_21_Up+FedExExrpessEarnedDiscount))*'2Day Base'!K75),2),ROUND(MinBase2Day*(1+ExpressFuelSurcharge),2),ROUND(((1-(TwoDayDiscount_21_Up+FedExExrpessEarnedDiscount))*'2Day Base'!K75)*(1+ExpressFuelSurcharge),2)))*(1+FedEx_Markup),2)</f>
        <v>329.11</v>
      </c>
      <c r="L78" s="218">
        <f>ROUND((IF(MinBase2Day&gt;ROUND(((1-(TwoDayDiscount_21_Up+FedExExrpessEarnedDiscount))*'2Day Base'!L75),2),ROUND(MinBase2Day*(1+ExpressFuelSurcharge),2),ROUND(((1-(TwoDayDiscount_21_Up+FedExExrpessEarnedDiscount))*'2Day Base'!L75)*(1+ExpressFuelSurcharge),2)))*(1+FedEx_Markup),2)</f>
        <v>329.11</v>
      </c>
    </row>
    <row r="79" spans="1:12" ht="12.75" customHeight="1">
      <c r="A79" s="217">
        <v>74</v>
      </c>
      <c r="B79" s="218">
        <f>ROUND((IF(MinBase2Day&gt;ROUND(((1-(TwoDayDiscount_21_Up+FedExExrpessEarnedDiscount))*'2Day Base'!B76),2),ROUND(MinBase2Day*(1+ExpressFuelSurcharge),2),ROUND(((1-(TwoDayDiscount_21_Up+FedExExrpessEarnedDiscount))*'2Day Base'!B76)*(1+ExpressFuelSurcharge),2)))*(1+FedEx_Markup),2)</f>
        <v>81.8</v>
      </c>
      <c r="C79" s="218">
        <f>ROUND((IF(MinBase2Day&gt;ROUND(((1-(TwoDayDiscount_21_Up+FedExExrpessEarnedDiscount))*'2Day Base'!C76),2),ROUND(MinBase2Day*(1+ExpressFuelSurcharge),2),ROUND(((1-(TwoDayDiscount_21_Up+FedExExrpessEarnedDiscount))*'2Day Base'!C76)*(1+ExpressFuelSurcharge),2)))*(1+FedEx_Markup),2)</f>
        <v>101.96</v>
      </c>
      <c r="D79" s="218">
        <f>ROUND((IF(MinBase2Day&gt;ROUND(((1-(TwoDayDiscount_21_Up+FedExExrpessEarnedDiscount))*'2Day Base'!D76),2),ROUND(MinBase2Day*(1+ExpressFuelSurcharge),2),ROUND(((1-(TwoDayDiscount_21_Up+FedExExrpessEarnedDiscount))*'2Day Base'!D76)*(1+ExpressFuelSurcharge),2)))*(1+FedEx_Markup),2)</f>
        <v>120.41</v>
      </c>
      <c r="E79" s="218">
        <f>ROUND((IF(MinBase2Day&gt;ROUND(((1-(TwoDayDiscount_21_Up+FedExExrpessEarnedDiscount))*'2Day Base'!E76),2),ROUND(MinBase2Day*(1+ExpressFuelSurcharge),2),ROUND(((1-(TwoDayDiscount_21_Up+FedExExrpessEarnedDiscount))*'2Day Base'!E76)*(1+ExpressFuelSurcharge),2)))*(1+FedEx_Markup),2)</f>
        <v>193.68</v>
      </c>
      <c r="F79" s="218">
        <f>ROUND((IF(MinBase2Day&gt;ROUND(((1-(TwoDayDiscount_21_Up+FedExExrpessEarnedDiscount))*'2Day Base'!F76),2),ROUND(MinBase2Day*(1+ExpressFuelSurcharge),2),ROUND(((1-(TwoDayDiscount_21_Up+FedExExrpessEarnedDiscount))*'2Day Base'!F76)*(1+ExpressFuelSurcharge),2)))*(1+FedEx_Markup),2)</f>
        <v>304.45</v>
      </c>
      <c r="G79" s="218">
        <f>ROUND((IF(MinBase2Day&gt;ROUND(((1-(TwoDayDiscount_21_Up+FedExExrpessEarnedDiscount))*'2Day Base'!G76),2),ROUND(MinBase2Day*(1+ExpressFuelSurcharge),2),ROUND(((1-(TwoDayDiscount_21_Up+FedExExrpessEarnedDiscount))*'2Day Base'!G76)*(1+ExpressFuelSurcharge),2)))*(1+FedEx_Markup),2)</f>
        <v>310.82</v>
      </c>
      <c r="H79" s="218">
        <f>ROUND((IF(MinBase2Day&gt;ROUND(((1-(TwoDayDiscount_21_Up+FedExExrpessEarnedDiscount))*'2Day Base'!H76),2),ROUND(MinBase2Day*(1+ExpressFuelSurcharge),2),ROUND(((1-(TwoDayDiscount_21_Up+FedExExrpessEarnedDiscount))*'2Day Base'!H76)*(1+ExpressFuelSurcharge),2)))*(1+FedEx_Markup),2)</f>
        <v>317.04000000000002</v>
      </c>
      <c r="I79" s="218">
        <f>ROUND((IF(MinBase2Day&gt;ROUND(((1-(TwoDayDiscount_21_Up+FedExExrpessEarnedDiscount))*'2Day Base'!I76),2),ROUND(MinBase2Day*(1+ExpressFuelSurcharge),2),ROUND(((1-(TwoDayDiscount_21_Up+FedExExrpessEarnedDiscount))*'2Day Base'!I76)*(1+ExpressFuelSurcharge),2)))*(1+FedEx_Markup),2)</f>
        <v>323.39</v>
      </c>
      <c r="J79" s="218">
        <f>ROUND((IF(MinBase2Day&gt;ROUND(((1-(TwoDayDiscount_21_Up+FedExExrpessEarnedDiscount))*'2Day Base'!J76),2),ROUND(MinBase2Day*(1+ExpressFuelSurcharge),2),ROUND(((1-(TwoDayDiscount_21_Up+FedExExrpessEarnedDiscount))*'2Day Base'!J76)*(1+ExpressFuelSurcharge),2)))*(1+FedEx_Markup),2)</f>
        <v>323.39</v>
      </c>
      <c r="K79" s="218">
        <f>ROUND((IF(MinBase2Day&gt;ROUND(((1-(TwoDayDiscount_21_Up+FedExExrpessEarnedDiscount))*'2Day Base'!K76),2),ROUND(MinBase2Day*(1+ExpressFuelSurcharge),2),ROUND(((1-(TwoDayDiscount_21_Up+FedExExrpessEarnedDiscount))*'2Day Base'!K76)*(1+ExpressFuelSurcharge),2)))*(1+FedEx_Markup),2)</f>
        <v>329.87</v>
      </c>
      <c r="L79" s="218">
        <f>ROUND((IF(MinBase2Day&gt;ROUND(((1-(TwoDayDiscount_21_Up+FedExExrpessEarnedDiscount))*'2Day Base'!L76),2),ROUND(MinBase2Day*(1+ExpressFuelSurcharge),2),ROUND(((1-(TwoDayDiscount_21_Up+FedExExrpessEarnedDiscount))*'2Day Base'!L76)*(1+ExpressFuelSurcharge),2)))*(1+FedEx_Markup),2)</f>
        <v>329.87</v>
      </c>
    </row>
    <row r="80" spans="1:12" ht="12.75" customHeight="1">
      <c r="A80" s="217">
        <v>75</v>
      </c>
      <c r="B80" s="218">
        <f>ROUND((IF(MinBase2Day&gt;ROUND(((1-(TwoDayDiscount_21_Up+FedExExrpessEarnedDiscount))*'2Day Base'!B77),2),ROUND(MinBase2Day*(1+ExpressFuelSurcharge),2),ROUND(((1-(TwoDayDiscount_21_Up+FedExExrpessEarnedDiscount))*'2Day Base'!B77)*(1+ExpressFuelSurcharge),2)))*(1+FedEx_Markup),2)</f>
        <v>82.35</v>
      </c>
      <c r="C80" s="218">
        <f>ROUND((IF(MinBase2Day&gt;ROUND(((1-(TwoDayDiscount_21_Up+FedExExrpessEarnedDiscount))*'2Day Base'!C77),2),ROUND(MinBase2Day*(1+ExpressFuelSurcharge),2),ROUND(((1-(TwoDayDiscount_21_Up+FedExExrpessEarnedDiscount))*'2Day Base'!C77)*(1+ExpressFuelSurcharge),2)))*(1+FedEx_Markup),2)</f>
        <v>102.58</v>
      </c>
      <c r="D80" s="218">
        <f>ROUND((IF(MinBase2Day&gt;ROUND(((1-(TwoDayDiscount_21_Up+FedExExrpessEarnedDiscount))*'2Day Base'!D77),2),ROUND(MinBase2Day*(1+ExpressFuelSurcharge),2),ROUND(((1-(TwoDayDiscount_21_Up+FedExExrpessEarnedDiscount))*'2Day Base'!D77)*(1+ExpressFuelSurcharge),2)))*(1+FedEx_Markup),2)</f>
        <v>121.6</v>
      </c>
      <c r="E80" s="218">
        <f>ROUND((IF(MinBase2Day&gt;ROUND(((1-(TwoDayDiscount_21_Up+FedExExrpessEarnedDiscount))*'2Day Base'!E77),2),ROUND(MinBase2Day*(1+ExpressFuelSurcharge),2),ROUND(((1-(TwoDayDiscount_21_Up+FedExExrpessEarnedDiscount))*'2Day Base'!E77)*(1+ExpressFuelSurcharge),2)))*(1+FedEx_Markup),2)</f>
        <v>197.59</v>
      </c>
      <c r="F80" s="218">
        <f>ROUND((IF(MinBase2Day&gt;ROUND(((1-(TwoDayDiscount_21_Up+FedExExrpessEarnedDiscount))*'2Day Base'!F77),2),ROUND(MinBase2Day*(1+ExpressFuelSurcharge),2),ROUND(((1-(TwoDayDiscount_21_Up+FedExExrpessEarnedDiscount))*'2Day Base'!F77)*(1+ExpressFuelSurcharge),2)))*(1+FedEx_Markup),2)</f>
        <v>312.88</v>
      </c>
      <c r="G80" s="218">
        <f>ROUND((IF(MinBase2Day&gt;ROUND(((1-(TwoDayDiscount_21_Up+FedExExrpessEarnedDiscount))*'2Day Base'!G77),2),ROUND(MinBase2Day*(1+ExpressFuelSurcharge),2),ROUND(((1-(TwoDayDiscount_21_Up+FedExExrpessEarnedDiscount))*'2Day Base'!G77)*(1+ExpressFuelSurcharge),2)))*(1+FedEx_Markup),2)</f>
        <v>325.13</v>
      </c>
      <c r="H80" s="218">
        <f>ROUND((IF(MinBase2Day&gt;ROUND(((1-(TwoDayDiscount_21_Up+FedExExrpessEarnedDiscount))*'2Day Base'!H77),2),ROUND(MinBase2Day*(1+ExpressFuelSurcharge),2),ROUND(((1-(TwoDayDiscount_21_Up+FedExExrpessEarnedDiscount))*'2Day Base'!H77)*(1+ExpressFuelSurcharge),2)))*(1+FedEx_Markup),2)</f>
        <v>331.64</v>
      </c>
      <c r="I80" s="218">
        <f>ROUND((IF(MinBase2Day&gt;ROUND(((1-(TwoDayDiscount_21_Up+FedExExrpessEarnedDiscount))*'2Day Base'!I77),2),ROUND(MinBase2Day*(1+ExpressFuelSurcharge),2),ROUND(((1-(TwoDayDiscount_21_Up+FedExExrpessEarnedDiscount))*'2Day Base'!I77)*(1+ExpressFuelSurcharge),2)))*(1+FedEx_Markup),2)</f>
        <v>338.27</v>
      </c>
      <c r="J80" s="218">
        <f>ROUND((IF(MinBase2Day&gt;ROUND(((1-(TwoDayDiscount_21_Up+FedExExrpessEarnedDiscount))*'2Day Base'!J77),2),ROUND(MinBase2Day*(1+ExpressFuelSurcharge),2),ROUND(((1-(TwoDayDiscount_21_Up+FedExExrpessEarnedDiscount))*'2Day Base'!J77)*(1+ExpressFuelSurcharge),2)))*(1+FedEx_Markup),2)</f>
        <v>338.27</v>
      </c>
      <c r="K80" s="218">
        <f>ROUND((IF(MinBase2Day&gt;ROUND(((1-(TwoDayDiscount_21_Up+FedExExrpessEarnedDiscount))*'2Day Base'!K77),2),ROUND(MinBase2Day*(1+ExpressFuelSurcharge),2),ROUND(((1-(TwoDayDiscount_21_Up+FedExExrpessEarnedDiscount))*'2Day Base'!K77)*(1+ExpressFuelSurcharge),2)))*(1+FedEx_Markup),2)</f>
        <v>345.05</v>
      </c>
      <c r="L80" s="218">
        <f>ROUND((IF(MinBase2Day&gt;ROUND(((1-(TwoDayDiscount_21_Up+FedExExrpessEarnedDiscount))*'2Day Base'!L77),2),ROUND(MinBase2Day*(1+ExpressFuelSurcharge),2),ROUND(((1-(TwoDayDiscount_21_Up+FedExExrpessEarnedDiscount))*'2Day Base'!L77)*(1+ExpressFuelSurcharge),2)))*(1+FedEx_Markup),2)</f>
        <v>345.05</v>
      </c>
    </row>
    <row r="81" spans="1:26" ht="12.75" customHeight="1">
      <c r="A81" s="217">
        <v>76</v>
      </c>
      <c r="B81" s="218">
        <f>ROUND((IF(MinBase2Day&gt;ROUND(((1-(TwoDayDiscount_21_Up+FedExExrpessEarnedDiscount))*'2Day Base'!B78),2),ROUND(MinBase2Day*(1+ExpressFuelSurcharge),2),ROUND(((1-(TwoDayDiscount_21_Up+FedExExrpessEarnedDiscount))*'2Day Base'!B78)*(1+ExpressFuelSurcharge),2)))*(1+FedEx_Markup),2)</f>
        <v>83.93</v>
      </c>
      <c r="C81" s="218">
        <f>ROUND((IF(MinBase2Day&gt;ROUND(((1-(TwoDayDiscount_21_Up+FedExExrpessEarnedDiscount))*'2Day Base'!C78),2),ROUND(MinBase2Day*(1+ExpressFuelSurcharge),2),ROUND(((1-(TwoDayDiscount_21_Up+FedExExrpessEarnedDiscount))*'2Day Base'!C78)*(1+ExpressFuelSurcharge),2)))*(1+FedEx_Markup),2)</f>
        <v>102.99</v>
      </c>
      <c r="D81" s="218">
        <f>ROUND((IF(MinBase2Day&gt;ROUND(((1-(TwoDayDiscount_21_Up+FedExExrpessEarnedDiscount))*'2Day Base'!D78),2),ROUND(MinBase2Day*(1+ExpressFuelSurcharge),2),ROUND(((1-(TwoDayDiscount_21_Up+FedExExrpessEarnedDiscount))*'2Day Base'!D78)*(1+ExpressFuelSurcharge),2)))*(1+FedEx_Markup),2)</f>
        <v>122.23</v>
      </c>
      <c r="E81" s="218">
        <f>ROUND((IF(MinBase2Day&gt;ROUND(((1-(TwoDayDiscount_21_Up+FedExExrpessEarnedDiscount))*'2Day Base'!E78),2),ROUND(MinBase2Day*(1+ExpressFuelSurcharge),2),ROUND(((1-(TwoDayDiscount_21_Up+FedExExrpessEarnedDiscount))*'2Day Base'!E78)*(1+ExpressFuelSurcharge),2)))*(1+FedEx_Markup),2)</f>
        <v>198.01</v>
      </c>
      <c r="F81" s="218">
        <f>ROUND((IF(MinBase2Day&gt;ROUND(((1-(TwoDayDiscount_21_Up+FedExExrpessEarnedDiscount))*'2Day Base'!F78),2),ROUND(MinBase2Day*(1+ExpressFuelSurcharge),2),ROUND(((1-(TwoDayDiscount_21_Up+FedExExrpessEarnedDiscount))*'2Day Base'!F78)*(1+ExpressFuelSurcharge),2)))*(1+FedEx_Markup),2)</f>
        <v>323.73</v>
      </c>
      <c r="G81" s="218">
        <f>ROUND((IF(MinBase2Day&gt;ROUND(((1-(TwoDayDiscount_21_Up+FedExExrpessEarnedDiscount))*'2Day Base'!G78),2),ROUND(MinBase2Day*(1+ExpressFuelSurcharge),2),ROUND(((1-(TwoDayDiscount_21_Up+FedExExrpessEarnedDiscount))*'2Day Base'!G78)*(1+ExpressFuelSurcharge),2)))*(1+FedEx_Markup),2)</f>
        <v>330.2</v>
      </c>
      <c r="H81" s="218">
        <f>ROUND((IF(MinBase2Day&gt;ROUND(((1-(TwoDayDiscount_21_Up+FedExExrpessEarnedDiscount))*'2Day Base'!H78),2),ROUND(MinBase2Day*(1+ExpressFuelSurcharge),2),ROUND(((1-(TwoDayDiscount_21_Up+FedExExrpessEarnedDiscount))*'2Day Base'!H78)*(1+ExpressFuelSurcharge),2)))*(1+FedEx_Markup),2)</f>
        <v>336.81</v>
      </c>
      <c r="I81" s="218">
        <f>ROUND((IF(MinBase2Day&gt;ROUND(((1-(TwoDayDiscount_21_Up+FedExExrpessEarnedDiscount))*'2Day Base'!I78),2),ROUND(MinBase2Day*(1+ExpressFuelSurcharge),2),ROUND(((1-(TwoDayDiscount_21_Up+FedExExrpessEarnedDiscount))*'2Day Base'!I78)*(1+ExpressFuelSurcharge),2)))*(1+FedEx_Markup),2)</f>
        <v>343.54</v>
      </c>
      <c r="J81" s="218">
        <f>ROUND((IF(MinBase2Day&gt;ROUND(((1-(TwoDayDiscount_21_Up+FedExExrpessEarnedDiscount))*'2Day Base'!J78),2),ROUND(MinBase2Day*(1+ExpressFuelSurcharge),2),ROUND(((1-(TwoDayDiscount_21_Up+FedExExrpessEarnedDiscount))*'2Day Base'!J78)*(1+ExpressFuelSurcharge),2)))*(1+FedEx_Markup),2)</f>
        <v>343.54</v>
      </c>
      <c r="K81" s="218">
        <f>ROUND((IF(MinBase2Day&gt;ROUND(((1-(TwoDayDiscount_21_Up+FedExExrpessEarnedDiscount))*'2Day Base'!K78),2),ROUND(MinBase2Day*(1+ExpressFuelSurcharge),2),ROUND(((1-(TwoDayDiscount_21_Up+FedExExrpessEarnedDiscount))*'2Day Base'!K78)*(1+ExpressFuelSurcharge),2)))*(1+FedEx_Markup),2)</f>
        <v>350.42</v>
      </c>
      <c r="L81" s="218">
        <f>ROUND((IF(MinBase2Day&gt;ROUND(((1-(TwoDayDiscount_21_Up+FedExExrpessEarnedDiscount))*'2Day Base'!L78),2),ROUND(MinBase2Day*(1+ExpressFuelSurcharge),2),ROUND(((1-(TwoDayDiscount_21_Up+FedExExrpessEarnedDiscount))*'2Day Base'!L78)*(1+ExpressFuelSurcharge),2)))*(1+FedEx_Markup),2)</f>
        <v>350.42</v>
      </c>
    </row>
    <row r="82" spans="1:26" ht="12.75" customHeight="1">
      <c r="A82" s="217">
        <v>77</v>
      </c>
      <c r="B82" s="218">
        <f>ROUND((IF(MinBase2Day&gt;ROUND(((1-(TwoDayDiscount_21_Up+FedExExrpessEarnedDiscount))*'2Day Base'!B79),2),ROUND(MinBase2Day*(1+ExpressFuelSurcharge),2),ROUND(((1-(TwoDayDiscount_21_Up+FedExExrpessEarnedDiscount))*'2Day Base'!B79)*(1+ExpressFuelSurcharge),2)))*(1+FedEx_Markup),2)</f>
        <v>84.34</v>
      </c>
      <c r="C82" s="218">
        <f>ROUND((IF(MinBase2Day&gt;ROUND(((1-(TwoDayDiscount_21_Up+FedExExrpessEarnedDiscount))*'2Day Base'!C79),2),ROUND(MinBase2Day*(1+ExpressFuelSurcharge),2),ROUND(((1-(TwoDayDiscount_21_Up+FedExExrpessEarnedDiscount))*'2Day Base'!C79)*(1+ExpressFuelSurcharge),2)))*(1+FedEx_Markup),2)</f>
        <v>103.42</v>
      </c>
      <c r="D82" s="218">
        <f>ROUND((IF(MinBase2Day&gt;ROUND(((1-(TwoDayDiscount_21_Up+FedExExrpessEarnedDiscount))*'2Day Base'!D79),2),ROUND(MinBase2Day*(1+ExpressFuelSurcharge),2),ROUND(((1-(TwoDayDiscount_21_Up+FedExExrpessEarnedDiscount))*'2Day Base'!D79)*(1+ExpressFuelSurcharge),2)))*(1+FedEx_Markup),2)</f>
        <v>124.73</v>
      </c>
      <c r="E82" s="218">
        <f>ROUND((IF(MinBase2Day&gt;ROUND(((1-(TwoDayDiscount_21_Up+FedExExrpessEarnedDiscount))*'2Day Base'!E79),2),ROUND(MinBase2Day*(1+ExpressFuelSurcharge),2),ROUND(((1-(TwoDayDiscount_21_Up+FedExExrpessEarnedDiscount))*'2Day Base'!E79)*(1+ExpressFuelSurcharge),2)))*(1+FedEx_Markup),2)</f>
        <v>198.43</v>
      </c>
      <c r="F82" s="218">
        <f>ROUND((IF(MinBase2Day&gt;ROUND(((1-(TwoDayDiscount_21_Up+FedExExrpessEarnedDiscount))*'2Day Base'!F79),2),ROUND(MinBase2Day*(1+ExpressFuelSurcharge),2),ROUND(((1-(TwoDayDiscount_21_Up+FedExExrpessEarnedDiscount))*'2Day Base'!F79)*(1+ExpressFuelSurcharge),2)))*(1+FedEx_Markup),2)</f>
        <v>327.49</v>
      </c>
      <c r="G82" s="218">
        <f>ROUND((IF(MinBase2Day&gt;ROUND(((1-(TwoDayDiscount_21_Up+FedExExrpessEarnedDiscount))*'2Day Base'!G79),2),ROUND(MinBase2Day*(1+ExpressFuelSurcharge),2),ROUND(((1-(TwoDayDiscount_21_Up+FedExExrpessEarnedDiscount))*'2Day Base'!G79)*(1+ExpressFuelSurcharge),2)))*(1+FedEx_Markup),2)</f>
        <v>334.11</v>
      </c>
      <c r="H82" s="218">
        <f>ROUND((IF(MinBase2Day&gt;ROUND(((1-(TwoDayDiscount_21_Up+FedExExrpessEarnedDiscount))*'2Day Base'!H79),2),ROUND(MinBase2Day*(1+ExpressFuelSurcharge),2),ROUND(((1-(TwoDayDiscount_21_Up+FedExExrpessEarnedDiscount))*'2Day Base'!H79)*(1+ExpressFuelSurcharge),2)))*(1+FedEx_Markup),2)</f>
        <v>340.79</v>
      </c>
      <c r="I82" s="218">
        <f>ROUND((IF(MinBase2Day&gt;ROUND(((1-(TwoDayDiscount_21_Up+FedExExrpessEarnedDiscount))*'2Day Base'!I79),2),ROUND(MinBase2Day*(1+ExpressFuelSurcharge),2),ROUND(((1-(TwoDayDiscount_21_Up+FedExExrpessEarnedDiscount))*'2Day Base'!I79)*(1+ExpressFuelSurcharge),2)))*(1+FedEx_Markup),2)</f>
        <v>347.62</v>
      </c>
      <c r="J82" s="218">
        <f>ROUND((IF(MinBase2Day&gt;ROUND(((1-(TwoDayDiscount_21_Up+FedExExrpessEarnedDiscount))*'2Day Base'!J79),2),ROUND(MinBase2Day*(1+ExpressFuelSurcharge),2),ROUND(((1-(TwoDayDiscount_21_Up+FedExExrpessEarnedDiscount))*'2Day Base'!J79)*(1+ExpressFuelSurcharge),2)))*(1+FedEx_Markup),2)</f>
        <v>347.62</v>
      </c>
      <c r="K82" s="218">
        <f>ROUND((IF(MinBase2Day&gt;ROUND(((1-(TwoDayDiscount_21_Up+FedExExrpessEarnedDiscount))*'2Day Base'!K79),2),ROUND(MinBase2Day*(1+ExpressFuelSurcharge),2),ROUND(((1-(TwoDayDiscount_21_Up+FedExExrpessEarnedDiscount))*'2Day Base'!K79)*(1+ExpressFuelSurcharge),2)))*(1+FedEx_Markup),2)</f>
        <v>354.58</v>
      </c>
      <c r="L82" s="218">
        <f>ROUND((IF(MinBase2Day&gt;ROUND(((1-(TwoDayDiscount_21_Up+FedExExrpessEarnedDiscount))*'2Day Base'!L79),2),ROUND(MinBase2Day*(1+ExpressFuelSurcharge),2),ROUND(((1-(TwoDayDiscount_21_Up+FedExExrpessEarnedDiscount))*'2Day Base'!L79)*(1+ExpressFuelSurcharge),2)))*(1+FedEx_Markup),2)</f>
        <v>354.58</v>
      </c>
    </row>
    <row r="83" spans="1:26" ht="12.75" customHeight="1">
      <c r="A83" s="217">
        <v>78</v>
      </c>
      <c r="B83" s="218">
        <f>ROUND((IF(MinBase2Day&gt;ROUND(((1-(TwoDayDiscount_21_Up+FedExExrpessEarnedDiscount))*'2Day Base'!B80),2),ROUND(MinBase2Day*(1+ExpressFuelSurcharge),2),ROUND(((1-(TwoDayDiscount_21_Up+FedExExrpessEarnedDiscount))*'2Day Base'!B80)*(1+ExpressFuelSurcharge),2)))*(1+FedEx_Markup),2)</f>
        <v>84.77</v>
      </c>
      <c r="C83" s="218">
        <f>ROUND((IF(MinBase2Day&gt;ROUND(((1-(TwoDayDiscount_21_Up+FedExExrpessEarnedDiscount))*'2Day Base'!C80),2),ROUND(MinBase2Day*(1+ExpressFuelSurcharge),2),ROUND(((1-(TwoDayDiscount_21_Up+FedExExrpessEarnedDiscount))*'2Day Base'!C80)*(1+ExpressFuelSurcharge),2)))*(1+FedEx_Markup),2)</f>
        <v>103.83</v>
      </c>
      <c r="D83" s="218">
        <f>ROUND((IF(MinBase2Day&gt;ROUND(((1-(TwoDayDiscount_21_Up+FedExExrpessEarnedDiscount))*'2Day Base'!D80),2),ROUND(MinBase2Day*(1+ExpressFuelSurcharge),2),ROUND(((1-(TwoDayDiscount_21_Up+FedExExrpessEarnedDiscount))*'2Day Base'!D80)*(1+ExpressFuelSurcharge),2)))*(1+FedEx_Markup),2)</f>
        <v>125.36</v>
      </c>
      <c r="E83" s="218">
        <f>ROUND((IF(MinBase2Day&gt;ROUND(((1-(TwoDayDiscount_21_Up+FedExExrpessEarnedDiscount))*'2Day Base'!E80),2),ROUND(MinBase2Day*(1+ExpressFuelSurcharge),2),ROUND(((1-(TwoDayDiscount_21_Up+FedExExrpessEarnedDiscount))*'2Day Base'!E80)*(1+ExpressFuelSurcharge),2)))*(1+FedEx_Markup),2)</f>
        <v>205.86</v>
      </c>
      <c r="F83" s="218">
        <f>ROUND((IF(MinBase2Day&gt;ROUND(((1-(TwoDayDiscount_21_Up+FedExExrpessEarnedDiscount))*'2Day Base'!F80),2),ROUND(MinBase2Day*(1+ExpressFuelSurcharge),2),ROUND(((1-(TwoDayDiscount_21_Up+FedExExrpessEarnedDiscount))*'2Day Base'!F80)*(1+ExpressFuelSurcharge),2)))*(1+FedEx_Markup),2)</f>
        <v>329.31</v>
      </c>
      <c r="G83" s="218">
        <f>ROUND((IF(MinBase2Day&gt;ROUND(((1-(TwoDayDiscount_21_Up+FedExExrpessEarnedDiscount))*'2Day Base'!G80),2),ROUND(MinBase2Day*(1+ExpressFuelSurcharge),2),ROUND(((1-(TwoDayDiscount_21_Up+FedExExrpessEarnedDiscount))*'2Day Base'!G80)*(1+ExpressFuelSurcharge),2)))*(1+FedEx_Markup),2)</f>
        <v>340.11</v>
      </c>
      <c r="H83" s="218">
        <f>ROUND((IF(MinBase2Day&gt;ROUND(((1-(TwoDayDiscount_21_Up+FedExExrpessEarnedDiscount))*'2Day Base'!H80),2),ROUND(MinBase2Day*(1+ExpressFuelSurcharge),2),ROUND(((1-(TwoDayDiscount_21_Up+FedExExrpessEarnedDiscount))*'2Day Base'!H80)*(1+ExpressFuelSurcharge),2)))*(1+FedEx_Markup),2)</f>
        <v>365.06</v>
      </c>
      <c r="I83" s="218">
        <f>ROUND((IF(MinBase2Day&gt;ROUND(((1-(TwoDayDiscount_21_Up+FedExExrpessEarnedDiscount))*'2Day Base'!I80),2),ROUND(MinBase2Day*(1+ExpressFuelSurcharge),2),ROUND(((1-(TwoDayDiscount_21_Up+FedExExrpessEarnedDiscount))*'2Day Base'!I80)*(1+ExpressFuelSurcharge),2)))*(1+FedEx_Markup),2)</f>
        <v>372.37</v>
      </c>
      <c r="J83" s="218">
        <f>ROUND((IF(MinBase2Day&gt;ROUND(((1-(TwoDayDiscount_21_Up+FedExExrpessEarnedDiscount))*'2Day Base'!J80),2),ROUND(MinBase2Day*(1+ExpressFuelSurcharge),2),ROUND(((1-(TwoDayDiscount_21_Up+FedExExrpessEarnedDiscount))*'2Day Base'!J80)*(1+ExpressFuelSurcharge),2)))*(1+FedEx_Markup),2)</f>
        <v>372.37</v>
      </c>
      <c r="K83" s="218">
        <f>ROUND((IF(MinBase2Day&gt;ROUND(((1-(TwoDayDiscount_21_Up+FedExExrpessEarnedDiscount))*'2Day Base'!K80),2),ROUND(MinBase2Day*(1+ExpressFuelSurcharge),2),ROUND(((1-(TwoDayDiscount_21_Up+FedExExrpessEarnedDiscount))*'2Day Base'!K80)*(1+ExpressFuelSurcharge),2)))*(1+FedEx_Markup),2)</f>
        <v>379.82</v>
      </c>
      <c r="L83" s="218">
        <f>ROUND((IF(MinBase2Day&gt;ROUND(((1-(TwoDayDiscount_21_Up+FedExExrpessEarnedDiscount))*'2Day Base'!L80),2),ROUND(MinBase2Day*(1+ExpressFuelSurcharge),2),ROUND(((1-(TwoDayDiscount_21_Up+FedExExrpessEarnedDiscount))*'2Day Base'!L80)*(1+ExpressFuelSurcharge),2)))*(1+FedEx_Markup),2)</f>
        <v>379.82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>
      <c r="A84" s="217">
        <v>79</v>
      </c>
      <c r="B84" s="218">
        <f>ROUND((IF(MinBase2Day&gt;ROUND(((1-(TwoDayDiscount_21_Up+FedExExrpessEarnedDiscount))*'2Day Base'!B81),2),ROUND(MinBase2Day*(1+ExpressFuelSurcharge),2),ROUND(((1-(TwoDayDiscount_21_Up+FedExExrpessEarnedDiscount))*'2Day Base'!B81)*(1+ExpressFuelSurcharge),2)))*(1+FedEx_Markup),2)</f>
        <v>85.19</v>
      </c>
      <c r="C84" s="218">
        <f>ROUND((IF(MinBase2Day&gt;ROUND(((1-(TwoDayDiscount_21_Up+FedExExrpessEarnedDiscount))*'2Day Base'!C81),2),ROUND(MinBase2Day*(1+ExpressFuelSurcharge),2),ROUND(((1-(TwoDayDiscount_21_Up+FedExExrpessEarnedDiscount))*'2Day Base'!C81)*(1+ExpressFuelSurcharge),2)))*(1+FedEx_Markup),2)</f>
        <v>104.26</v>
      </c>
      <c r="D84" s="218">
        <f>ROUND((IF(MinBase2Day&gt;ROUND(((1-(TwoDayDiscount_21_Up+FedExExrpessEarnedDiscount))*'2Day Base'!D81),2),ROUND(MinBase2Day*(1+ExpressFuelSurcharge),2),ROUND(((1-(TwoDayDiscount_21_Up+FedExExrpessEarnedDiscount))*'2Day Base'!D81)*(1+ExpressFuelSurcharge),2)))*(1+FedEx_Markup),2)</f>
        <v>126.18</v>
      </c>
      <c r="E84" s="218">
        <f>ROUND((IF(MinBase2Day&gt;ROUND(((1-(TwoDayDiscount_21_Up+FedExExrpessEarnedDiscount))*'2Day Base'!E81),2),ROUND(MinBase2Day*(1+ExpressFuelSurcharge),2),ROUND(((1-(TwoDayDiscount_21_Up+FedExExrpessEarnedDiscount))*'2Day Base'!E81)*(1+ExpressFuelSurcharge),2)))*(1+FedEx_Markup),2)</f>
        <v>206.61</v>
      </c>
      <c r="F84" s="218">
        <f>ROUND((IF(MinBase2Day&gt;ROUND(((1-(TwoDayDiscount_21_Up+FedExExrpessEarnedDiscount))*'2Day Base'!F81),2),ROUND(MinBase2Day*(1+ExpressFuelSurcharge),2),ROUND(((1-(TwoDayDiscount_21_Up+FedExExrpessEarnedDiscount))*'2Day Base'!F81)*(1+ExpressFuelSurcharge),2)))*(1+FedEx_Markup),2)</f>
        <v>330.22</v>
      </c>
      <c r="G84" s="218">
        <f>ROUND((IF(MinBase2Day&gt;ROUND(((1-(TwoDayDiscount_21_Up+FedExExrpessEarnedDiscount))*'2Day Base'!G81),2),ROUND(MinBase2Day*(1+ExpressFuelSurcharge),2),ROUND(((1-(TwoDayDiscount_21_Up+FedExExrpessEarnedDiscount))*'2Day Base'!G81)*(1+ExpressFuelSurcharge),2)))*(1+FedEx_Markup),2)</f>
        <v>360.27</v>
      </c>
      <c r="H84" s="218">
        <f>ROUND((IF(MinBase2Day&gt;ROUND(((1-(TwoDayDiscount_21_Up+FedExExrpessEarnedDiscount))*'2Day Base'!H81),2),ROUND(MinBase2Day*(1+ExpressFuelSurcharge),2),ROUND(((1-(TwoDayDiscount_21_Up+FedExExrpessEarnedDiscount))*'2Day Base'!H81)*(1+ExpressFuelSurcharge),2)))*(1+FedEx_Markup),2)</f>
        <v>369.12</v>
      </c>
      <c r="I84" s="218">
        <f>ROUND((IF(MinBase2Day&gt;ROUND(((1-(TwoDayDiscount_21_Up+FedExExrpessEarnedDiscount))*'2Day Base'!I81),2),ROUND(MinBase2Day*(1+ExpressFuelSurcharge),2),ROUND(((1-(TwoDayDiscount_21_Up+FedExExrpessEarnedDiscount))*'2Day Base'!I81)*(1+ExpressFuelSurcharge),2)))*(1+FedEx_Markup),2)</f>
        <v>376.5</v>
      </c>
      <c r="J84" s="218">
        <f>ROUND((IF(MinBase2Day&gt;ROUND(((1-(TwoDayDiscount_21_Up+FedExExrpessEarnedDiscount))*'2Day Base'!J81),2),ROUND(MinBase2Day*(1+ExpressFuelSurcharge),2),ROUND(((1-(TwoDayDiscount_21_Up+FedExExrpessEarnedDiscount))*'2Day Base'!J81)*(1+ExpressFuelSurcharge),2)))*(1+FedEx_Markup),2)</f>
        <v>376.5</v>
      </c>
      <c r="K84" s="218">
        <f>ROUND((IF(MinBase2Day&gt;ROUND(((1-(TwoDayDiscount_21_Up+FedExExrpessEarnedDiscount))*'2Day Base'!K81),2),ROUND(MinBase2Day*(1+ExpressFuelSurcharge),2),ROUND(((1-(TwoDayDiscount_21_Up+FedExExrpessEarnedDiscount))*'2Day Base'!K81)*(1+ExpressFuelSurcharge),2)))*(1+FedEx_Markup),2)</f>
        <v>384.03</v>
      </c>
      <c r="L84" s="218">
        <f>ROUND((IF(MinBase2Day&gt;ROUND(((1-(TwoDayDiscount_21_Up+FedExExrpessEarnedDiscount))*'2Day Base'!L81),2),ROUND(MinBase2Day*(1+ExpressFuelSurcharge),2),ROUND(((1-(TwoDayDiscount_21_Up+FedExExrpessEarnedDiscount))*'2Day Base'!L81)*(1+ExpressFuelSurcharge),2)))*(1+FedEx_Markup),2)</f>
        <v>384.03</v>
      </c>
    </row>
    <row r="85" spans="1:26" ht="12.75" customHeight="1">
      <c r="A85" s="217">
        <v>80</v>
      </c>
      <c r="B85" s="218">
        <f>ROUND((IF(MinBase2Day&gt;ROUND(((1-(TwoDayDiscount_21_Up+FedExExrpessEarnedDiscount))*'2Day Base'!B82),2),ROUND(MinBase2Day*(1+ExpressFuelSurcharge),2),ROUND(((1-(TwoDayDiscount_21_Up+FedExExrpessEarnedDiscount))*'2Day Base'!B82)*(1+ExpressFuelSurcharge),2)))*(1+FedEx_Markup),2)</f>
        <v>85.61</v>
      </c>
      <c r="C85" s="218">
        <f>ROUND((IF(MinBase2Day&gt;ROUND(((1-(TwoDayDiscount_21_Up+FedExExrpessEarnedDiscount))*'2Day Base'!C82),2),ROUND(MinBase2Day*(1+ExpressFuelSurcharge),2),ROUND(((1-(TwoDayDiscount_21_Up+FedExExrpessEarnedDiscount))*'2Day Base'!C82)*(1+ExpressFuelSurcharge),2)))*(1+FedEx_Markup),2)</f>
        <v>104.68</v>
      </c>
      <c r="D85" s="218">
        <f>ROUND((IF(MinBase2Day&gt;ROUND(((1-(TwoDayDiscount_21_Up+FedExExrpessEarnedDiscount))*'2Day Base'!D82),2),ROUND(MinBase2Day*(1+ExpressFuelSurcharge),2),ROUND(((1-(TwoDayDiscount_21_Up+FedExExrpessEarnedDiscount))*'2Day Base'!D82)*(1+ExpressFuelSurcharge),2)))*(1+FedEx_Markup),2)</f>
        <v>126.59</v>
      </c>
      <c r="E85" s="218">
        <f>ROUND((IF(MinBase2Day&gt;ROUND(((1-(TwoDayDiscount_21_Up+FedExExrpessEarnedDiscount))*'2Day Base'!E82),2),ROUND(MinBase2Day*(1+ExpressFuelSurcharge),2),ROUND(((1-(TwoDayDiscount_21_Up+FedExExrpessEarnedDiscount))*'2Day Base'!E82)*(1+ExpressFuelSurcharge),2)))*(1+FedEx_Markup),2)</f>
        <v>207.03</v>
      </c>
      <c r="F85" s="218">
        <f>ROUND((IF(MinBase2Day&gt;ROUND(((1-(TwoDayDiscount_21_Up+FedExExrpessEarnedDiscount))*'2Day Base'!F82),2),ROUND(MinBase2Day*(1+ExpressFuelSurcharge),2),ROUND(((1-(TwoDayDiscount_21_Up+FedExExrpessEarnedDiscount))*'2Day Base'!F82)*(1+ExpressFuelSurcharge),2)))*(1+FedEx_Markup),2)</f>
        <v>348.2</v>
      </c>
      <c r="G85" s="218">
        <f>ROUND((IF(MinBase2Day&gt;ROUND(((1-(TwoDayDiscount_21_Up+FedExExrpessEarnedDiscount))*'2Day Base'!G82),2),ROUND(MinBase2Day*(1+ExpressFuelSurcharge),2),ROUND(((1-(TwoDayDiscount_21_Up+FedExExrpessEarnedDiscount))*'2Day Base'!G82)*(1+ExpressFuelSurcharge),2)))*(1+FedEx_Markup),2)</f>
        <v>362.28</v>
      </c>
      <c r="H85" s="218">
        <f>ROUND((IF(MinBase2Day&gt;ROUND(((1-(TwoDayDiscount_21_Up+FedExExrpessEarnedDiscount))*'2Day Base'!H82),2),ROUND(MinBase2Day*(1+ExpressFuelSurcharge),2),ROUND(((1-(TwoDayDiscount_21_Up+FedExExrpessEarnedDiscount))*'2Day Base'!H82)*(1+ExpressFuelSurcharge),2)))*(1+FedEx_Markup),2)</f>
        <v>369.54</v>
      </c>
      <c r="I85" s="218">
        <f>ROUND((IF(MinBase2Day&gt;ROUND(((1-(TwoDayDiscount_21_Up+FedExExrpessEarnedDiscount))*'2Day Base'!I82),2),ROUND(MinBase2Day*(1+ExpressFuelSurcharge),2),ROUND(((1-(TwoDayDiscount_21_Up+FedExExrpessEarnedDiscount))*'2Day Base'!I82)*(1+ExpressFuelSurcharge),2)))*(1+FedEx_Markup),2)</f>
        <v>377.67</v>
      </c>
      <c r="J85" s="218">
        <f>ROUND((IF(MinBase2Day&gt;ROUND(((1-(TwoDayDiscount_21_Up+FedExExrpessEarnedDiscount))*'2Day Base'!J82),2),ROUND(MinBase2Day*(1+ExpressFuelSurcharge),2),ROUND(((1-(TwoDayDiscount_21_Up+FedExExrpessEarnedDiscount))*'2Day Base'!J82)*(1+ExpressFuelSurcharge),2)))*(1+FedEx_Markup),2)</f>
        <v>377.67</v>
      </c>
      <c r="K85" s="218">
        <f>ROUND((IF(MinBase2Day&gt;ROUND(((1-(TwoDayDiscount_21_Up+FedExExrpessEarnedDiscount))*'2Day Base'!K82),2),ROUND(MinBase2Day*(1+ExpressFuelSurcharge),2),ROUND(((1-(TwoDayDiscount_21_Up+FedExExrpessEarnedDiscount))*'2Day Base'!K82)*(1+ExpressFuelSurcharge),2)))*(1+FedEx_Markup),2)</f>
        <v>385.23</v>
      </c>
      <c r="L85" s="218">
        <f>ROUND((IF(MinBase2Day&gt;ROUND(((1-(TwoDayDiscount_21_Up+FedExExrpessEarnedDiscount))*'2Day Base'!L82),2),ROUND(MinBase2Day*(1+ExpressFuelSurcharge),2),ROUND(((1-(TwoDayDiscount_21_Up+FedExExrpessEarnedDiscount))*'2Day Base'!L82)*(1+ExpressFuelSurcharge),2)))*(1+FedEx_Markup),2)</f>
        <v>385.23</v>
      </c>
    </row>
    <row r="86" spans="1:26" ht="12.75" customHeight="1">
      <c r="A86" s="217">
        <v>81</v>
      </c>
      <c r="B86" s="218">
        <f>ROUND((IF(MinBase2Day&gt;ROUND(((1-(TwoDayDiscount_21_Up+FedExExrpessEarnedDiscount))*'2Day Base'!B83),2),ROUND(MinBase2Day*(1+ExpressFuelSurcharge),2),ROUND(((1-(TwoDayDiscount_21_Up+FedExExrpessEarnedDiscount))*'2Day Base'!B83)*(1+ExpressFuelSurcharge),2)))*(1+FedEx_Markup),2)</f>
        <v>89.37</v>
      </c>
      <c r="C86" s="218">
        <f>ROUND((IF(MinBase2Day&gt;ROUND(((1-(TwoDayDiscount_21_Up+FedExExrpessEarnedDiscount))*'2Day Base'!C83),2),ROUND(MinBase2Day*(1+ExpressFuelSurcharge),2),ROUND(((1-(TwoDayDiscount_21_Up+FedExExrpessEarnedDiscount))*'2Day Base'!C83)*(1+ExpressFuelSurcharge),2)))*(1+FedEx_Markup),2)</f>
        <v>106.2</v>
      </c>
      <c r="D86" s="218">
        <f>ROUND((IF(MinBase2Day&gt;ROUND(((1-(TwoDayDiscount_21_Up+FedExExrpessEarnedDiscount))*'2Day Base'!D83),2),ROUND(MinBase2Day*(1+ExpressFuelSurcharge),2),ROUND(((1-(TwoDayDiscount_21_Up+FedExExrpessEarnedDiscount))*'2Day Base'!D83)*(1+ExpressFuelSurcharge),2)))*(1+FedEx_Markup),2)</f>
        <v>127.41</v>
      </c>
      <c r="E86" s="218">
        <f>ROUND((IF(MinBase2Day&gt;ROUND(((1-(TwoDayDiscount_21_Up+FedExExrpessEarnedDiscount))*'2Day Base'!E83),2),ROUND(MinBase2Day*(1+ExpressFuelSurcharge),2),ROUND(((1-(TwoDayDiscount_21_Up+FedExExrpessEarnedDiscount))*'2Day Base'!E83)*(1+ExpressFuelSurcharge),2)))*(1+FedEx_Markup),2)</f>
        <v>207.7</v>
      </c>
      <c r="F86" s="218">
        <f>ROUND((IF(MinBase2Day&gt;ROUND(((1-(TwoDayDiscount_21_Up+FedExExrpessEarnedDiscount))*'2Day Base'!F83),2),ROUND(MinBase2Day*(1+ExpressFuelSurcharge),2),ROUND(((1-(TwoDayDiscount_21_Up+FedExExrpessEarnedDiscount))*'2Day Base'!F83)*(1+ExpressFuelSurcharge),2)))*(1+FedEx_Markup),2)</f>
        <v>356.09</v>
      </c>
      <c r="G86" s="218">
        <f>ROUND((IF(MinBase2Day&gt;ROUND(((1-(TwoDayDiscount_21_Up+FedExExrpessEarnedDiscount))*'2Day Base'!G83),2),ROUND(MinBase2Day*(1+ExpressFuelSurcharge),2),ROUND(((1-(TwoDayDiscount_21_Up+FedExExrpessEarnedDiscount))*'2Day Base'!G83)*(1+ExpressFuelSurcharge),2)))*(1+FedEx_Markup),2)</f>
        <v>363.4</v>
      </c>
      <c r="H86" s="218">
        <f>ROUND((IF(MinBase2Day&gt;ROUND(((1-(TwoDayDiscount_21_Up+FedExExrpessEarnedDiscount))*'2Day Base'!H83),2),ROUND(MinBase2Day*(1+ExpressFuelSurcharge),2),ROUND(((1-(TwoDayDiscount_21_Up+FedExExrpessEarnedDiscount))*'2Day Base'!H83)*(1+ExpressFuelSurcharge),2)))*(1+FedEx_Markup),2)</f>
        <v>370.67</v>
      </c>
      <c r="I86" s="218">
        <f>ROUND((IF(MinBase2Day&gt;ROUND(((1-(TwoDayDiscount_21_Up+FedExExrpessEarnedDiscount))*'2Day Base'!I83),2),ROUND(MinBase2Day*(1+ExpressFuelSurcharge),2),ROUND(((1-(TwoDayDiscount_21_Up+FedExExrpessEarnedDiscount))*'2Day Base'!I83)*(1+ExpressFuelSurcharge),2)))*(1+FedEx_Markup),2)</f>
        <v>378.09</v>
      </c>
      <c r="J86" s="218">
        <f>ROUND((IF(MinBase2Day&gt;ROUND(((1-(TwoDayDiscount_21_Up+FedExExrpessEarnedDiscount))*'2Day Base'!J83),2),ROUND(MinBase2Day*(1+ExpressFuelSurcharge),2),ROUND(((1-(TwoDayDiscount_21_Up+FedExExrpessEarnedDiscount))*'2Day Base'!J83)*(1+ExpressFuelSurcharge),2)))*(1+FedEx_Markup),2)</f>
        <v>378.09</v>
      </c>
      <c r="K86" s="218">
        <f>ROUND((IF(MinBase2Day&gt;ROUND(((1-(TwoDayDiscount_21_Up+FedExExrpessEarnedDiscount))*'2Day Base'!K83),2),ROUND(MinBase2Day*(1+ExpressFuelSurcharge),2),ROUND(((1-(TwoDayDiscount_21_Up+FedExExrpessEarnedDiscount))*'2Day Base'!K83)*(1+ExpressFuelSurcharge),2)))*(1+FedEx_Markup),2)</f>
        <v>385.65</v>
      </c>
      <c r="L86" s="218">
        <f>ROUND((IF(MinBase2Day&gt;ROUND(((1-(TwoDayDiscount_21_Up+FedExExrpessEarnedDiscount))*'2Day Base'!L83),2),ROUND(MinBase2Day*(1+ExpressFuelSurcharge),2),ROUND(((1-(TwoDayDiscount_21_Up+FedExExrpessEarnedDiscount))*'2Day Base'!L83)*(1+ExpressFuelSurcharge),2)))*(1+FedEx_Markup),2)</f>
        <v>385.65</v>
      </c>
    </row>
    <row r="87" spans="1:26" ht="12.75" customHeight="1">
      <c r="A87" s="217">
        <v>82</v>
      </c>
      <c r="B87" s="218">
        <f>ROUND((IF(MinBase2Day&gt;ROUND(((1-(TwoDayDiscount_21_Up+FedExExrpessEarnedDiscount))*'2Day Base'!B84),2),ROUND(MinBase2Day*(1+ExpressFuelSurcharge),2),ROUND(((1-(TwoDayDiscount_21_Up+FedExExrpessEarnedDiscount))*'2Day Base'!B84)*(1+ExpressFuelSurcharge),2)))*(1+FedEx_Markup),2)</f>
        <v>90.23</v>
      </c>
      <c r="C87" s="218">
        <f>ROUND((IF(MinBase2Day&gt;ROUND(((1-(TwoDayDiscount_21_Up+FedExExrpessEarnedDiscount))*'2Day Base'!C84),2),ROUND(MinBase2Day*(1+ExpressFuelSurcharge),2),ROUND(((1-(TwoDayDiscount_21_Up+FedExExrpessEarnedDiscount))*'2Day Base'!C84)*(1+ExpressFuelSurcharge),2)))*(1+FedEx_Markup),2)</f>
        <v>106.63</v>
      </c>
      <c r="D87" s="218">
        <f>ROUND((IF(MinBase2Day&gt;ROUND(((1-(TwoDayDiscount_21_Up+FedExExrpessEarnedDiscount))*'2Day Base'!D84),2),ROUND(MinBase2Day*(1+ExpressFuelSurcharge),2),ROUND(((1-(TwoDayDiscount_21_Up+FedExExrpessEarnedDiscount))*'2Day Base'!D84)*(1+ExpressFuelSurcharge),2)))*(1+FedEx_Markup),2)</f>
        <v>127.83</v>
      </c>
      <c r="E87" s="218">
        <f>ROUND((IF(MinBase2Day&gt;ROUND(((1-(TwoDayDiscount_21_Up+FedExExrpessEarnedDiscount))*'2Day Base'!E84),2),ROUND(MinBase2Day*(1+ExpressFuelSurcharge),2),ROUND(((1-(TwoDayDiscount_21_Up+FedExExrpessEarnedDiscount))*'2Day Base'!E84)*(1+ExpressFuelSurcharge),2)))*(1+FedEx_Markup),2)</f>
        <v>208.36</v>
      </c>
      <c r="F87" s="218">
        <f>ROUND((IF(MinBase2Day&gt;ROUND(((1-(TwoDayDiscount_21_Up+FedExExrpessEarnedDiscount))*'2Day Base'!F84),2),ROUND(MinBase2Day*(1+ExpressFuelSurcharge),2),ROUND(((1-(TwoDayDiscount_21_Up+FedExExrpessEarnedDiscount))*'2Day Base'!F84)*(1+ExpressFuelSurcharge),2)))*(1+FedEx_Markup),2)</f>
        <v>356.88</v>
      </c>
      <c r="G87" s="218">
        <f>ROUND((IF(MinBase2Day&gt;ROUND(((1-(TwoDayDiscount_21_Up+FedExExrpessEarnedDiscount))*'2Day Base'!G84),2),ROUND(MinBase2Day*(1+ExpressFuelSurcharge),2),ROUND(((1-(TwoDayDiscount_21_Up+FedExExrpessEarnedDiscount))*'2Day Base'!G84)*(1+ExpressFuelSurcharge),2)))*(1+FedEx_Markup),2)</f>
        <v>364.02</v>
      </c>
      <c r="H87" s="218">
        <f>ROUND((IF(MinBase2Day&gt;ROUND(((1-(TwoDayDiscount_21_Up+FedExExrpessEarnedDiscount))*'2Day Base'!H84),2),ROUND(MinBase2Day*(1+ExpressFuelSurcharge),2),ROUND(((1-(TwoDayDiscount_21_Up+FedExExrpessEarnedDiscount))*'2Day Base'!H84)*(1+ExpressFuelSurcharge),2)))*(1+FedEx_Markup),2)</f>
        <v>371.31</v>
      </c>
      <c r="I87" s="218">
        <f>ROUND((IF(MinBase2Day&gt;ROUND(((1-(TwoDayDiscount_21_Up+FedExExrpessEarnedDiscount))*'2Day Base'!I84),2),ROUND(MinBase2Day*(1+ExpressFuelSurcharge),2),ROUND(((1-(TwoDayDiscount_21_Up+FedExExrpessEarnedDiscount))*'2Day Base'!I84)*(1+ExpressFuelSurcharge),2)))*(1+FedEx_Markup),2)</f>
        <v>378.74</v>
      </c>
      <c r="J87" s="218">
        <f>ROUND((IF(MinBase2Day&gt;ROUND(((1-(TwoDayDiscount_21_Up+FedExExrpessEarnedDiscount))*'2Day Base'!J84),2),ROUND(MinBase2Day*(1+ExpressFuelSurcharge),2),ROUND(((1-(TwoDayDiscount_21_Up+FedExExrpessEarnedDiscount))*'2Day Base'!J84)*(1+ExpressFuelSurcharge),2)))*(1+FedEx_Markup),2)</f>
        <v>378.74</v>
      </c>
      <c r="K87" s="218">
        <f>ROUND((IF(MinBase2Day&gt;ROUND(((1-(TwoDayDiscount_21_Up+FedExExrpessEarnedDiscount))*'2Day Base'!K84),2),ROUND(MinBase2Day*(1+ExpressFuelSurcharge),2),ROUND(((1-(TwoDayDiscount_21_Up+FedExExrpessEarnedDiscount))*'2Day Base'!K84)*(1+ExpressFuelSurcharge),2)))*(1+FedEx_Markup),2)</f>
        <v>386.32</v>
      </c>
      <c r="L87" s="218">
        <f>ROUND((IF(MinBase2Day&gt;ROUND(((1-(TwoDayDiscount_21_Up+FedExExrpessEarnedDiscount))*'2Day Base'!L84),2),ROUND(MinBase2Day*(1+ExpressFuelSurcharge),2),ROUND(((1-(TwoDayDiscount_21_Up+FedExExrpessEarnedDiscount))*'2Day Base'!L84)*(1+ExpressFuelSurcharge),2)))*(1+FedEx_Markup),2)</f>
        <v>386.32</v>
      </c>
    </row>
    <row r="88" spans="1:26" ht="12.75" customHeight="1">
      <c r="A88" s="217">
        <v>83</v>
      </c>
      <c r="B88" s="218">
        <f>ROUND((IF(MinBase2Day&gt;ROUND(((1-(TwoDayDiscount_21_Up+FedExExrpessEarnedDiscount))*'2Day Base'!B85),2),ROUND(MinBase2Day*(1+ExpressFuelSurcharge),2),ROUND(((1-(TwoDayDiscount_21_Up+FedExExrpessEarnedDiscount))*'2Day Base'!B85)*(1+ExpressFuelSurcharge),2)))*(1+FedEx_Markup),2)</f>
        <v>91.45</v>
      </c>
      <c r="C88" s="218">
        <f>ROUND((IF(MinBase2Day&gt;ROUND(((1-(TwoDayDiscount_21_Up+FedExExrpessEarnedDiscount))*'2Day Base'!C85),2),ROUND(MinBase2Day*(1+ExpressFuelSurcharge),2),ROUND(((1-(TwoDayDiscount_21_Up+FedExExrpessEarnedDiscount))*'2Day Base'!C85)*(1+ExpressFuelSurcharge),2)))*(1+FedEx_Markup),2)</f>
        <v>108.43</v>
      </c>
      <c r="D88" s="218">
        <f>ROUND((IF(MinBase2Day&gt;ROUND(((1-(TwoDayDiscount_21_Up+FedExExrpessEarnedDiscount))*'2Day Base'!D85),2),ROUND(MinBase2Day*(1+ExpressFuelSurcharge),2),ROUND(((1-(TwoDayDiscount_21_Up+FedExExrpessEarnedDiscount))*'2Day Base'!D85)*(1+ExpressFuelSurcharge),2)))*(1+FedEx_Markup),2)</f>
        <v>130.26</v>
      </c>
      <c r="E88" s="218">
        <f>ROUND((IF(MinBase2Day&gt;ROUND(((1-(TwoDayDiscount_21_Up+FedExExrpessEarnedDiscount))*'2Day Base'!E85),2),ROUND(MinBase2Day*(1+ExpressFuelSurcharge),2),ROUND(((1-(TwoDayDiscount_21_Up+FedExExrpessEarnedDiscount))*'2Day Base'!E85)*(1+ExpressFuelSurcharge),2)))*(1+FedEx_Markup),2)</f>
        <v>212.96</v>
      </c>
      <c r="F88" s="218">
        <f>ROUND((IF(MinBase2Day&gt;ROUND(((1-(TwoDayDiscount_21_Up+FedExExrpessEarnedDiscount))*'2Day Base'!F85),2),ROUND(MinBase2Day*(1+ExpressFuelSurcharge),2),ROUND(((1-(TwoDayDiscount_21_Up+FedExExrpessEarnedDiscount))*'2Day Base'!F85)*(1+ExpressFuelSurcharge),2)))*(1+FedEx_Markup),2)</f>
        <v>357.31</v>
      </c>
      <c r="G88" s="218">
        <f>ROUND((IF(MinBase2Day&gt;ROUND(((1-(TwoDayDiscount_21_Up+FedExExrpessEarnedDiscount))*'2Day Base'!G85),2),ROUND(MinBase2Day*(1+ExpressFuelSurcharge),2),ROUND(((1-(TwoDayDiscount_21_Up+FedExExrpessEarnedDiscount))*'2Day Base'!G85)*(1+ExpressFuelSurcharge),2)))*(1+FedEx_Markup),2)</f>
        <v>364.64</v>
      </c>
      <c r="H88" s="218">
        <f>ROUND((IF(MinBase2Day&gt;ROUND(((1-(TwoDayDiscount_21_Up+FedExExrpessEarnedDiscount))*'2Day Base'!H85),2),ROUND(MinBase2Day*(1+ExpressFuelSurcharge),2),ROUND(((1-(TwoDayDiscount_21_Up+FedExExrpessEarnedDiscount))*'2Day Base'!H85)*(1+ExpressFuelSurcharge),2)))*(1+FedEx_Markup),2)</f>
        <v>377.59</v>
      </c>
      <c r="I88" s="218">
        <f>ROUND((IF(MinBase2Day&gt;ROUND(((1-(TwoDayDiscount_21_Up+FedExExrpessEarnedDiscount))*'2Day Base'!I85),2),ROUND(MinBase2Day*(1+ExpressFuelSurcharge),2),ROUND(((1-(TwoDayDiscount_21_Up+FedExExrpessEarnedDiscount))*'2Day Base'!I85)*(1+ExpressFuelSurcharge),2)))*(1+FedEx_Markup),2)</f>
        <v>385.15</v>
      </c>
      <c r="J88" s="218">
        <f>ROUND((IF(MinBase2Day&gt;ROUND(((1-(TwoDayDiscount_21_Up+FedExExrpessEarnedDiscount))*'2Day Base'!J85),2),ROUND(MinBase2Day*(1+ExpressFuelSurcharge),2),ROUND(((1-(TwoDayDiscount_21_Up+FedExExrpessEarnedDiscount))*'2Day Base'!J85)*(1+ExpressFuelSurcharge),2)))*(1+FedEx_Markup),2)</f>
        <v>385.15</v>
      </c>
      <c r="K88" s="218">
        <f>ROUND((IF(MinBase2Day&gt;ROUND(((1-(TwoDayDiscount_21_Up+FedExExrpessEarnedDiscount))*'2Day Base'!K85),2),ROUND(MinBase2Day*(1+ExpressFuelSurcharge),2),ROUND(((1-(TwoDayDiscount_21_Up+FedExExrpessEarnedDiscount))*'2Day Base'!K85)*(1+ExpressFuelSurcharge),2)))*(1+FedEx_Markup),2)</f>
        <v>394.25</v>
      </c>
      <c r="L88" s="218">
        <f>ROUND((IF(MinBase2Day&gt;ROUND(((1-(TwoDayDiscount_21_Up+FedExExrpessEarnedDiscount))*'2Day Base'!L85),2),ROUND(MinBase2Day*(1+ExpressFuelSurcharge),2),ROUND(((1-(TwoDayDiscount_21_Up+FedExExrpessEarnedDiscount))*'2Day Base'!L85)*(1+ExpressFuelSurcharge),2)))*(1+FedEx_Markup),2)</f>
        <v>394.25</v>
      </c>
    </row>
    <row r="89" spans="1:26" ht="12.75" customHeight="1">
      <c r="A89" s="217">
        <v>84</v>
      </c>
      <c r="B89" s="218">
        <f>ROUND((IF(MinBase2Day&gt;ROUND(((1-(TwoDayDiscount_21_Up+FedExExrpessEarnedDiscount))*'2Day Base'!B86),2),ROUND(MinBase2Day*(1+ExpressFuelSurcharge),2),ROUND(((1-(TwoDayDiscount_21_Up+FedExExrpessEarnedDiscount))*'2Day Base'!B86)*(1+ExpressFuelSurcharge),2)))*(1+FedEx_Markup),2)</f>
        <v>92.07</v>
      </c>
      <c r="C89" s="218">
        <f>ROUND((IF(MinBase2Day&gt;ROUND(((1-(TwoDayDiscount_21_Up+FedExExrpessEarnedDiscount))*'2Day Base'!C86),2),ROUND(MinBase2Day*(1+ExpressFuelSurcharge),2),ROUND(((1-(TwoDayDiscount_21_Up+FedExExrpessEarnedDiscount))*'2Day Base'!C86)*(1+ExpressFuelSurcharge),2)))*(1+FedEx_Markup),2)</f>
        <v>109.05</v>
      </c>
      <c r="D89" s="218">
        <f>ROUND((IF(MinBase2Day&gt;ROUND(((1-(TwoDayDiscount_21_Up+FedExExrpessEarnedDiscount))*'2Day Base'!D86),2),ROUND(MinBase2Day*(1+ExpressFuelSurcharge),2),ROUND(((1-(TwoDayDiscount_21_Up+FedExExrpessEarnedDiscount))*'2Day Base'!D86)*(1+ExpressFuelSurcharge),2)))*(1+FedEx_Markup),2)</f>
        <v>132.19999999999999</v>
      </c>
      <c r="E89" s="218">
        <f>ROUND((IF(MinBase2Day&gt;ROUND(((1-(TwoDayDiscount_21_Up+FedExExrpessEarnedDiscount))*'2Day Base'!E86),2),ROUND(MinBase2Day*(1+ExpressFuelSurcharge),2),ROUND(((1-(TwoDayDiscount_21_Up+FedExExrpessEarnedDiscount))*'2Day Base'!E86)*(1+ExpressFuelSurcharge),2)))*(1+FedEx_Markup),2)</f>
        <v>213.43</v>
      </c>
      <c r="F89" s="218">
        <f>ROUND((IF(MinBase2Day&gt;ROUND(((1-(TwoDayDiscount_21_Up+FedExExrpessEarnedDiscount))*'2Day Base'!F86),2),ROUND(MinBase2Day*(1+ExpressFuelSurcharge),2),ROUND(((1-(TwoDayDiscount_21_Up+FedExExrpessEarnedDiscount))*'2Day Base'!F86)*(1+ExpressFuelSurcharge),2)))*(1+FedEx_Markup),2)</f>
        <v>360.01</v>
      </c>
      <c r="G89" s="218">
        <f>ROUND((IF(MinBase2Day&gt;ROUND(((1-(TwoDayDiscount_21_Up+FedExExrpessEarnedDiscount))*'2Day Base'!G86),2),ROUND(MinBase2Day*(1+ExpressFuelSurcharge),2),ROUND(((1-(TwoDayDiscount_21_Up+FedExExrpessEarnedDiscount))*'2Day Base'!G86)*(1+ExpressFuelSurcharge),2)))*(1+FedEx_Markup),2)</f>
        <v>370.81</v>
      </c>
      <c r="H89" s="218">
        <f>ROUND((IF(MinBase2Day&gt;ROUND(((1-(TwoDayDiscount_21_Up+FedExExrpessEarnedDiscount))*'2Day Base'!H86),2),ROUND(MinBase2Day*(1+ExpressFuelSurcharge),2),ROUND(((1-(TwoDayDiscount_21_Up+FedExExrpessEarnedDiscount))*'2Day Base'!H86)*(1+ExpressFuelSurcharge),2)))*(1+FedEx_Markup),2)</f>
        <v>378.22</v>
      </c>
      <c r="I89" s="218">
        <f>ROUND((IF(MinBase2Day&gt;ROUND(((1-(TwoDayDiscount_21_Up+FedExExrpessEarnedDiscount))*'2Day Base'!I86),2),ROUND(MinBase2Day*(1+ExpressFuelSurcharge),2),ROUND(((1-(TwoDayDiscount_21_Up+FedExExrpessEarnedDiscount))*'2Day Base'!I86)*(1+ExpressFuelSurcharge),2)))*(1+FedEx_Markup),2)</f>
        <v>385.79</v>
      </c>
      <c r="J89" s="218">
        <f>ROUND((IF(MinBase2Day&gt;ROUND(((1-(TwoDayDiscount_21_Up+FedExExrpessEarnedDiscount))*'2Day Base'!J86),2),ROUND(MinBase2Day*(1+ExpressFuelSurcharge),2),ROUND(((1-(TwoDayDiscount_21_Up+FedExExrpessEarnedDiscount))*'2Day Base'!J86)*(1+ExpressFuelSurcharge),2)))*(1+FedEx_Markup),2)</f>
        <v>385.79</v>
      </c>
      <c r="K89" s="218">
        <f>ROUND((IF(MinBase2Day&gt;ROUND(((1-(TwoDayDiscount_21_Up+FedExExrpessEarnedDiscount))*'2Day Base'!K86),2),ROUND(MinBase2Day*(1+ExpressFuelSurcharge),2),ROUND(((1-(TwoDayDiscount_21_Up+FedExExrpessEarnedDiscount))*'2Day Base'!K86)*(1+ExpressFuelSurcharge),2)))*(1+FedEx_Markup),2)</f>
        <v>395.05</v>
      </c>
      <c r="L89" s="218">
        <f>ROUND((IF(MinBase2Day&gt;ROUND(((1-(TwoDayDiscount_21_Up+FedExExrpessEarnedDiscount))*'2Day Base'!L86),2),ROUND(MinBase2Day*(1+ExpressFuelSurcharge),2),ROUND(((1-(TwoDayDiscount_21_Up+FedExExrpessEarnedDiscount))*'2Day Base'!L86)*(1+ExpressFuelSurcharge),2)))*(1+FedEx_Markup),2)</f>
        <v>395.05</v>
      </c>
    </row>
    <row r="90" spans="1:26" ht="12.75" customHeight="1">
      <c r="A90" s="217">
        <v>85</v>
      </c>
      <c r="B90" s="218">
        <f>ROUND((IF(MinBase2Day&gt;ROUND(((1-(TwoDayDiscount_21_Up+FedExExrpessEarnedDiscount))*'2Day Base'!B87),2),ROUND(MinBase2Day*(1+ExpressFuelSurcharge),2),ROUND(((1-(TwoDayDiscount_21_Up+FedExExrpessEarnedDiscount))*'2Day Base'!B87)*(1+ExpressFuelSurcharge),2)))*(1+FedEx_Markup),2)</f>
        <v>95.4</v>
      </c>
      <c r="C90" s="218">
        <f>ROUND((IF(MinBase2Day&gt;ROUND(((1-(TwoDayDiscount_21_Up+FedExExrpessEarnedDiscount))*'2Day Base'!C87),2),ROUND(MinBase2Day*(1+ExpressFuelSurcharge),2),ROUND(((1-(TwoDayDiscount_21_Up+FedExExrpessEarnedDiscount))*'2Day Base'!C87)*(1+ExpressFuelSurcharge),2)))*(1+FedEx_Markup),2)</f>
        <v>109.85</v>
      </c>
      <c r="D90" s="218">
        <f>ROUND((IF(MinBase2Day&gt;ROUND(((1-(TwoDayDiscount_21_Up+FedExExrpessEarnedDiscount))*'2Day Base'!D87),2),ROUND(MinBase2Day*(1+ExpressFuelSurcharge),2),ROUND(((1-(TwoDayDiscount_21_Up+FedExExrpessEarnedDiscount))*'2Day Base'!D87)*(1+ExpressFuelSurcharge),2)))*(1+FedEx_Markup),2)</f>
        <v>138.97</v>
      </c>
      <c r="E90" s="218">
        <f>ROUND((IF(MinBase2Day&gt;ROUND(((1-(TwoDayDiscount_21_Up+FedExExrpessEarnedDiscount))*'2Day Base'!E87),2),ROUND(MinBase2Day*(1+ExpressFuelSurcharge),2),ROUND(((1-(TwoDayDiscount_21_Up+FedExExrpessEarnedDiscount))*'2Day Base'!E87)*(1+ExpressFuelSurcharge),2)))*(1+FedEx_Markup),2)</f>
        <v>218.27</v>
      </c>
      <c r="F90" s="218">
        <f>ROUND((IF(MinBase2Day&gt;ROUND(((1-(TwoDayDiscount_21_Up+FedExExrpessEarnedDiscount))*'2Day Base'!F87),2),ROUND(MinBase2Day*(1+ExpressFuelSurcharge),2),ROUND(((1-(TwoDayDiscount_21_Up+FedExExrpessEarnedDiscount))*'2Day Base'!F87)*(1+ExpressFuelSurcharge),2)))*(1+FedEx_Markup),2)</f>
        <v>360.67</v>
      </c>
      <c r="G90" s="218">
        <f>ROUND((IF(MinBase2Day&gt;ROUND(((1-(TwoDayDiscount_21_Up+FedExExrpessEarnedDiscount))*'2Day Base'!G87),2),ROUND(MinBase2Day*(1+ExpressFuelSurcharge),2),ROUND(((1-(TwoDayDiscount_21_Up+FedExExrpessEarnedDiscount))*'2Day Base'!G87)*(1+ExpressFuelSurcharge),2)))*(1+FedEx_Markup),2)</f>
        <v>371.43</v>
      </c>
      <c r="H90" s="218">
        <f>ROUND((IF(MinBase2Day&gt;ROUND(((1-(TwoDayDiscount_21_Up+FedExExrpessEarnedDiscount))*'2Day Base'!H87),2),ROUND(MinBase2Day*(1+ExpressFuelSurcharge),2),ROUND(((1-(TwoDayDiscount_21_Up+FedExExrpessEarnedDiscount))*'2Day Base'!H87)*(1+ExpressFuelSurcharge),2)))*(1+FedEx_Markup),2)</f>
        <v>378.87</v>
      </c>
      <c r="I90" s="218">
        <f>ROUND((IF(MinBase2Day&gt;ROUND(((1-(TwoDayDiscount_21_Up+FedExExrpessEarnedDiscount))*'2Day Base'!I87),2),ROUND(MinBase2Day*(1+ExpressFuelSurcharge),2),ROUND(((1-(TwoDayDiscount_21_Up+FedExExrpessEarnedDiscount))*'2Day Base'!I87)*(1+ExpressFuelSurcharge),2)))*(1+FedEx_Markup),2)</f>
        <v>386.45</v>
      </c>
      <c r="J90" s="218">
        <f>ROUND((IF(MinBase2Day&gt;ROUND(((1-(TwoDayDiscount_21_Up+FedExExrpessEarnedDiscount))*'2Day Base'!J87),2),ROUND(MinBase2Day*(1+ExpressFuelSurcharge),2),ROUND(((1-(TwoDayDiscount_21_Up+FedExExrpessEarnedDiscount))*'2Day Base'!J87)*(1+ExpressFuelSurcharge),2)))*(1+FedEx_Markup),2)</f>
        <v>386.45</v>
      </c>
      <c r="K90" s="218">
        <f>ROUND((IF(MinBase2Day&gt;ROUND(((1-(TwoDayDiscount_21_Up+FedExExrpessEarnedDiscount))*'2Day Base'!K87),2),ROUND(MinBase2Day*(1+ExpressFuelSurcharge),2),ROUND(((1-(TwoDayDiscount_21_Up+FedExExrpessEarnedDiscount))*'2Day Base'!K87)*(1+ExpressFuelSurcharge),2)))*(1+FedEx_Markup),2)</f>
        <v>396.62</v>
      </c>
      <c r="L90" s="218">
        <f>ROUND((IF(MinBase2Day&gt;ROUND(((1-(TwoDayDiscount_21_Up+FedExExrpessEarnedDiscount))*'2Day Base'!L87),2),ROUND(MinBase2Day*(1+ExpressFuelSurcharge),2),ROUND(((1-(TwoDayDiscount_21_Up+FedExExrpessEarnedDiscount))*'2Day Base'!L87)*(1+ExpressFuelSurcharge),2)))*(1+FedEx_Markup),2)</f>
        <v>396.62</v>
      </c>
    </row>
    <row r="91" spans="1:26" ht="12.75" customHeight="1">
      <c r="A91" s="217">
        <v>86</v>
      </c>
      <c r="B91" s="218">
        <f>ROUND((IF(MinBase2Day&gt;ROUND(((1-(TwoDayDiscount_21_Up+FedExExrpessEarnedDiscount))*'2Day Base'!B88),2),ROUND(MinBase2Day*(1+ExpressFuelSurcharge),2),ROUND(((1-(TwoDayDiscount_21_Up+FedExExrpessEarnedDiscount))*'2Day Base'!B88)*(1+ExpressFuelSurcharge),2)))*(1+FedEx_Markup),2)</f>
        <v>96.93</v>
      </c>
      <c r="C91" s="218">
        <f>ROUND((IF(MinBase2Day&gt;ROUND(((1-(TwoDayDiscount_21_Up+FedExExrpessEarnedDiscount))*'2Day Base'!C88),2),ROUND(MinBase2Day*(1+ExpressFuelSurcharge),2),ROUND(((1-(TwoDayDiscount_21_Up+FedExExrpessEarnedDiscount))*'2Day Base'!C88)*(1+ExpressFuelSurcharge),2)))*(1+FedEx_Markup),2)</f>
        <v>114.98</v>
      </c>
      <c r="D91" s="218">
        <f>ROUND((IF(MinBase2Day&gt;ROUND(((1-(TwoDayDiscount_21_Up+FedExExrpessEarnedDiscount))*'2Day Base'!D88),2),ROUND(MinBase2Day*(1+ExpressFuelSurcharge),2),ROUND(((1-(TwoDayDiscount_21_Up+FedExExrpessEarnedDiscount))*'2Day Base'!D88)*(1+ExpressFuelSurcharge),2)))*(1+FedEx_Markup),2)</f>
        <v>139.66</v>
      </c>
      <c r="E91" s="218">
        <f>ROUND((IF(MinBase2Day&gt;ROUND(((1-(TwoDayDiscount_21_Up+FedExExrpessEarnedDiscount))*'2Day Base'!E88),2),ROUND(MinBase2Day*(1+ExpressFuelSurcharge),2),ROUND(((1-(TwoDayDiscount_21_Up+FedExExrpessEarnedDiscount))*'2Day Base'!E88)*(1+ExpressFuelSurcharge),2)))*(1+FedEx_Markup),2)</f>
        <v>223.25</v>
      </c>
      <c r="F91" s="218">
        <f>ROUND((IF(MinBase2Day&gt;ROUND(((1-(TwoDayDiscount_21_Up+FedExExrpessEarnedDiscount))*'2Day Base'!F88),2),ROUND(MinBase2Day*(1+ExpressFuelSurcharge),2),ROUND(((1-(TwoDayDiscount_21_Up+FedExExrpessEarnedDiscount))*'2Day Base'!F88)*(1+ExpressFuelSurcharge),2)))*(1+FedEx_Markup),2)</f>
        <v>361.57</v>
      </c>
      <c r="G91" s="218">
        <f>ROUND((IF(MinBase2Day&gt;ROUND(((1-(TwoDayDiscount_21_Up+FedExExrpessEarnedDiscount))*'2Day Base'!G88),2),ROUND(MinBase2Day*(1+ExpressFuelSurcharge),2),ROUND(((1-(TwoDayDiscount_21_Up+FedExExrpessEarnedDiscount))*'2Day Base'!G88)*(1+ExpressFuelSurcharge),2)))*(1+FedEx_Markup),2)</f>
        <v>372.01</v>
      </c>
      <c r="H91" s="218">
        <f>ROUND((IF(MinBase2Day&gt;ROUND(((1-(TwoDayDiscount_21_Up+FedExExrpessEarnedDiscount))*'2Day Base'!H88),2),ROUND(MinBase2Day*(1+ExpressFuelSurcharge),2),ROUND(((1-(TwoDayDiscount_21_Up+FedExExrpessEarnedDiscount))*'2Day Base'!H88)*(1+ExpressFuelSurcharge),2)))*(1+FedEx_Markup),2)</f>
        <v>381.6</v>
      </c>
      <c r="I91" s="218">
        <f>ROUND((IF(MinBase2Day&gt;ROUND(((1-(TwoDayDiscount_21_Up+FedExExrpessEarnedDiscount))*'2Day Base'!I88),2),ROUND(MinBase2Day*(1+ExpressFuelSurcharge),2),ROUND(((1-(TwoDayDiscount_21_Up+FedExExrpessEarnedDiscount))*'2Day Base'!I88)*(1+ExpressFuelSurcharge),2)))*(1+FedEx_Markup),2)</f>
        <v>389.25</v>
      </c>
      <c r="J91" s="218">
        <f>ROUND((IF(MinBase2Day&gt;ROUND(((1-(TwoDayDiscount_21_Up+FedExExrpessEarnedDiscount))*'2Day Base'!J88),2),ROUND(MinBase2Day*(1+ExpressFuelSurcharge),2),ROUND(((1-(TwoDayDiscount_21_Up+FedExExrpessEarnedDiscount))*'2Day Base'!J88)*(1+ExpressFuelSurcharge),2)))*(1+FedEx_Markup),2)</f>
        <v>389.25</v>
      </c>
      <c r="K91" s="218">
        <f>ROUND((IF(MinBase2Day&gt;ROUND(((1-(TwoDayDiscount_21_Up+FedExExrpessEarnedDiscount))*'2Day Base'!K88),2),ROUND(MinBase2Day*(1+ExpressFuelSurcharge),2),ROUND(((1-(TwoDayDiscount_21_Up+FedExExrpessEarnedDiscount))*'2Day Base'!K88)*(1+ExpressFuelSurcharge),2)))*(1+FedEx_Markup),2)</f>
        <v>397.05</v>
      </c>
      <c r="L91" s="218">
        <f>ROUND((IF(MinBase2Day&gt;ROUND(((1-(TwoDayDiscount_21_Up+FedExExrpessEarnedDiscount))*'2Day Base'!L88),2),ROUND(MinBase2Day*(1+ExpressFuelSurcharge),2),ROUND(((1-(TwoDayDiscount_21_Up+FedExExrpessEarnedDiscount))*'2Day Base'!L88)*(1+ExpressFuelSurcharge),2)))*(1+FedEx_Markup),2)</f>
        <v>397.05</v>
      </c>
    </row>
    <row r="92" spans="1:26" ht="12.75" customHeight="1">
      <c r="A92" s="217">
        <v>87</v>
      </c>
      <c r="B92" s="218">
        <f>ROUND((IF(MinBase2Day&gt;ROUND(((1-(TwoDayDiscount_21_Up+FedExExrpessEarnedDiscount))*'2Day Base'!B89),2),ROUND(MinBase2Day*(1+ExpressFuelSurcharge),2),ROUND(((1-(TwoDayDiscount_21_Up+FedExExrpessEarnedDiscount))*'2Day Base'!B89)*(1+ExpressFuelSurcharge),2)))*(1+FedEx_Markup),2)</f>
        <v>97.54</v>
      </c>
      <c r="C92" s="218">
        <f>ROUND((IF(MinBase2Day&gt;ROUND(((1-(TwoDayDiscount_21_Up+FedExExrpessEarnedDiscount))*'2Day Base'!C89),2),ROUND(MinBase2Day*(1+ExpressFuelSurcharge),2),ROUND(((1-(TwoDayDiscount_21_Up+FedExExrpessEarnedDiscount))*'2Day Base'!C89)*(1+ExpressFuelSurcharge),2)))*(1+FedEx_Markup),2)</f>
        <v>115.58</v>
      </c>
      <c r="D92" s="218">
        <f>ROUND((IF(MinBase2Day&gt;ROUND(((1-(TwoDayDiscount_21_Up+FedExExrpessEarnedDiscount))*'2Day Base'!D89),2),ROUND(MinBase2Day*(1+ExpressFuelSurcharge),2),ROUND(((1-(TwoDayDiscount_21_Up+FedExExrpessEarnedDiscount))*'2Day Base'!D89)*(1+ExpressFuelSurcharge),2)))*(1+FedEx_Markup),2)</f>
        <v>140.28</v>
      </c>
      <c r="E92" s="218">
        <f>ROUND((IF(MinBase2Day&gt;ROUND(((1-(TwoDayDiscount_21_Up+FedExExrpessEarnedDiscount))*'2Day Base'!E89),2),ROUND(MinBase2Day*(1+ExpressFuelSurcharge),2),ROUND(((1-(TwoDayDiscount_21_Up+FedExExrpessEarnedDiscount))*'2Day Base'!E89)*(1+ExpressFuelSurcharge),2)))*(1+FedEx_Markup),2)</f>
        <v>223.74</v>
      </c>
      <c r="F92" s="218">
        <f>ROUND((IF(MinBase2Day&gt;ROUND(((1-(TwoDayDiscount_21_Up+FedExExrpessEarnedDiscount))*'2Day Base'!F89),2),ROUND(MinBase2Day*(1+ExpressFuelSurcharge),2),ROUND(((1-(TwoDayDiscount_21_Up+FedExExrpessEarnedDiscount))*'2Day Base'!F89)*(1+ExpressFuelSurcharge),2)))*(1+FedEx_Markup),2)</f>
        <v>361.99</v>
      </c>
      <c r="G92" s="218">
        <f>ROUND((IF(MinBase2Day&gt;ROUND(((1-(TwoDayDiscount_21_Up+FedExExrpessEarnedDiscount))*'2Day Base'!G89),2),ROUND(MinBase2Day*(1+ExpressFuelSurcharge),2),ROUND(((1-(TwoDayDiscount_21_Up+FedExExrpessEarnedDiscount))*'2Day Base'!G89)*(1+ExpressFuelSurcharge),2)))*(1+FedEx_Markup),2)</f>
        <v>374.52</v>
      </c>
      <c r="H92" s="218">
        <f>ROUND((IF(MinBase2Day&gt;ROUND(((1-(TwoDayDiscount_21_Up+FedExExrpessEarnedDiscount))*'2Day Base'!H89),2),ROUND(MinBase2Day*(1+ExpressFuelSurcharge),2),ROUND(((1-(TwoDayDiscount_21_Up+FedExExrpessEarnedDiscount))*'2Day Base'!H89)*(1+ExpressFuelSurcharge),2)))*(1+FedEx_Markup),2)</f>
        <v>382.03</v>
      </c>
      <c r="I92" s="218">
        <f>ROUND((IF(MinBase2Day&gt;ROUND(((1-(TwoDayDiscount_21_Up+FedExExrpessEarnedDiscount))*'2Day Base'!I89),2),ROUND(MinBase2Day*(1+ExpressFuelSurcharge),2),ROUND(((1-(TwoDayDiscount_21_Up+FedExExrpessEarnedDiscount))*'2Day Base'!I89)*(1+ExpressFuelSurcharge),2)))*(1+FedEx_Markup),2)</f>
        <v>389.67</v>
      </c>
      <c r="J92" s="218">
        <f>ROUND((IF(MinBase2Day&gt;ROUND(((1-(TwoDayDiscount_21_Up+FedExExrpessEarnedDiscount))*'2Day Base'!J89),2),ROUND(MinBase2Day*(1+ExpressFuelSurcharge),2),ROUND(((1-(TwoDayDiscount_21_Up+FedExExrpessEarnedDiscount))*'2Day Base'!J89)*(1+ExpressFuelSurcharge),2)))*(1+FedEx_Markup),2)</f>
        <v>389.67</v>
      </c>
      <c r="K92" s="218">
        <f>ROUND((IF(MinBase2Day&gt;ROUND(((1-(TwoDayDiscount_21_Up+FedExExrpessEarnedDiscount))*'2Day Base'!K89),2),ROUND(MinBase2Day*(1+ExpressFuelSurcharge),2),ROUND(((1-(TwoDayDiscount_21_Up+FedExExrpessEarnedDiscount))*'2Day Base'!K89)*(1+ExpressFuelSurcharge),2)))*(1+FedEx_Markup),2)</f>
        <v>397.47</v>
      </c>
      <c r="L92" s="218">
        <f>ROUND((IF(MinBase2Day&gt;ROUND(((1-(TwoDayDiscount_21_Up+FedExExrpessEarnedDiscount))*'2Day Base'!L89),2),ROUND(MinBase2Day*(1+ExpressFuelSurcharge),2),ROUND(((1-(TwoDayDiscount_21_Up+FedExExrpessEarnedDiscount))*'2Day Base'!L89)*(1+ExpressFuelSurcharge),2)))*(1+FedEx_Markup),2)</f>
        <v>397.47</v>
      </c>
    </row>
    <row r="93" spans="1:26" ht="12.75" customHeight="1">
      <c r="A93" s="217">
        <v>88</v>
      </c>
      <c r="B93" s="218">
        <f>ROUND((IF(MinBase2Day&gt;ROUND(((1-(TwoDayDiscount_21_Up+FedExExrpessEarnedDiscount))*'2Day Base'!B90),2),ROUND(MinBase2Day*(1+ExpressFuelSurcharge),2),ROUND(((1-(TwoDayDiscount_21_Up+FedExExrpessEarnedDiscount))*'2Day Base'!B90)*(1+ExpressFuelSurcharge),2)))*(1+FedEx_Markup),2)</f>
        <v>98.16</v>
      </c>
      <c r="C93" s="218">
        <f>ROUND((IF(MinBase2Day&gt;ROUND(((1-(TwoDayDiscount_21_Up+FedExExrpessEarnedDiscount))*'2Day Base'!C90),2),ROUND(MinBase2Day*(1+ExpressFuelSurcharge),2),ROUND(((1-(TwoDayDiscount_21_Up+FedExExrpessEarnedDiscount))*'2Day Base'!C90)*(1+ExpressFuelSurcharge),2)))*(1+FedEx_Markup),2)</f>
        <v>116.22</v>
      </c>
      <c r="D93" s="218">
        <f>ROUND((IF(MinBase2Day&gt;ROUND(((1-(TwoDayDiscount_21_Up+FedExExrpessEarnedDiscount))*'2Day Base'!D90),2),ROUND(MinBase2Day*(1+ExpressFuelSurcharge),2),ROUND(((1-(TwoDayDiscount_21_Up+FedExExrpessEarnedDiscount))*'2Day Base'!D90)*(1+ExpressFuelSurcharge),2)))*(1+FedEx_Markup),2)</f>
        <v>140.9</v>
      </c>
      <c r="E93" s="218">
        <f>ROUND((IF(MinBase2Day&gt;ROUND(((1-(TwoDayDiscount_21_Up+FedExExrpessEarnedDiscount))*'2Day Base'!E90),2),ROUND(MinBase2Day*(1+ExpressFuelSurcharge),2),ROUND(((1-(TwoDayDiscount_21_Up+FedExExrpessEarnedDiscount))*'2Day Base'!E90)*(1+ExpressFuelSurcharge),2)))*(1+FedEx_Markup),2)</f>
        <v>224.17</v>
      </c>
      <c r="F93" s="218">
        <f>ROUND((IF(MinBase2Day&gt;ROUND(((1-(TwoDayDiscount_21_Up+FedExExrpessEarnedDiscount))*'2Day Base'!F90),2),ROUND(MinBase2Day*(1+ExpressFuelSurcharge),2),ROUND(((1-(TwoDayDiscount_21_Up+FedExExrpessEarnedDiscount))*'2Day Base'!F90)*(1+ExpressFuelSurcharge),2)))*(1+FedEx_Markup),2)</f>
        <v>369.46</v>
      </c>
      <c r="G93" s="218">
        <f>ROUND((IF(MinBase2Day&gt;ROUND(((1-(TwoDayDiscount_21_Up+FedExExrpessEarnedDiscount))*'2Day Base'!G90),2),ROUND(MinBase2Day*(1+ExpressFuelSurcharge),2),ROUND(((1-(TwoDayDiscount_21_Up+FedExExrpessEarnedDiscount))*'2Day Base'!G90)*(1+ExpressFuelSurcharge),2)))*(1+FedEx_Markup),2)</f>
        <v>377.43</v>
      </c>
      <c r="H93" s="218">
        <f>ROUND((IF(MinBase2Day&gt;ROUND(((1-(TwoDayDiscount_21_Up+FedExExrpessEarnedDiscount))*'2Day Base'!H90),2),ROUND(MinBase2Day*(1+ExpressFuelSurcharge),2),ROUND(((1-(TwoDayDiscount_21_Up+FedExExrpessEarnedDiscount))*'2Day Base'!H90)*(1+ExpressFuelSurcharge),2)))*(1+FedEx_Markup),2)</f>
        <v>384.99</v>
      </c>
      <c r="I93" s="218">
        <f>ROUND((IF(MinBase2Day&gt;ROUND(((1-(TwoDayDiscount_21_Up+FedExExrpessEarnedDiscount))*'2Day Base'!I90),2),ROUND(MinBase2Day*(1+ExpressFuelSurcharge),2),ROUND(((1-(TwoDayDiscount_21_Up+FedExExrpessEarnedDiscount))*'2Day Base'!I90)*(1+ExpressFuelSurcharge),2)))*(1+FedEx_Markup),2)</f>
        <v>392.69</v>
      </c>
      <c r="J93" s="218">
        <f>ROUND((IF(MinBase2Day&gt;ROUND(((1-(TwoDayDiscount_21_Up+FedExExrpessEarnedDiscount))*'2Day Base'!J90),2),ROUND(MinBase2Day*(1+ExpressFuelSurcharge),2),ROUND(((1-(TwoDayDiscount_21_Up+FedExExrpessEarnedDiscount))*'2Day Base'!J90)*(1+ExpressFuelSurcharge),2)))*(1+FedEx_Markup),2)</f>
        <v>392.69</v>
      </c>
      <c r="K93" s="218">
        <f>ROUND((IF(MinBase2Day&gt;ROUND(((1-(TwoDayDiscount_21_Up+FedExExrpessEarnedDiscount))*'2Day Base'!K90),2),ROUND(MinBase2Day*(1+ExpressFuelSurcharge),2),ROUND(((1-(TwoDayDiscount_21_Up+FedExExrpessEarnedDiscount))*'2Day Base'!K90)*(1+ExpressFuelSurcharge),2)))*(1+FedEx_Markup),2)</f>
        <v>400.55</v>
      </c>
      <c r="L93" s="218">
        <f>ROUND((IF(MinBase2Day&gt;ROUND(((1-(TwoDayDiscount_21_Up+FedExExrpessEarnedDiscount))*'2Day Base'!L90),2),ROUND(MinBase2Day*(1+ExpressFuelSurcharge),2),ROUND(((1-(TwoDayDiscount_21_Up+FedExExrpessEarnedDiscount))*'2Day Base'!L90)*(1+ExpressFuelSurcharge),2)))*(1+FedEx_Markup),2)</f>
        <v>400.55</v>
      </c>
    </row>
    <row r="94" spans="1:26" ht="12.75" customHeight="1">
      <c r="A94" s="217">
        <v>89</v>
      </c>
      <c r="B94" s="218">
        <f>ROUND((IF(MinBase2Day&gt;ROUND(((1-(TwoDayDiscount_21_Up+FedExExrpessEarnedDiscount))*'2Day Base'!B91),2),ROUND(MinBase2Day*(1+ExpressFuelSurcharge),2),ROUND(((1-(TwoDayDiscount_21_Up+FedExExrpessEarnedDiscount))*'2Day Base'!B91)*(1+ExpressFuelSurcharge),2)))*(1+FedEx_Markup),2)</f>
        <v>98.76</v>
      </c>
      <c r="C94" s="218">
        <f>ROUND((IF(MinBase2Day&gt;ROUND(((1-(TwoDayDiscount_21_Up+FedExExrpessEarnedDiscount))*'2Day Base'!C91),2),ROUND(MinBase2Day*(1+ExpressFuelSurcharge),2),ROUND(((1-(TwoDayDiscount_21_Up+FedExExrpessEarnedDiscount))*'2Day Base'!C91)*(1+ExpressFuelSurcharge),2)))*(1+FedEx_Markup),2)</f>
        <v>116.83</v>
      </c>
      <c r="D94" s="218">
        <f>ROUND((IF(MinBase2Day&gt;ROUND(((1-(TwoDayDiscount_21_Up+FedExExrpessEarnedDiscount))*'2Day Base'!D91),2),ROUND(MinBase2Day*(1+ExpressFuelSurcharge),2),ROUND(((1-(TwoDayDiscount_21_Up+FedExExrpessEarnedDiscount))*'2Day Base'!D91)*(1+ExpressFuelSurcharge),2)))*(1+FedEx_Markup),2)</f>
        <v>141.52000000000001</v>
      </c>
      <c r="E94" s="218">
        <f>ROUND((IF(MinBase2Day&gt;ROUND(((1-(TwoDayDiscount_21_Up+FedExExrpessEarnedDiscount))*'2Day Base'!E91),2),ROUND(MinBase2Day*(1+ExpressFuelSurcharge),2),ROUND(((1-(TwoDayDiscount_21_Up+FedExExrpessEarnedDiscount))*'2Day Base'!E91)*(1+ExpressFuelSurcharge),2)))*(1+FedEx_Markup),2)</f>
        <v>224.6</v>
      </c>
      <c r="F94" s="218">
        <f>ROUND((IF(MinBase2Day&gt;ROUND(((1-(TwoDayDiscount_21_Up+FedExExrpessEarnedDiscount))*'2Day Base'!F91),2),ROUND(MinBase2Day*(1+ExpressFuelSurcharge),2),ROUND(((1-(TwoDayDiscount_21_Up+FedExExrpessEarnedDiscount))*'2Day Base'!F91)*(1+ExpressFuelSurcharge),2)))*(1+FedEx_Markup),2)</f>
        <v>370.51</v>
      </c>
      <c r="G94" s="218">
        <f>ROUND((IF(MinBase2Day&gt;ROUND(((1-(TwoDayDiscount_21_Up+FedExExrpessEarnedDiscount))*'2Day Base'!G91),2),ROUND(MinBase2Day*(1+ExpressFuelSurcharge),2),ROUND(((1-(TwoDayDiscount_21_Up+FedExExrpessEarnedDiscount))*'2Day Base'!G91)*(1+ExpressFuelSurcharge),2)))*(1+FedEx_Markup),2)</f>
        <v>378.04</v>
      </c>
      <c r="H94" s="218">
        <f>ROUND((IF(MinBase2Day&gt;ROUND(((1-(TwoDayDiscount_21_Up+FedExExrpessEarnedDiscount))*'2Day Base'!H91),2),ROUND(MinBase2Day*(1+ExpressFuelSurcharge),2),ROUND(((1-(TwoDayDiscount_21_Up+FedExExrpessEarnedDiscount))*'2Day Base'!H91)*(1+ExpressFuelSurcharge),2)))*(1+FedEx_Markup),2)</f>
        <v>385.62</v>
      </c>
      <c r="I94" s="218">
        <f>ROUND((IF(MinBase2Day&gt;ROUND(((1-(TwoDayDiscount_21_Up+FedExExrpessEarnedDiscount))*'2Day Base'!I91),2),ROUND(MinBase2Day*(1+ExpressFuelSurcharge),2),ROUND(((1-(TwoDayDiscount_21_Up+FedExExrpessEarnedDiscount))*'2Day Base'!I91)*(1+ExpressFuelSurcharge),2)))*(1+FedEx_Markup),2)</f>
        <v>393.58</v>
      </c>
      <c r="J94" s="218">
        <f>ROUND((IF(MinBase2Day&gt;ROUND(((1-(TwoDayDiscount_21_Up+FedExExrpessEarnedDiscount))*'2Day Base'!J91),2),ROUND(MinBase2Day*(1+ExpressFuelSurcharge),2),ROUND(((1-(TwoDayDiscount_21_Up+FedExExrpessEarnedDiscount))*'2Day Base'!J91)*(1+ExpressFuelSurcharge),2)))*(1+FedEx_Markup),2)</f>
        <v>393.58</v>
      </c>
      <c r="K94" s="218">
        <f>ROUND((IF(MinBase2Day&gt;ROUND(((1-(TwoDayDiscount_21_Up+FedExExrpessEarnedDiscount))*'2Day Base'!K91),2),ROUND(MinBase2Day*(1+ExpressFuelSurcharge),2),ROUND(((1-(TwoDayDiscount_21_Up+FedExExrpessEarnedDiscount))*'2Day Base'!K91)*(1+ExpressFuelSurcharge),2)))*(1+FedEx_Markup),2)</f>
        <v>401.45</v>
      </c>
      <c r="L94" s="218">
        <f>ROUND((IF(MinBase2Day&gt;ROUND(((1-(TwoDayDiscount_21_Up+FedExExrpessEarnedDiscount))*'2Day Base'!L91),2),ROUND(MinBase2Day*(1+ExpressFuelSurcharge),2),ROUND(((1-(TwoDayDiscount_21_Up+FedExExrpessEarnedDiscount))*'2Day Base'!L91)*(1+ExpressFuelSurcharge),2)))*(1+FedEx_Markup),2)</f>
        <v>401.45</v>
      </c>
    </row>
    <row r="95" spans="1:26" ht="12.75" customHeight="1">
      <c r="A95" s="217">
        <v>90</v>
      </c>
      <c r="B95" s="218">
        <f>ROUND((IF(MinBase2Day&gt;ROUND(((1-(TwoDayDiscount_21_Up+FedExExrpessEarnedDiscount))*'2Day Base'!B92),2),ROUND(MinBase2Day*(1+ExpressFuelSurcharge),2),ROUND(((1-(TwoDayDiscount_21_Up+FedExExrpessEarnedDiscount))*'2Day Base'!B92)*(1+ExpressFuelSurcharge),2)))*(1+FedEx_Markup),2)</f>
        <v>99.19</v>
      </c>
      <c r="C95" s="218">
        <f>ROUND((IF(MinBase2Day&gt;ROUND(((1-(TwoDayDiscount_21_Up+FedExExrpessEarnedDiscount))*'2Day Base'!C92),2),ROUND(MinBase2Day*(1+ExpressFuelSurcharge),2),ROUND(((1-(TwoDayDiscount_21_Up+FedExExrpessEarnedDiscount))*'2Day Base'!C92)*(1+ExpressFuelSurcharge),2)))*(1+FedEx_Markup),2)</f>
        <v>117.44</v>
      </c>
      <c r="D95" s="218">
        <f>ROUND((IF(MinBase2Day&gt;ROUND(((1-(TwoDayDiscount_21_Up+FedExExrpessEarnedDiscount))*'2Day Base'!D92),2),ROUND(MinBase2Day*(1+ExpressFuelSurcharge),2),ROUND(((1-(TwoDayDiscount_21_Up+FedExExrpessEarnedDiscount))*'2Day Base'!D92)*(1+ExpressFuelSurcharge),2)))*(1+FedEx_Markup),2)</f>
        <v>142.16</v>
      </c>
      <c r="E95" s="218">
        <f>ROUND((IF(MinBase2Day&gt;ROUND(((1-(TwoDayDiscount_21_Up+FedExExrpessEarnedDiscount))*'2Day Base'!E92),2),ROUND(MinBase2Day*(1+ExpressFuelSurcharge),2),ROUND(((1-(TwoDayDiscount_21_Up+FedExExrpessEarnedDiscount))*'2Day Base'!E92)*(1+ExpressFuelSurcharge),2)))*(1+FedEx_Markup),2)</f>
        <v>225.01</v>
      </c>
      <c r="F95" s="218">
        <f>ROUND((IF(MinBase2Day&gt;ROUND(((1-(TwoDayDiscount_21_Up+FedExExrpessEarnedDiscount))*'2Day Base'!F92),2),ROUND(MinBase2Day*(1+ExpressFuelSurcharge),2),ROUND(((1-(TwoDayDiscount_21_Up+FedExExrpessEarnedDiscount))*'2Day Base'!F92)*(1+ExpressFuelSurcharge),2)))*(1+FedEx_Markup),2)</f>
        <v>370.93</v>
      </c>
      <c r="G95" s="218">
        <f>ROUND((IF(MinBase2Day&gt;ROUND(((1-(TwoDayDiscount_21_Up+FedExExrpessEarnedDiscount))*'2Day Base'!G92),2),ROUND(MinBase2Day*(1+ExpressFuelSurcharge),2),ROUND(((1-(TwoDayDiscount_21_Up+FedExExrpessEarnedDiscount))*'2Day Base'!G92)*(1+ExpressFuelSurcharge),2)))*(1+FedEx_Markup),2)</f>
        <v>378.68</v>
      </c>
      <c r="H95" s="218">
        <f>ROUND((IF(MinBase2Day&gt;ROUND(((1-(TwoDayDiscount_21_Up+FedExExrpessEarnedDiscount))*'2Day Base'!H92),2),ROUND(MinBase2Day*(1+ExpressFuelSurcharge),2),ROUND(((1-(TwoDayDiscount_21_Up+FedExExrpessEarnedDiscount))*'2Day Base'!H92)*(1+ExpressFuelSurcharge),2)))*(1+FedEx_Markup),2)</f>
        <v>386.26</v>
      </c>
      <c r="I95" s="218">
        <f>ROUND((IF(MinBase2Day&gt;ROUND(((1-(TwoDayDiscount_21_Up+FedExExrpessEarnedDiscount))*'2Day Base'!I92),2),ROUND(MinBase2Day*(1+ExpressFuelSurcharge),2),ROUND(((1-(TwoDayDiscount_21_Up+FedExExrpessEarnedDiscount))*'2Day Base'!I92)*(1+ExpressFuelSurcharge),2)))*(1+FedEx_Markup),2)</f>
        <v>394</v>
      </c>
      <c r="J95" s="218">
        <f>ROUND((IF(MinBase2Day&gt;ROUND(((1-(TwoDayDiscount_21_Up+FedExExrpessEarnedDiscount))*'2Day Base'!J92),2),ROUND(MinBase2Day*(1+ExpressFuelSurcharge),2),ROUND(((1-(TwoDayDiscount_21_Up+FedExExrpessEarnedDiscount))*'2Day Base'!J92)*(1+ExpressFuelSurcharge),2)))*(1+FedEx_Markup),2)</f>
        <v>394</v>
      </c>
      <c r="K95" s="218">
        <f>ROUND((IF(MinBase2Day&gt;ROUND(((1-(TwoDayDiscount_21_Up+FedExExrpessEarnedDiscount))*'2Day Base'!K92),2),ROUND(MinBase2Day*(1+ExpressFuelSurcharge),2),ROUND(((1-(TwoDayDiscount_21_Up+FedExExrpessEarnedDiscount))*'2Day Base'!K92)*(1+ExpressFuelSurcharge),2)))*(1+FedEx_Markup),2)</f>
        <v>401.88</v>
      </c>
      <c r="L95" s="218">
        <f>ROUND((IF(MinBase2Day&gt;ROUND(((1-(TwoDayDiscount_21_Up+FedExExrpessEarnedDiscount))*'2Day Base'!L92),2),ROUND(MinBase2Day*(1+ExpressFuelSurcharge),2),ROUND(((1-(TwoDayDiscount_21_Up+FedExExrpessEarnedDiscount))*'2Day Base'!L92)*(1+ExpressFuelSurcharge),2)))*(1+FedEx_Markup),2)</f>
        <v>401.88</v>
      </c>
    </row>
    <row r="96" spans="1:26" ht="12.75" customHeight="1">
      <c r="A96" s="217">
        <v>91</v>
      </c>
      <c r="B96" s="218">
        <f>ROUND((IF(MinBase2Day&gt;ROUND(((1-(TwoDayDiscount_21_Up+FedExExrpessEarnedDiscount))*'2Day Base'!B93),2),ROUND(MinBase2Day*(1+ExpressFuelSurcharge),2),ROUND(((1-(TwoDayDiscount_21_Up+FedExExrpessEarnedDiscount))*'2Day Base'!B93)*(1+ExpressFuelSurcharge),2)))*(1+FedEx_Markup),2)</f>
        <v>99.6</v>
      </c>
      <c r="C96" s="218">
        <f>ROUND((IF(MinBase2Day&gt;ROUND(((1-(TwoDayDiscount_21_Up+FedExExrpessEarnedDiscount))*'2Day Base'!C93),2),ROUND(MinBase2Day*(1+ExpressFuelSurcharge),2),ROUND(((1-(TwoDayDiscount_21_Up+FedExExrpessEarnedDiscount))*'2Day Base'!C93)*(1+ExpressFuelSurcharge),2)))*(1+FedEx_Markup),2)</f>
        <v>117.86</v>
      </c>
      <c r="D96" s="218">
        <f>ROUND((IF(MinBase2Day&gt;ROUND(((1-(TwoDayDiscount_21_Up+FedExExrpessEarnedDiscount))*'2Day Base'!D93),2),ROUND(MinBase2Day*(1+ExpressFuelSurcharge),2),ROUND(((1-(TwoDayDiscount_21_Up+FedExExrpessEarnedDiscount))*'2Day Base'!D93)*(1+ExpressFuelSurcharge),2)))*(1+FedEx_Markup),2)</f>
        <v>142.77000000000001</v>
      </c>
      <c r="E96" s="218">
        <f>ROUND((IF(MinBase2Day&gt;ROUND(((1-(TwoDayDiscount_21_Up+FedExExrpessEarnedDiscount))*'2Day Base'!E93),2),ROUND(MinBase2Day*(1+ExpressFuelSurcharge),2),ROUND(((1-(TwoDayDiscount_21_Up+FedExExrpessEarnedDiscount))*'2Day Base'!E93)*(1+ExpressFuelSurcharge),2)))*(1+FedEx_Markup),2)</f>
        <v>225.43</v>
      </c>
      <c r="F96" s="218">
        <f>ROUND((IF(MinBase2Day&gt;ROUND(((1-(TwoDayDiscount_21_Up+FedExExrpessEarnedDiscount))*'2Day Base'!F93),2),ROUND(MinBase2Day*(1+ExpressFuelSurcharge),2),ROUND(((1-(TwoDayDiscount_21_Up+FedExExrpessEarnedDiscount))*'2Day Base'!F93)*(1+ExpressFuelSurcharge),2)))*(1+FedEx_Markup),2)</f>
        <v>371.83</v>
      </c>
      <c r="G96" s="218">
        <f>ROUND((IF(MinBase2Day&gt;ROUND(((1-(TwoDayDiscount_21_Up+FedExExrpessEarnedDiscount))*'2Day Base'!G93),2),ROUND(MinBase2Day*(1+ExpressFuelSurcharge),2),ROUND(((1-(TwoDayDiscount_21_Up+FedExExrpessEarnedDiscount))*'2Day Base'!G93)*(1+ExpressFuelSurcharge),2)))*(1+FedEx_Markup),2)</f>
        <v>379.32</v>
      </c>
      <c r="H96" s="218">
        <f>ROUND((IF(MinBase2Day&gt;ROUND(((1-(TwoDayDiscount_21_Up+FedExExrpessEarnedDiscount))*'2Day Base'!H93),2),ROUND(MinBase2Day*(1+ExpressFuelSurcharge),2),ROUND(((1-(TwoDayDiscount_21_Up+FedExExrpessEarnedDiscount))*'2Day Base'!H93)*(1+ExpressFuelSurcharge),2)))*(1+FedEx_Markup),2)</f>
        <v>387.12</v>
      </c>
      <c r="I96" s="218">
        <f>ROUND((IF(MinBase2Day&gt;ROUND(((1-(TwoDayDiscount_21_Up+FedExExrpessEarnedDiscount))*'2Day Base'!I93),2),ROUND(MinBase2Day*(1+ExpressFuelSurcharge),2),ROUND(((1-(TwoDayDiscount_21_Up+FedExExrpessEarnedDiscount))*'2Day Base'!I93)*(1+ExpressFuelSurcharge),2)))*(1+FedEx_Markup),2)</f>
        <v>394.88</v>
      </c>
      <c r="J96" s="218">
        <f>ROUND((IF(MinBase2Day&gt;ROUND(((1-(TwoDayDiscount_21_Up+FedExExrpessEarnedDiscount))*'2Day Base'!J93),2),ROUND(MinBase2Day*(1+ExpressFuelSurcharge),2),ROUND(((1-(TwoDayDiscount_21_Up+FedExExrpessEarnedDiscount))*'2Day Base'!J93)*(1+ExpressFuelSurcharge),2)))*(1+FedEx_Markup),2)</f>
        <v>394.88</v>
      </c>
      <c r="K96" s="218">
        <f>ROUND((IF(MinBase2Day&gt;ROUND(((1-(TwoDayDiscount_21_Up+FedExExrpessEarnedDiscount))*'2Day Base'!K93),2),ROUND(MinBase2Day*(1+ExpressFuelSurcharge),2),ROUND(((1-(TwoDayDiscount_21_Up+FedExExrpessEarnedDiscount))*'2Day Base'!K93)*(1+ExpressFuelSurcharge),2)))*(1+FedEx_Markup),2)</f>
        <v>403.48</v>
      </c>
      <c r="L96" s="218">
        <f>ROUND((IF(MinBase2Day&gt;ROUND(((1-(TwoDayDiscount_21_Up+FedExExrpessEarnedDiscount))*'2Day Base'!L93),2),ROUND(MinBase2Day*(1+ExpressFuelSurcharge),2),ROUND(((1-(TwoDayDiscount_21_Up+FedExExrpessEarnedDiscount))*'2Day Base'!L93)*(1+ExpressFuelSurcharge),2)))*(1+FedEx_Markup),2)</f>
        <v>403.48</v>
      </c>
    </row>
    <row r="97" spans="1:12" ht="12.75" customHeight="1">
      <c r="A97" s="217">
        <v>92</v>
      </c>
      <c r="B97" s="218">
        <f>ROUND((IF(MinBase2Day&gt;ROUND(((1-(TwoDayDiscount_21_Up+FedExExrpessEarnedDiscount))*'2Day Base'!B94),2),ROUND(MinBase2Day*(1+ExpressFuelSurcharge),2),ROUND(((1-(TwoDayDiscount_21_Up+FedExExrpessEarnedDiscount))*'2Day Base'!B94)*(1+ExpressFuelSurcharge),2)))*(1+FedEx_Markup),2)</f>
        <v>100.03</v>
      </c>
      <c r="C97" s="218">
        <f>ROUND((IF(MinBase2Day&gt;ROUND(((1-(TwoDayDiscount_21_Up+FedExExrpessEarnedDiscount))*'2Day Base'!C94),2),ROUND(MinBase2Day*(1+ExpressFuelSurcharge),2),ROUND(((1-(TwoDayDiscount_21_Up+FedExExrpessEarnedDiscount))*'2Day Base'!C94)*(1+ExpressFuelSurcharge),2)))*(1+FedEx_Markup),2)</f>
        <v>118.28</v>
      </c>
      <c r="D97" s="218">
        <f>ROUND((IF(MinBase2Day&gt;ROUND(((1-(TwoDayDiscount_21_Up+FedExExrpessEarnedDiscount))*'2Day Base'!D94),2),ROUND(MinBase2Day*(1+ExpressFuelSurcharge),2),ROUND(((1-(TwoDayDiscount_21_Up+FedExExrpessEarnedDiscount))*'2Day Base'!D94)*(1+ExpressFuelSurcharge),2)))*(1+FedEx_Markup),2)</f>
        <v>143.19999999999999</v>
      </c>
      <c r="E97" s="218">
        <f>ROUND((IF(MinBase2Day&gt;ROUND(((1-(TwoDayDiscount_21_Up+FedExExrpessEarnedDiscount))*'2Day Base'!E94),2),ROUND(MinBase2Day*(1+ExpressFuelSurcharge),2),ROUND(((1-(TwoDayDiscount_21_Up+FedExExrpessEarnedDiscount))*'2Day Base'!E94)*(1+ExpressFuelSurcharge),2)))*(1+FedEx_Markup),2)</f>
        <v>225.85</v>
      </c>
      <c r="F97" s="218">
        <f>ROUND((IF(MinBase2Day&gt;ROUND(((1-(TwoDayDiscount_21_Up+FedExExrpessEarnedDiscount))*'2Day Base'!F94),2),ROUND(MinBase2Day*(1+ExpressFuelSurcharge),2),ROUND(((1-(TwoDayDiscount_21_Up+FedExExrpessEarnedDiscount))*'2Day Base'!F94)*(1+ExpressFuelSurcharge),2)))*(1+FedEx_Markup),2)</f>
        <v>372.26</v>
      </c>
      <c r="G97" s="218">
        <f>ROUND((IF(MinBase2Day&gt;ROUND(((1-(TwoDayDiscount_21_Up+FedExExrpessEarnedDiscount))*'2Day Base'!G94),2),ROUND(MinBase2Day*(1+ExpressFuelSurcharge),2),ROUND(((1-(TwoDayDiscount_21_Up+FedExExrpessEarnedDiscount))*'2Day Base'!G94)*(1+ExpressFuelSurcharge),2)))*(1+FedEx_Markup),2)</f>
        <v>379.94</v>
      </c>
      <c r="H97" s="218">
        <f>ROUND((IF(MinBase2Day&gt;ROUND(((1-(TwoDayDiscount_21_Up+FedExExrpessEarnedDiscount))*'2Day Base'!H94),2),ROUND(MinBase2Day*(1+ExpressFuelSurcharge),2),ROUND(((1-(TwoDayDiscount_21_Up+FedExExrpessEarnedDiscount))*'2Day Base'!H94)*(1+ExpressFuelSurcharge),2)))*(1+FedEx_Markup),2)</f>
        <v>387.55</v>
      </c>
      <c r="I97" s="218">
        <f>ROUND((IF(MinBase2Day&gt;ROUND(((1-(TwoDayDiscount_21_Up+FedExExrpessEarnedDiscount))*'2Day Base'!I94),2),ROUND(MinBase2Day*(1+ExpressFuelSurcharge),2),ROUND(((1-(TwoDayDiscount_21_Up+FedExExrpessEarnedDiscount))*'2Day Base'!I94)*(1+ExpressFuelSurcharge),2)))*(1+FedEx_Markup),2)</f>
        <v>395.97</v>
      </c>
      <c r="J97" s="218">
        <f>ROUND((IF(MinBase2Day&gt;ROUND(((1-(TwoDayDiscount_21_Up+FedExExrpessEarnedDiscount))*'2Day Base'!J94),2),ROUND(MinBase2Day*(1+ExpressFuelSurcharge),2),ROUND(((1-(TwoDayDiscount_21_Up+FedExExrpessEarnedDiscount))*'2Day Base'!J94)*(1+ExpressFuelSurcharge),2)))*(1+FedEx_Markup),2)</f>
        <v>395.97</v>
      </c>
      <c r="K97" s="218">
        <f>ROUND((IF(MinBase2Day&gt;ROUND(((1-(TwoDayDiscount_21_Up+FedExExrpessEarnedDiscount))*'2Day Base'!K94),2),ROUND(MinBase2Day*(1+ExpressFuelSurcharge),2),ROUND(((1-(TwoDayDiscount_21_Up+FedExExrpessEarnedDiscount))*'2Day Base'!K94)*(1+ExpressFuelSurcharge),2)))*(1+FedEx_Markup),2)</f>
        <v>403.9</v>
      </c>
      <c r="L97" s="218">
        <f>ROUND((IF(MinBase2Day&gt;ROUND(((1-(TwoDayDiscount_21_Up+FedExExrpessEarnedDiscount))*'2Day Base'!L94),2),ROUND(MinBase2Day*(1+ExpressFuelSurcharge),2),ROUND(((1-(TwoDayDiscount_21_Up+FedExExrpessEarnedDiscount))*'2Day Base'!L94)*(1+ExpressFuelSurcharge),2)))*(1+FedEx_Markup),2)</f>
        <v>403.9</v>
      </c>
    </row>
    <row r="98" spans="1:12" ht="12.75" customHeight="1">
      <c r="A98" s="217">
        <v>93</v>
      </c>
      <c r="B98" s="218">
        <f>ROUND((IF(MinBase2Day&gt;ROUND(((1-(TwoDayDiscount_21_Up+FedExExrpessEarnedDiscount))*'2Day Base'!B95),2),ROUND(MinBase2Day*(1+ExpressFuelSurcharge),2),ROUND(((1-(TwoDayDiscount_21_Up+FedExExrpessEarnedDiscount))*'2Day Base'!B95)*(1+ExpressFuelSurcharge),2)))*(1+FedEx_Markup),2)</f>
        <v>100.45</v>
      </c>
      <c r="C98" s="218">
        <f>ROUND((IF(MinBase2Day&gt;ROUND(((1-(TwoDayDiscount_21_Up+FedExExrpessEarnedDiscount))*'2Day Base'!C95),2),ROUND(MinBase2Day*(1+ExpressFuelSurcharge),2),ROUND(((1-(TwoDayDiscount_21_Up+FedExExrpessEarnedDiscount))*'2Day Base'!C95)*(1+ExpressFuelSurcharge),2)))*(1+FedEx_Markup),2)</f>
        <v>118.7</v>
      </c>
      <c r="D98" s="218">
        <f>ROUND((IF(MinBase2Day&gt;ROUND(((1-(TwoDayDiscount_21_Up+FedExExrpessEarnedDiscount))*'2Day Base'!D95),2),ROUND(MinBase2Day*(1+ExpressFuelSurcharge),2),ROUND(((1-(TwoDayDiscount_21_Up+FedExExrpessEarnedDiscount))*'2Day Base'!D95)*(1+ExpressFuelSurcharge),2)))*(1+FedEx_Markup),2)</f>
        <v>143.62</v>
      </c>
      <c r="E98" s="218">
        <f>ROUND((IF(MinBase2Day&gt;ROUND(((1-(TwoDayDiscount_21_Up+FedExExrpessEarnedDiscount))*'2Day Base'!E95),2),ROUND(MinBase2Day*(1+ExpressFuelSurcharge),2),ROUND(((1-(TwoDayDiscount_21_Up+FedExExrpessEarnedDiscount))*'2Day Base'!E95)*(1+ExpressFuelSurcharge),2)))*(1+FedEx_Markup),2)</f>
        <v>226.27</v>
      </c>
      <c r="F98" s="218">
        <f>ROUND((IF(MinBase2Day&gt;ROUND(((1-(TwoDayDiscount_21_Up+FedExExrpessEarnedDiscount))*'2Day Base'!F95),2),ROUND(MinBase2Day*(1+ExpressFuelSurcharge),2),ROUND(((1-(TwoDayDiscount_21_Up+FedExExrpessEarnedDiscount))*'2Day Base'!F95)*(1+ExpressFuelSurcharge),2)))*(1+FedEx_Markup),2)</f>
        <v>372.91</v>
      </c>
      <c r="G98" s="218">
        <f>ROUND((IF(MinBase2Day&gt;ROUND(((1-(TwoDayDiscount_21_Up+FedExExrpessEarnedDiscount))*'2Day Base'!G95),2),ROUND(MinBase2Day*(1+ExpressFuelSurcharge),2),ROUND(((1-(TwoDayDiscount_21_Up+FedExExrpessEarnedDiscount))*'2Day Base'!G95)*(1+ExpressFuelSurcharge),2)))*(1+FedEx_Markup),2)</f>
        <v>380.56</v>
      </c>
      <c r="H98" s="218">
        <f>ROUND((IF(MinBase2Day&gt;ROUND(((1-(TwoDayDiscount_21_Up+FedExExrpessEarnedDiscount))*'2Day Base'!H95),2),ROUND(MinBase2Day*(1+ExpressFuelSurcharge),2),ROUND(((1-(TwoDayDiscount_21_Up+FedExExrpessEarnedDiscount))*'2Day Base'!H95)*(1+ExpressFuelSurcharge),2)))*(1+FedEx_Markup),2)</f>
        <v>388.17</v>
      </c>
      <c r="I98" s="218">
        <f>ROUND((IF(MinBase2Day&gt;ROUND(((1-(TwoDayDiscount_21_Up+FedExExrpessEarnedDiscount))*'2Day Base'!I95),2),ROUND(MinBase2Day*(1+ExpressFuelSurcharge),2),ROUND(((1-(TwoDayDiscount_21_Up+FedExExrpessEarnedDiscount))*'2Day Base'!I95)*(1+ExpressFuelSurcharge),2)))*(1+FedEx_Markup),2)</f>
        <v>396.38</v>
      </c>
      <c r="J98" s="218">
        <f>ROUND((IF(MinBase2Day&gt;ROUND(((1-(TwoDayDiscount_21_Up+FedExExrpessEarnedDiscount))*'2Day Base'!J95),2),ROUND(MinBase2Day*(1+ExpressFuelSurcharge),2),ROUND(((1-(TwoDayDiscount_21_Up+FedExExrpessEarnedDiscount))*'2Day Base'!J95)*(1+ExpressFuelSurcharge),2)))*(1+FedEx_Markup),2)</f>
        <v>396.38</v>
      </c>
      <c r="K98" s="218">
        <f>ROUND((IF(MinBase2Day&gt;ROUND(((1-(TwoDayDiscount_21_Up+FedExExrpessEarnedDiscount))*'2Day Base'!K95),2),ROUND(MinBase2Day*(1+ExpressFuelSurcharge),2),ROUND(((1-(TwoDayDiscount_21_Up+FedExExrpessEarnedDiscount))*'2Day Base'!K95)*(1+ExpressFuelSurcharge),2)))*(1+FedEx_Markup),2)</f>
        <v>404.32</v>
      </c>
      <c r="L98" s="218">
        <f>ROUND((IF(MinBase2Day&gt;ROUND(((1-(TwoDayDiscount_21_Up+FedExExrpessEarnedDiscount))*'2Day Base'!L95),2),ROUND(MinBase2Day*(1+ExpressFuelSurcharge),2),ROUND(((1-(TwoDayDiscount_21_Up+FedExExrpessEarnedDiscount))*'2Day Base'!L95)*(1+ExpressFuelSurcharge),2)))*(1+FedEx_Markup),2)</f>
        <v>404.32</v>
      </c>
    </row>
    <row r="99" spans="1:12" ht="12.75" customHeight="1">
      <c r="A99" s="217">
        <v>94</v>
      </c>
      <c r="B99" s="218">
        <f>ROUND((IF(MinBase2Day&gt;ROUND(((1-(TwoDayDiscount_21_Up+FedExExrpessEarnedDiscount))*'2Day Base'!B96),2),ROUND(MinBase2Day*(1+ExpressFuelSurcharge),2),ROUND(((1-(TwoDayDiscount_21_Up+FedExExrpessEarnedDiscount))*'2Day Base'!B96)*(1+ExpressFuelSurcharge),2)))*(1+FedEx_Markup),2)</f>
        <v>101.84</v>
      </c>
      <c r="C99" s="218">
        <f>ROUND((IF(MinBase2Day&gt;ROUND(((1-(TwoDayDiscount_21_Up+FedExExrpessEarnedDiscount))*'2Day Base'!C96),2),ROUND(MinBase2Day*(1+ExpressFuelSurcharge),2),ROUND(((1-(TwoDayDiscount_21_Up+FedExExrpessEarnedDiscount))*'2Day Base'!C96)*(1+ExpressFuelSurcharge),2)))*(1+FedEx_Markup),2)</f>
        <v>119.12</v>
      </c>
      <c r="D99" s="218">
        <f>ROUND((IF(MinBase2Day&gt;ROUND(((1-(TwoDayDiscount_21_Up+FedExExrpessEarnedDiscount))*'2Day Base'!D96),2),ROUND(MinBase2Day*(1+ExpressFuelSurcharge),2),ROUND(((1-(TwoDayDiscount_21_Up+FedExExrpessEarnedDiscount))*'2Day Base'!D96)*(1+ExpressFuelSurcharge),2)))*(1+FedEx_Markup),2)</f>
        <v>144.66999999999999</v>
      </c>
      <c r="E99" s="218">
        <f>ROUND((IF(MinBase2Day&gt;ROUND(((1-(TwoDayDiscount_21_Up+FedExExrpessEarnedDiscount))*'2Day Base'!E96),2),ROUND(MinBase2Day*(1+ExpressFuelSurcharge),2),ROUND(((1-(TwoDayDiscount_21_Up+FedExExrpessEarnedDiscount))*'2Day Base'!E96)*(1+ExpressFuelSurcharge),2)))*(1+FedEx_Markup),2)</f>
        <v>226.7</v>
      </c>
      <c r="F99" s="218">
        <f>ROUND((IF(MinBase2Day&gt;ROUND(((1-(TwoDayDiscount_21_Up+FedExExrpessEarnedDiscount))*'2Day Base'!F96),2),ROUND(MinBase2Day*(1+ExpressFuelSurcharge),2),ROUND(((1-(TwoDayDiscount_21_Up+FedExExrpessEarnedDiscount))*'2Day Base'!F96)*(1+ExpressFuelSurcharge),2)))*(1+FedEx_Markup),2)</f>
        <v>373.72</v>
      </c>
      <c r="G99" s="218">
        <f>ROUND((IF(MinBase2Day&gt;ROUND(((1-(TwoDayDiscount_21_Up+FedExExrpessEarnedDiscount))*'2Day Base'!G96),2),ROUND(MinBase2Day*(1+ExpressFuelSurcharge),2),ROUND(((1-(TwoDayDiscount_21_Up+FedExExrpessEarnedDiscount))*'2Day Base'!G96)*(1+ExpressFuelSurcharge),2)))*(1+FedEx_Markup),2)</f>
        <v>381.2</v>
      </c>
      <c r="H99" s="218">
        <f>ROUND((IF(MinBase2Day&gt;ROUND(((1-(TwoDayDiscount_21_Up+FedExExrpessEarnedDiscount))*'2Day Base'!H96),2),ROUND(MinBase2Day*(1+ExpressFuelSurcharge),2),ROUND(((1-(TwoDayDiscount_21_Up+FedExExrpessEarnedDiscount))*'2Day Base'!H96)*(1+ExpressFuelSurcharge),2)))*(1+FedEx_Markup),2)</f>
        <v>388.83</v>
      </c>
      <c r="I99" s="218">
        <f>ROUND((IF(MinBase2Day&gt;ROUND(((1-(TwoDayDiscount_21_Up+FedExExrpessEarnedDiscount))*'2Day Base'!I96),2),ROUND(MinBase2Day*(1+ExpressFuelSurcharge),2),ROUND(((1-(TwoDayDiscount_21_Up+FedExExrpessEarnedDiscount))*'2Day Base'!I96)*(1+ExpressFuelSurcharge),2)))*(1+FedEx_Markup),2)</f>
        <v>396.81</v>
      </c>
      <c r="J99" s="218">
        <f>ROUND((IF(MinBase2Day&gt;ROUND(((1-(TwoDayDiscount_21_Up+FedExExrpessEarnedDiscount))*'2Day Base'!J96),2),ROUND(MinBase2Day*(1+ExpressFuelSurcharge),2),ROUND(((1-(TwoDayDiscount_21_Up+FedExExrpessEarnedDiscount))*'2Day Base'!J96)*(1+ExpressFuelSurcharge),2)))*(1+FedEx_Markup),2)</f>
        <v>396.81</v>
      </c>
      <c r="K99" s="218">
        <f>ROUND((IF(MinBase2Day&gt;ROUND(((1-(TwoDayDiscount_21_Up+FedExExrpessEarnedDiscount))*'2Day Base'!K96),2),ROUND(MinBase2Day*(1+ExpressFuelSurcharge),2),ROUND(((1-(TwoDayDiscount_21_Up+FedExExrpessEarnedDiscount))*'2Day Base'!K96)*(1+ExpressFuelSurcharge),2)))*(1+FedEx_Markup),2)</f>
        <v>404.74</v>
      </c>
      <c r="L99" s="218">
        <f>ROUND((IF(MinBase2Day&gt;ROUND(((1-(TwoDayDiscount_21_Up+FedExExrpessEarnedDiscount))*'2Day Base'!L96),2),ROUND(MinBase2Day*(1+ExpressFuelSurcharge),2),ROUND(((1-(TwoDayDiscount_21_Up+FedExExrpessEarnedDiscount))*'2Day Base'!L96)*(1+ExpressFuelSurcharge),2)))*(1+FedEx_Markup),2)</f>
        <v>404.74</v>
      </c>
    </row>
    <row r="100" spans="1:12" ht="12.75" customHeight="1">
      <c r="A100" s="217">
        <v>95</v>
      </c>
      <c r="B100" s="218">
        <f>ROUND((IF(MinBase2Day&gt;ROUND(((1-(TwoDayDiscount_21_Up+FedExExrpessEarnedDiscount))*'2Day Base'!B97),2),ROUND(MinBase2Day*(1+ExpressFuelSurcharge),2),ROUND(((1-(TwoDayDiscount_21_Up+FedExExrpessEarnedDiscount))*'2Day Base'!B97)*(1+ExpressFuelSurcharge),2)))*(1+FedEx_Markup),2)</f>
        <v>102.3</v>
      </c>
      <c r="C100" s="218">
        <f>ROUND((IF(MinBase2Day&gt;ROUND(((1-(TwoDayDiscount_21_Up+FedExExrpessEarnedDiscount))*'2Day Base'!C97),2),ROUND(MinBase2Day*(1+ExpressFuelSurcharge),2),ROUND(((1-(TwoDayDiscount_21_Up+FedExExrpessEarnedDiscount))*'2Day Base'!C97)*(1+ExpressFuelSurcharge),2)))*(1+FedEx_Markup),2)</f>
        <v>119.54</v>
      </c>
      <c r="D100" s="218">
        <f>ROUND((IF(MinBase2Day&gt;ROUND(((1-(TwoDayDiscount_21_Up+FedExExrpessEarnedDiscount))*'2Day Base'!D97),2),ROUND(MinBase2Day*(1+ExpressFuelSurcharge),2),ROUND(((1-(TwoDayDiscount_21_Up+FedExExrpessEarnedDiscount))*'2Day Base'!D97)*(1+ExpressFuelSurcharge),2)))*(1+FedEx_Markup),2)</f>
        <v>145.29</v>
      </c>
      <c r="E100" s="218">
        <f>ROUND((IF(MinBase2Day&gt;ROUND(((1-(TwoDayDiscount_21_Up+FedExExrpessEarnedDiscount))*'2Day Base'!E97),2),ROUND(MinBase2Day*(1+ExpressFuelSurcharge),2),ROUND(((1-(TwoDayDiscount_21_Up+FedExExrpessEarnedDiscount))*'2Day Base'!E97)*(1+ExpressFuelSurcharge),2)))*(1+FedEx_Markup),2)</f>
        <v>228.97</v>
      </c>
      <c r="F100" s="218">
        <f>ROUND((IF(MinBase2Day&gt;ROUND(((1-(TwoDayDiscount_21_Up+FedExExrpessEarnedDiscount))*'2Day Base'!F97),2),ROUND(MinBase2Day*(1+ExpressFuelSurcharge),2),ROUND(((1-(TwoDayDiscount_21_Up+FedExExrpessEarnedDiscount))*'2Day Base'!F97)*(1+ExpressFuelSurcharge),2)))*(1+FedEx_Markup),2)</f>
        <v>374.7</v>
      </c>
      <c r="G100" s="218">
        <f>ROUND((IF(MinBase2Day&gt;ROUND(((1-(TwoDayDiscount_21_Up+FedExExrpessEarnedDiscount))*'2Day Base'!G97),2),ROUND(MinBase2Day*(1+ExpressFuelSurcharge),2),ROUND(((1-(TwoDayDiscount_21_Up+FedExExrpessEarnedDiscount))*'2Day Base'!G97)*(1+ExpressFuelSurcharge),2)))*(1+FedEx_Markup),2)</f>
        <v>384.58</v>
      </c>
      <c r="H100" s="218">
        <f>ROUND((IF(MinBase2Day&gt;ROUND(((1-(TwoDayDiscount_21_Up+FedExExrpessEarnedDiscount))*'2Day Base'!H97),2),ROUND(MinBase2Day*(1+ExpressFuelSurcharge),2),ROUND(((1-(TwoDayDiscount_21_Up+FedExExrpessEarnedDiscount))*'2Day Base'!H97)*(1+ExpressFuelSurcharge),2)))*(1+FedEx_Markup),2)</f>
        <v>392.28</v>
      </c>
      <c r="I100" s="218">
        <f>ROUND((IF(MinBase2Day&gt;ROUND(((1-(TwoDayDiscount_21_Up+FedExExrpessEarnedDiscount))*'2Day Base'!I97),2),ROUND(MinBase2Day*(1+ExpressFuelSurcharge),2),ROUND(((1-(TwoDayDiscount_21_Up+FedExExrpessEarnedDiscount))*'2Day Base'!I97)*(1+ExpressFuelSurcharge),2)))*(1+FedEx_Markup),2)</f>
        <v>400.13</v>
      </c>
      <c r="J100" s="218">
        <f>ROUND((IF(MinBase2Day&gt;ROUND(((1-(TwoDayDiscount_21_Up+FedExExrpessEarnedDiscount))*'2Day Base'!J97),2),ROUND(MinBase2Day*(1+ExpressFuelSurcharge),2),ROUND(((1-(TwoDayDiscount_21_Up+FedExExrpessEarnedDiscount))*'2Day Base'!J97)*(1+ExpressFuelSurcharge),2)))*(1+FedEx_Markup),2)</f>
        <v>400.13</v>
      </c>
      <c r="K100" s="218">
        <f>ROUND((IF(MinBase2Day&gt;ROUND(((1-(TwoDayDiscount_21_Up+FedExExrpessEarnedDiscount))*'2Day Base'!K97),2),ROUND(MinBase2Day*(1+ExpressFuelSurcharge),2),ROUND(((1-(TwoDayDiscount_21_Up+FedExExrpessEarnedDiscount))*'2Day Base'!K97)*(1+ExpressFuelSurcharge),2)))*(1+FedEx_Markup),2)</f>
        <v>408.14</v>
      </c>
      <c r="L100" s="218">
        <f>ROUND((IF(MinBase2Day&gt;ROUND(((1-(TwoDayDiscount_21_Up+FedExExrpessEarnedDiscount))*'2Day Base'!L97),2),ROUND(MinBase2Day*(1+ExpressFuelSurcharge),2),ROUND(((1-(TwoDayDiscount_21_Up+FedExExrpessEarnedDiscount))*'2Day Base'!L97)*(1+ExpressFuelSurcharge),2)))*(1+FedEx_Markup),2)</f>
        <v>408.14</v>
      </c>
    </row>
    <row r="101" spans="1:12" ht="12.75" customHeight="1">
      <c r="A101" s="217">
        <v>96</v>
      </c>
      <c r="B101" s="218">
        <f>ROUND((IF(MinBase2Day&gt;ROUND(((1-(TwoDayDiscount_21_Up+FedExExrpessEarnedDiscount))*'2Day Base'!B98),2),ROUND(MinBase2Day*(1+ExpressFuelSurcharge),2),ROUND(((1-(TwoDayDiscount_21_Up+FedExExrpessEarnedDiscount))*'2Day Base'!B98)*(1+ExpressFuelSurcharge),2)))*(1+FedEx_Markup),2)</f>
        <v>102.72</v>
      </c>
      <c r="C101" s="218">
        <f>ROUND((IF(MinBase2Day&gt;ROUND(((1-(TwoDayDiscount_21_Up+FedExExrpessEarnedDiscount))*'2Day Base'!C98),2),ROUND(MinBase2Day*(1+ExpressFuelSurcharge),2),ROUND(((1-(TwoDayDiscount_21_Up+FedExExrpessEarnedDiscount))*'2Day Base'!C98)*(1+ExpressFuelSurcharge),2)))*(1+FedEx_Markup),2)</f>
        <v>119.97</v>
      </c>
      <c r="D101" s="218">
        <f>ROUND((IF(MinBase2Day&gt;ROUND(((1-(TwoDayDiscount_21_Up+FedExExrpessEarnedDiscount))*'2Day Base'!D98),2),ROUND(MinBase2Day*(1+ExpressFuelSurcharge),2),ROUND(((1-(TwoDayDiscount_21_Up+FedExExrpessEarnedDiscount))*'2Day Base'!D98)*(1+ExpressFuelSurcharge),2)))*(1+FedEx_Markup),2)</f>
        <v>149.44</v>
      </c>
      <c r="E101" s="218">
        <f>ROUND((IF(MinBase2Day&gt;ROUND(((1-(TwoDayDiscount_21_Up+FedExExrpessEarnedDiscount))*'2Day Base'!E98),2),ROUND(MinBase2Day*(1+ExpressFuelSurcharge),2),ROUND(((1-(TwoDayDiscount_21_Up+FedExExrpessEarnedDiscount))*'2Day Base'!E98)*(1+ExpressFuelSurcharge),2)))*(1+FedEx_Markup),2)</f>
        <v>229.39</v>
      </c>
      <c r="F101" s="218">
        <f>ROUND((IF(MinBase2Day&gt;ROUND(((1-(TwoDayDiscount_21_Up+FedExExrpessEarnedDiscount))*'2Day Base'!F98),2),ROUND(MinBase2Day*(1+ExpressFuelSurcharge),2),ROUND(((1-(TwoDayDiscount_21_Up+FedExExrpessEarnedDiscount))*'2Day Base'!F98)*(1+ExpressFuelSurcharge),2)))*(1+FedEx_Markup),2)</f>
        <v>377.65</v>
      </c>
      <c r="G101" s="218">
        <f>ROUND((IF(MinBase2Day&gt;ROUND(((1-(TwoDayDiscount_21_Up+FedExExrpessEarnedDiscount))*'2Day Base'!G98),2),ROUND(MinBase2Day*(1+ExpressFuelSurcharge),2),ROUND(((1-(TwoDayDiscount_21_Up+FedExExrpessEarnedDiscount))*'2Day Base'!G98)*(1+ExpressFuelSurcharge),2)))*(1+FedEx_Markup),2)</f>
        <v>385.2</v>
      </c>
      <c r="H101" s="218">
        <f>ROUND((IF(MinBase2Day&gt;ROUND(((1-(TwoDayDiscount_21_Up+FedExExrpessEarnedDiscount))*'2Day Base'!H98),2),ROUND(MinBase2Day*(1+ExpressFuelSurcharge),2),ROUND(((1-(TwoDayDiscount_21_Up+FedExExrpessEarnedDiscount))*'2Day Base'!H98)*(1+ExpressFuelSurcharge),2)))*(1+FedEx_Markup),2)</f>
        <v>392.91</v>
      </c>
      <c r="I101" s="218">
        <f>ROUND((IF(MinBase2Day&gt;ROUND(((1-(TwoDayDiscount_21_Up+FedExExrpessEarnedDiscount))*'2Day Base'!I98),2),ROUND(MinBase2Day*(1+ExpressFuelSurcharge),2),ROUND(((1-(TwoDayDiscount_21_Up+FedExExrpessEarnedDiscount))*'2Day Base'!I98)*(1+ExpressFuelSurcharge),2)))*(1+FedEx_Markup),2)</f>
        <v>400.92</v>
      </c>
      <c r="J101" s="218">
        <f>ROUND((IF(MinBase2Day&gt;ROUND(((1-(TwoDayDiscount_21_Up+FedExExrpessEarnedDiscount))*'2Day Base'!J98),2),ROUND(MinBase2Day*(1+ExpressFuelSurcharge),2),ROUND(((1-(TwoDayDiscount_21_Up+FedExExrpessEarnedDiscount))*'2Day Base'!J98)*(1+ExpressFuelSurcharge),2)))*(1+FedEx_Markup),2)</f>
        <v>400.92</v>
      </c>
      <c r="K101" s="218">
        <f>ROUND((IF(MinBase2Day&gt;ROUND(((1-(TwoDayDiscount_21_Up+FedExExrpessEarnedDiscount))*'2Day Base'!K98),2),ROUND(MinBase2Day*(1+ExpressFuelSurcharge),2),ROUND(((1-(TwoDayDiscount_21_Up+FedExExrpessEarnedDiscount))*'2Day Base'!K98)*(1+ExpressFuelSurcharge),2)))*(1+FedEx_Markup),2)</f>
        <v>408.95</v>
      </c>
      <c r="L101" s="218">
        <f>ROUND((IF(MinBase2Day&gt;ROUND(((1-(TwoDayDiscount_21_Up+FedExExrpessEarnedDiscount))*'2Day Base'!L98),2),ROUND(MinBase2Day*(1+ExpressFuelSurcharge),2),ROUND(((1-(TwoDayDiscount_21_Up+FedExExrpessEarnedDiscount))*'2Day Base'!L98)*(1+ExpressFuelSurcharge),2)))*(1+FedEx_Markup),2)</f>
        <v>408.95</v>
      </c>
    </row>
    <row r="102" spans="1:12" ht="12.75" customHeight="1">
      <c r="A102" s="217">
        <v>97</v>
      </c>
      <c r="B102" s="218">
        <f>ROUND((IF(MinBase2Day&gt;ROUND(((1-(TwoDayDiscount_21_Up+FedExExrpessEarnedDiscount))*'2Day Base'!B99),2),ROUND(MinBase2Day*(1+ExpressFuelSurcharge),2),ROUND(((1-(TwoDayDiscount_21_Up+FedExExrpessEarnedDiscount))*'2Day Base'!B99)*(1+ExpressFuelSurcharge),2)))*(1+FedEx_Markup),2)</f>
        <v>103.14</v>
      </c>
      <c r="C102" s="218">
        <f>ROUND((IF(MinBase2Day&gt;ROUND(((1-(TwoDayDiscount_21_Up+FedExExrpessEarnedDiscount))*'2Day Base'!C99),2),ROUND(MinBase2Day*(1+ExpressFuelSurcharge),2),ROUND(((1-(TwoDayDiscount_21_Up+FedExExrpessEarnedDiscount))*'2Day Base'!C99)*(1+ExpressFuelSurcharge),2)))*(1+FedEx_Markup),2)</f>
        <v>120.38</v>
      </c>
      <c r="D102" s="218">
        <f>ROUND((IF(MinBase2Day&gt;ROUND(((1-(TwoDayDiscount_21_Up+FedExExrpessEarnedDiscount))*'2Day Base'!D99),2),ROUND(MinBase2Day*(1+ExpressFuelSurcharge),2),ROUND(((1-(TwoDayDiscount_21_Up+FedExExrpessEarnedDiscount))*'2Day Base'!D99)*(1+ExpressFuelSurcharge),2)))*(1+FedEx_Markup),2)</f>
        <v>153.05000000000001</v>
      </c>
      <c r="E102" s="218">
        <f>ROUND((IF(MinBase2Day&gt;ROUND(((1-(TwoDayDiscount_21_Up+FedExExrpessEarnedDiscount))*'2Day Base'!E99),2),ROUND(MinBase2Day*(1+ExpressFuelSurcharge),2),ROUND(((1-(TwoDayDiscount_21_Up+FedExExrpessEarnedDiscount))*'2Day Base'!E99)*(1+ExpressFuelSurcharge),2)))*(1+FedEx_Markup),2)</f>
        <v>229.82</v>
      </c>
      <c r="F102" s="218">
        <f>ROUND((IF(MinBase2Day&gt;ROUND(((1-(TwoDayDiscount_21_Up+FedExExrpessEarnedDiscount))*'2Day Base'!F99),2),ROUND(MinBase2Day*(1+ExpressFuelSurcharge),2),ROUND(((1-(TwoDayDiscount_21_Up+FedExExrpessEarnedDiscount))*'2Day Base'!F99)*(1+ExpressFuelSurcharge),2)))*(1+FedEx_Markup),2)</f>
        <v>385.6</v>
      </c>
      <c r="G102" s="218">
        <f>ROUND((IF(MinBase2Day&gt;ROUND(((1-(TwoDayDiscount_21_Up+FedExExrpessEarnedDiscount))*'2Day Base'!G99),2),ROUND(MinBase2Day*(1+ExpressFuelSurcharge),2),ROUND(((1-(TwoDayDiscount_21_Up+FedExExrpessEarnedDiscount))*'2Day Base'!G99)*(1+ExpressFuelSurcharge),2)))*(1+FedEx_Markup),2)</f>
        <v>393.31</v>
      </c>
      <c r="H102" s="218">
        <f>ROUND((IF(MinBase2Day&gt;ROUND(((1-(TwoDayDiscount_21_Up+FedExExrpessEarnedDiscount))*'2Day Base'!H99),2),ROUND(MinBase2Day*(1+ExpressFuelSurcharge),2),ROUND(((1-(TwoDayDiscount_21_Up+FedExExrpessEarnedDiscount))*'2Day Base'!H99)*(1+ExpressFuelSurcharge),2)))*(1+FedEx_Markup),2)</f>
        <v>401.18</v>
      </c>
      <c r="I102" s="218">
        <f>ROUND((IF(MinBase2Day&gt;ROUND(((1-(TwoDayDiscount_21_Up+FedExExrpessEarnedDiscount))*'2Day Base'!I99),2),ROUND(MinBase2Day*(1+ExpressFuelSurcharge),2),ROUND(((1-(TwoDayDiscount_21_Up+FedExExrpessEarnedDiscount))*'2Day Base'!I99)*(1+ExpressFuelSurcharge),2)))*(1+FedEx_Markup),2)</f>
        <v>416.89</v>
      </c>
      <c r="J102" s="218">
        <f>ROUND((IF(MinBase2Day&gt;ROUND(((1-(TwoDayDiscount_21_Up+FedExExrpessEarnedDiscount))*'2Day Base'!J99),2),ROUND(MinBase2Day*(1+ExpressFuelSurcharge),2),ROUND(((1-(TwoDayDiscount_21_Up+FedExExrpessEarnedDiscount))*'2Day Base'!J99)*(1+ExpressFuelSurcharge),2)))*(1+FedEx_Markup),2)</f>
        <v>416.89</v>
      </c>
      <c r="K102" s="218">
        <f>ROUND((IF(MinBase2Day&gt;ROUND(((1-(TwoDayDiscount_21_Up+FedExExrpessEarnedDiscount))*'2Day Base'!K99),2),ROUND(MinBase2Day*(1+ExpressFuelSurcharge),2),ROUND(((1-(TwoDayDiscount_21_Up+FedExExrpessEarnedDiscount))*'2Day Base'!K99)*(1+ExpressFuelSurcharge),2)))*(1+FedEx_Markup),2)</f>
        <v>425.22</v>
      </c>
      <c r="L102" s="218">
        <f>ROUND((IF(MinBase2Day&gt;ROUND(((1-(TwoDayDiscount_21_Up+FedExExrpessEarnedDiscount))*'2Day Base'!L99),2),ROUND(MinBase2Day*(1+ExpressFuelSurcharge),2),ROUND(((1-(TwoDayDiscount_21_Up+FedExExrpessEarnedDiscount))*'2Day Base'!L99)*(1+ExpressFuelSurcharge),2)))*(1+FedEx_Markup),2)</f>
        <v>425.22</v>
      </c>
    </row>
    <row r="103" spans="1:12" ht="12.75" customHeight="1">
      <c r="A103" s="217">
        <v>98</v>
      </c>
      <c r="B103" s="218">
        <f>ROUND((IF(MinBase2Day&gt;ROUND(((1-(TwoDayDiscount_21_Up+FedExExrpessEarnedDiscount))*'2Day Base'!B100),2),ROUND(MinBase2Day*(1+ExpressFuelSurcharge),2),ROUND(((1-(TwoDayDiscount_21_Up+FedExExrpessEarnedDiscount))*'2Day Base'!B100)*(1+ExpressFuelSurcharge),2)))*(1+FedEx_Markup),2)</f>
        <v>103.57</v>
      </c>
      <c r="C103" s="218">
        <f>ROUND((IF(MinBase2Day&gt;ROUND(((1-(TwoDayDiscount_21_Up+FedExExrpessEarnedDiscount))*'2Day Base'!C100),2),ROUND(MinBase2Day*(1+ExpressFuelSurcharge),2),ROUND(((1-(TwoDayDiscount_21_Up+FedExExrpessEarnedDiscount))*'2Day Base'!C100)*(1+ExpressFuelSurcharge),2)))*(1+FedEx_Markup),2)</f>
        <v>120.81</v>
      </c>
      <c r="D103" s="218">
        <f>ROUND((IF(MinBase2Day&gt;ROUND(((1-(TwoDayDiscount_21_Up+FedExExrpessEarnedDiscount))*'2Day Base'!D100),2),ROUND(MinBase2Day*(1+ExpressFuelSurcharge),2),ROUND(((1-(TwoDayDiscount_21_Up+FedExExrpessEarnedDiscount))*'2Day Base'!D100)*(1+ExpressFuelSurcharge),2)))*(1+FedEx_Markup),2)</f>
        <v>153.69</v>
      </c>
      <c r="E103" s="218">
        <f>ROUND((IF(MinBase2Day&gt;ROUND(((1-(TwoDayDiscount_21_Up+FedExExrpessEarnedDiscount))*'2Day Base'!E100),2),ROUND(MinBase2Day*(1+ExpressFuelSurcharge),2),ROUND(((1-(TwoDayDiscount_21_Up+FedExExrpessEarnedDiscount))*'2Day Base'!E100)*(1+ExpressFuelSurcharge),2)))*(1+FedEx_Markup),2)</f>
        <v>230.48</v>
      </c>
      <c r="F103" s="218">
        <f>ROUND((IF(MinBase2Day&gt;ROUND(((1-(TwoDayDiscount_21_Up+FedExExrpessEarnedDiscount))*'2Day Base'!F100),2),ROUND(MinBase2Day*(1+ExpressFuelSurcharge),2),ROUND(((1-(TwoDayDiscount_21_Up+FedExExrpessEarnedDiscount))*'2Day Base'!F100)*(1+ExpressFuelSurcharge),2)))*(1+FedEx_Markup),2)</f>
        <v>394.61</v>
      </c>
      <c r="G103" s="218">
        <f>ROUND((IF(MinBase2Day&gt;ROUND(((1-(TwoDayDiscount_21_Up+FedExExrpessEarnedDiscount))*'2Day Base'!G100),2),ROUND(MinBase2Day*(1+ExpressFuelSurcharge),2),ROUND(((1-(TwoDayDiscount_21_Up+FedExExrpessEarnedDiscount))*'2Day Base'!G100)*(1+ExpressFuelSurcharge),2)))*(1+FedEx_Markup),2)</f>
        <v>402.51</v>
      </c>
      <c r="H103" s="218">
        <f>ROUND((IF(MinBase2Day&gt;ROUND(((1-(TwoDayDiscount_21_Up+FedExExrpessEarnedDiscount))*'2Day Base'!H100),2),ROUND(MinBase2Day*(1+ExpressFuelSurcharge),2),ROUND(((1-(TwoDayDiscount_21_Up+FedExExrpessEarnedDiscount))*'2Day Base'!H100)*(1+ExpressFuelSurcharge),2)))*(1+FedEx_Markup),2)</f>
        <v>410.57</v>
      </c>
      <c r="I103" s="218">
        <f>ROUND((IF(MinBase2Day&gt;ROUND(((1-(TwoDayDiscount_21_Up+FedExExrpessEarnedDiscount))*'2Day Base'!I100),2),ROUND(MinBase2Day*(1+ExpressFuelSurcharge),2),ROUND(((1-(TwoDayDiscount_21_Up+FedExExrpessEarnedDiscount))*'2Day Base'!I100)*(1+ExpressFuelSurcharge),2)))*(1+FedEx_Markup),2)</f>
        <v>418.78</v>
      </c>
      <c r="J103" s="218">
        <f>ROUND((IF(MinBase2Day&gt;ROUND(((1-(TwoDayDiscount_21_Up+FedExExrpessEarnedDiscount))*'2Day Base'!J100),2),ROUND(MinBase2Day*(1+ExpressFuelSurcharge),2),ROUND(((1-(TwoDayDiscount_21_Up+FedExExrpessEarnedDiscount))*'2Day Base'!J100)*(1+ExpressFuelSurcharge),2)))*(1+FedEx_Markup),2)</f>
        <v>418.78</v>
      </c>
      <c r="K103" s="218">
        <f>ROUND((IF(MinBase2Day&gt;ROUND(((1-(TwoDayDiscount_21_Up+FedExExrpessEarnedDiscount))*'2Day Base'!K100),2),ROUND(MinBase2Day*(1+ExpressFuelSurcharge),2),ROUND(((1-(TwoDayDiscount_21_Up+FedExExrpessEarnedDiscount))*'2Day Base'!K100)*(1+ExpressFuelSurcharge),2)))*(1+FedEx_Markup),2)</f>
        <v>427.17</v>
      </c>
      <c r="L103" s="218">
        <f>ROUND((IF(MinBase2Day&gt;ROUND(((1-(TwoDayDiscount_21_Up+FedExExrpessEarnedDiscount))*'2Day Base'!L100),2),ROUND(MinBase2Day*(1+ExpressFuelSurcharge),2),ROUND(((1-(TwoDayDiscount_21_Up+FedExExrpessEarnedDiscount))*'2Day Base'!L100)*(1+ExpressFuelSurcharge),2)))*(1+FedEx_Markup),2)</f>
        <v>427.17</v>
      </c>
    </row>
    <row r="104" spans="1:12" ht="12.75" customHeight="1">
      <c r="A104" s="217">
        <v>99</v>
      </c>
      <c r="B104" s="218">
        <f>ROUND((IF(MinBase2Day&gt;ROUND(((1-(TwoDayDiscount_21_Up+FedExExrpessEarnedDiscount))*'2Day Base'!B101),2),ROUND(MinBase2Day*(1+ExpressFuelSurcharge),2),ROUND(((1-(TwoDayDiscount_21_Up+FedExExrpessEarnedDiscount))*'2Day Base'!B101)*(1+ExpressFuelSurcharge),2)))*(1+FedEx_Markup),2)</f>
        <v>104.01</v>
      </c>
      <c r="C104" s="218">
        <f>ROUND((IF(MinBase2Day&gt;ROUND(((1-(TwoDayDiscount_21_Up+FedExExrpessEarnedDiscount))*'2Day Base'!C101),2),ROUND(MinBase2Day*(1+ExpressFuelSurcharge),2),ROUND(((1-(TwoDayDiscount_21_Up+FedExExrpessEarnedDiscount))*'2Day Base'!C101)*(1+ExpressFuelSurcharge),2)))*(1+FedEx_Markup),2)</f>
        <v>122.99</v>
      </c>
      <c r="D104" s="218">
        <f>ROUND((IF(MinBase2Day&gt;ROUND(((1-(TwoDayDiscount_21_Up+FedExExrpessEarnedDiscount))*'2Day Base'!D101),2),ROUND(MinBase2Day*(1+ExpressFuelSurcharge),2),ROUND(((1-(TwoDayDiscount_21_Up+FedExExrpessEarnedDiscount))*'2Day Base'!D101)*(1+ExpressFuelSurcharge),2)))*(1+FedEx_Markup),2)</f>
        <v>157.31</v>
      </c>
      <c r="E104" s="218">
        <f>ROUND((IF(MinBase2Day&gt;ROUND(((1-(TwoDayDiscount_21_Up+FedExExrpessEarnedDiscount))*'2Day Base'!E101),2),ROUND(MinBase2Day*(1+ExpressFuelSurcharge),2),ROUND(((1-(TwoDayDiscount_21_Up+FedExExrpessEarnedDiscount))*'2Day Base'!E101)*(1+ExpressFuelSurcharge),2)))*(1+FedEx_Markup),2)</f>
        <v>243.9</v>
      </c>
      <c r="F104" s="218">
        <f>ROUND((IF(MinBase2Day&gt;ROUND(((1-(TwoDayDiscount_21_Up+FedExExrpessEarnedDiscount))*'2Day Base'!F101),2),ROUND(MinBase2Day*(1+ExpressFuelSurcharge),2),ROUND(((1-(TwoDayDiscount_21_Up+FedExExrpessEarnedDiscount))*'2Day Base'!F101)*(1+ExpressFuelSurcharge),2)))*(1+FedEx_Markup),2)</f>
        <v>401.4</v>
      </c>
      <c r="G104" s="218">
        <f>ROUND((IF(MinBase2Day&gt;ROUND(((1-(TwoDayDiscount_21_Up+FedExExrpessEarnedDiscount))*'2Day Base'!G101),2),ROUND(MinBase2Day*(1+ExpressFuelSurcharge),2),ROUND(((1-(TwoDayDiscount_21_Up+FedExExrpessEarnedDiscount))*'2Day Base'!G101)*(1+ExpressFuelSurcharge),2)))*(1+FedEx_Markup),2)</f>
        <v>420.62</v>
      </c>
      <c r="H104" s="218">
        <f>ROUND((IF(MinBase2Day&gt;ROUND(((1-(TwoDayDiscount_21_Up+FedExExrpessEarnedDiscount))*'2Day Base'!H101),2),ROUND(MinBase2Day*(1+ExpressFuelSurcharge),2),ROUND(((1-(TwoDayDiscount_21_Up+FedExExrpessEarnedDiscount))*'2Day Base'!H101)*(1+ExpressFuelSurcharge),2)))*(1+FedEx_Markup),2)</f>
        <v>433.84</v>
      </c>
      <c r="I104" s="218">
        <f>ROUND((IF(MinBase2Day&gt;ROUND(((1-(TwoDayDiscount_21_Up+FedExExrpessEarnedDiscount))*'2Day Base'!I101),2),ROUND(MinBase2Day*(1+ExpressFuelSurcharge),2),ROUND(((1-(TwoDayDiscount_21_Up+FedExExrpessEarnedDiscount))*'2Day Base'!I101)*(1+ExpressFuelSurcharge),2)))*(1+FedEx_Markup),2)</f>
        <v>442.51</v>
      </c>
      <c r="J104" s="218">
        <f>ROUND((IF(MinBase2Day&gt;ROUND(((1-(TwoDayDiscount_21_Up+FedExExrpessEarnedDiscount))*'2Day Base'!J101),2),ROUND(MinBase2Day*(1+ExpressFuelSurcharge),2),ROUND(((1-(TwoDayDiscount_21_Up+FedExExrpessEarnedDiscount))*'2Day Base'!J101)*(1+ExpressFuelSurcharge),2)))*(1+FedEx_Markup),2)</f>
        <v>442.51</v>
      </c>
      <c r="K104" s="218">
        <f>ROUND((IF(MinBase2Day&gt;ROUND(((1-(TwoDayDiscount_21_Up+FedExExrpessEarnedDiscount))*'2Day Base'!K101),2),ROUND(MinBase2Day*(1+ExpressFuelSurcharge),2),ROUND(((1-(TwoDayDiscount_21_Up+FedExExrpessEarnedDiscount))*'2Day Base'!K101)*(1+ExpressFuelSurcharge),2)))*(1+FedEx_Markup),2)</f>
        <v>459.84</v>
      </c>
      <c r="L104" s="218">
        <f>ROUND((IF(MinBase2Day&gt;ROUND(((1-(TwoDayDiscount_21_Up+FedExExrpessEarnedDiscount))*'2Day Base'!L101),2),ROUND(MinBase2Day*(1+ExpressFuelSurcharge),2),ROUND(((1-(TwoDayDiscount_21_Up+FedExExrpessEarnedDiscount))*'2Day Base'!L101)*(1+ExpressFuelSurcharge),2)))*(1+FedEx_Markup),2)</f>
        <v>459.84</v>
      </c>
    </row>
    <row r="105" spans="1:12" ht="12.75" customHeight="1">
      <c r="A105" s="217">
        <v>100</v>
      </c>
      <c r="B105" s="218">
        <f>ROUND((IF(MinBase2Day&gt;ROUND(((1-(TwoDayDiscount_21_Up+FedExExrpessEarnedDiscount))*'2Day Base'!B102),2),ROUND(MinBase2Day*(1+ExpressFuelSurcharge),2),ROUND(((1-(TwoDayDiscount_21_Up+FedExExrpessEarnedDiscount))*'2Day Base'!B102)*(1+ExpressFuelSurcharge),2)))*(1+FedEx_Markup),2)</f>
        <v>104.73</v>
      </c>
      <c r="C105" s="218">
        <f>ROUND((IF(MinBase2Day&gt;ROUND(((1-(TwoDayDiscount_21_Up+FedExExrpessEarnedDiscount))*'2Day Base'!C102),2),ROUND(MinBase2Day*(1+ExpressFuelSurcharge),2),ROUND(((1-(TwoDayDiscount_21_Up+FedExExrpessEarnedDiscount))*'2Day Base'!C102)*(1+ExpressFuelSurcharge),2)))*(1+FedEx_Markup),2)</f>
        <v>131.04</v>
      </c>
      <c r="D105" s="218">
        <f>ROUND((IF(MinBase2Day&gt;ROUND(((1-(TwoDayDiscount_21_Up+FedExExrpessEarnedDiscount))*'2Day Base'!D102),2),ROUND(MinBase2Day*(1+ExpressFuelSurcharge),2),ROUND(((1-(TwoDayDiscount_21_Up+FedExExrpessEarnedDiscount))*'2Day Base'!D102)*(1+ExpressFuelSurcharge),2)))*(1+FedEx_Markup),2)</f>
        <v>172.09</v>
      </c>
      <c r="E105" s="218">
        <f>ROUND((IF(MinBase2Day&gt;ROUND(((1-(TwoDayDiscount_21_Up+FedExExrpessEarnedDiscount))*'2Day Base'!E102),2),ROUND(MinBase2Day*(1+ExpressFuelSurcharge),2),ROUND(((1-(TwoDayDiscount_21_Up+FedExExrpessEarnedDiscount))*'2Day Base'!E102)*(1+ExpressFuelSurcharge),2)))*(1+FedEx_Markup),2)</f>
        <v>256.82</v>
      </c>
      <c r="F105" s="218">
        <f>ROUND((IF(MinBase2Day&gt;ROUND(((1-(TwoDayDiscount_21_Up+FedExExrpessEarnedDiscount))*'2Day Base'!F102),2),ROUND(MinBase2Day*(1+ExpressFuelSurcharge),2),ROUND(((1-(TwoDayDiscount_21_Up+FedExExrpessEarnedDiscount))*'2Day Base'!F102)*(1+ExpressFuelSurcharge),2)))*(1+FedEx_Markup),2)</f>
        <v>407.86</v>
      </c>
      <c r="G105" s="218">
        <f>ROUND((IF(MinBase2Day&gt;ROUND(((1-(TwoDayDiscount_21_Up+FedExExrpessEarnedDiscount))*'2Day Base'!G102),2),ROUND(MinBase2Day*(1+ExpressFuelSurcharge),2),ROUND(((1-(TwoDayDiscount_21_Up+FedExExrpessEarnedDiscount))*'2Day Base'!G102)*(1+ExpressFuelSurcharge),2)))*(1+FedEx_Markup),2)</f>
        <v>465.22</v>
      </c>
      <c r="H105" s="218">
        <f>ROUND((IF(MinBase2Day&gt;ROUND(((1-(TwoDayDiscount_21_Up+FedExExrpessEarnedDiscount))*'2Day Base'!H102),2),ROUND(MinBase2Day*(1+ExpressFuelSurcharge),2),ROUND(((1-(TwoDayDiscount_21_Up+FedExExrpessEarnedDiscount))*'2Day Base'!H102)*(1+ExpressFuelSurcharge),2)))*(1+FedEx_Markup),2)</f>
        <v>479.44</v>
      </c>
      <c r="I105" s="218">
        <f>ROUND((IF(MinBase2Day&gt;ROUND(((1-(TwoDayDiscount_21_Up+FedExExrpessEarnedDiscount))*'2Day Base'!I102),2),ROUND(MinBase2Day*(1+ExpressFuelSurcharge),2),ROUND(((1-(TwoDayDiscount_21_Up+FedExExrpessEarnedDiscount))*'2Day Base'!I102)*(1+ExpressFuelSurcharge),2)))*(1+FedEx_Markup),2)</f>
        <v>489.43</v>
      </c>
      <c r="J105" s="218">
        <f>ROUND((IF(MinBase2Day&gt;ROUND(((1-(TwoDayDiscount_21_Up+FedExExrpessEarnedDiscount))*'2Day Base'!J102),2),ROUND(MinBase2Day*(1+ExpressFuelSurcharge),2),ROUND(((1-(TwoDayDiscount_21_Up+FedExExrpessEarnedDiscount))*'2Day Base'!J102)*(1+ExpressFuelSurcharge),2)))*(1+FedEx_Markup),2)</f>
        <v>489.43</v>
      </c>
      <c r="K105" s="218">
        <f>ROUND((IF(MinBase2Day&gt;ROUND(((1-(TwoDayDiscount_21_Up+FedExExrpessEarnedDiscount))*'2Day Base'!K102),2),ROUND(MinBase2Day*(1+ExpressFuelSurcharge),2),ROUND(((1-(TwoDayDiscount_21_Up+FedExExrpessEarnedDiscount))*'2Day Base'!K102)*(1+ExpressFuelSurcharge),2)))*(1+FedEx_Markup),2)</f>
        <v>499.95</v>
      </c>
      <c r="L105" s="218">
        <f>ROUND((IF(MinBase2Day&gt;ROUND(((1-(TwoDayDiscount_21_Up+FedExExrpessEarnedDiscount))*'2Day Base'!L102),2),ROUND(MinBase2Day*(1+ExpressFuelSurcharge),2),ROUND(((1-(TwoDayDiscount_21_Up+FedExExrpessEarnedDiscount))*'2Day Base'!L102)*(1+ExpressFuelSurcharge),2)))*(1+FedEx_Markup),2)</f>
        <v>499.95</v>
      </c>
    </row>
    <row r="106" spans="1:12" ht="12.75" customHeight="1">
      <c r="A106" s="217">
        <v>101</v>
      </c>
      <c r="B106" s="218">
        <f>ROUND((IF(MinBase2Day&gt;ROUND(((1-(TwoDayDiscount_21_Up+FedExExrpessEarnedDiscount))*'2Day Base'!B103),2),ROUND(MinBase2Day*(1+ExpressFuelSurcharge),2),ROUND(((1-(TwoDayDiscount_21_Up+FedExExrpessEarnedDiscount))*'2Day Base'!B103)*(1+ExpressFuelSurcharge),2)))*(1+FedEx_Markup),2)</f>
        <v>105.78</v>
      </c>
      <c r="C106" s="218">
        <f>ROUND((IF(MinBase2Day&gt;ROUND(((1-(TwoDayDiscount_21_Up+FedExExrpessEarnedDiscount))*'2Day Base'!C103),2),ROUND(MinBase2Day*(1+ExpressFuelSurcharge),2),ROUND(((1-(TwoDayDiscount_21_Up+FedExExrpessEarnedDiscount))*'2Day Base'!C103)*(1+ExpressFuelSurcharge),2)))*(1+FedEx_Markup),2)</f>
        <v>132.35</v>
      </c>
      <c r="D106" s="218">
        <f>ROUND((IF(MinBase2Day&gt;ROUND(((1-(TwoDayDiscount_21_Up+FedExExrpessEarnedDiscount))*'2Day Base'!D103),2),ROUND(MinBase2Day*(1+ExpressFuelSurcharge),2),ROUND(((1-(TwoDayDiscount_21_Up+FedExExrpessEarnedDiscount))*'2Day Base'!D103)*(1+ExpressFuelSurcharge),2)))*(1+FedEx_Markup),2)</f>
        <v>173.81</v>
      </c>
      <c r="E106" s="218">
        <f>ROUND((IF(MinBase2Day&gt;ROUND(((1-(TwoDayDiscount_21_Up+FedExExrpessEarnedDiscount))*'2Day Base'!E103),2),ROUND(MinBase2Day*(1+ExpressFuelSurcharge),2),ROUND(((1-(TwoDayDiscount_21_Up+FedExExrpessEarnedDiscount))*'2Day Base'!E103)*(1+ExpressFuelSurcharge),2)))*(1+FedEx_Markup),2)</f>
        <v>259.38</v>
      </c>
      <c r="F106" s="218">
        <f>ROUND((IF(MinBase2Day&gt;ROUND(((1-(TwoDayDiscount_21_Up+FedExExrpessEarnedDiscount))*'2Day Base'!F103),2),ROUND(MinBase2Day*(1+ExpressFuelSurcharge),2),ROUND(((1-(TwoDayDiscount_21_Up+FedExExrpessEarnedDiscount))*'2Day Base'!F103)*(1+ExpressFuelSurcharge),2)))*(1+FedEx_Markup),2)</f>
        <v>411.94</v>
      </c>
      <c r="G106" s="218">
        <f>ROUND((IF(MinBase2Day&gt;ROUND(((1-(TwoDayDiscount_21_Up+FedExExrpessEarnedDiscount))*'2Day Base'!G103),2),ROUND(MinBase2Day*(1+ExpressFuelSurcharge),2),ROUND(((1-(TwoDayDiscount_21_Up+FedExExrpessEarnedDiscount))*'2Day Base'!G103)*(1+ExpressFuelSurcharge),2)))*(1+FedEx_Markup),2)</f>
        <v>469.88</v>
      </c>
      <c r="H106" s="218">
        <f>ROUND((IF(MinBase2Day&gt;ROUND(((1-(TwoDayDiscount_21_Up+FedExExrpessEarnedDiscount))*'2Day Base'!H103),2),ROUND(MinBase2Day*(1+ExpressFuelSurcharge),2),ROUND(((1-(TwoDayDiscount_21_Up+FedExExrpessEarnedDiscount))*'2Day Base'!H103)*(1+ExpressFuelSurcharge),2)))*(1+FedEx_Markup),2)</f>
        <v>484.23</v>
      </c>
      <c r="I106" s="218">
        <f>ROUND((IF(MinBase2Day&gt;ROUND(((1-(TwoDayDiscount_21_Up+FedExExrpessEarnedDiscount))*'2Day Base'!I103),2),ROUND(MinBase2Day*(1+ExpressFuelSurcharge),2),ROUND(((1-(TwoDayDiscount_21_Up+FedExExrpessEarnedDiscount))*'2Day Base'!I103)*(1+ExpressFuelSurcharge),2)))*(1+FedEx_Markup),2)</f>
        <v>494.33</v>
      </c>
      <c r="J106" s="218">
        <f>ROUND((IF(MinBase2Day&gt;ROUND(((1-(TwoDayDiscount_21_Up+FedExExrpessEarnedDiscount))*'2Day Base'!J103),2),ROUND(MinBase2Day*(1+ExpressFuelSurcharge),2),ROUND(((1-(TwoDayDiscount_21_Up+FedExExrpessEarnedDiscount))*'2Day Base'!J103)*(1+ExpressFuelSurcharge),2)))*(1+FedEx_Markup),2)</f>
        <v>494.33</v>
      </c>
      <c r="K106" s="218">
        <f>ROUND((IF(MinBase2Day&gt;ROUND(((1-(TwoDayDiscount_21_Up+FedExExrpessEarnedDiscount))*'2Day Base'!K103),2),ROUND(MinBase2Day*(1+ExpressFuelSurcharge),2),ROUND(((1-(TwoDayDiscount_21_Up+FedExExrpessEarnedDiscount))*'2Day Base'!K103)*(1+ExpressFuelSurcharge),2)))*(1+FedEx_Markup),2)</f>
        <v>504.95</v>
      </c>
      <c r="L106" s="218">
        <f>ROUND((IF(MinBase2Day&gt;ROUND(((1-(TwoDayDiscount_21_Up+FedExExrpessEarnedDiscount))*'2Day Base'!L103),2),ROUND(MinBase2Day*(1+ExpressFuelSurcharge),2),ROUND(((1-(TwoDayDiscount_21_Up+FedExExrpessEarnedDiscount))*'2Day Base'!L103)*(1+ExpressFuelSurcharge),2)))*(1+FedEx_Markup),2)</f>
        <v>504.95</v>
      </c>
    </row>
    <row r="107" spans="1:12" ht="12.75" customHeight="1">
      <c r="A107" s="217">
        <v>102</v>
      </c>
      <c r="B107" s="218">
        <f>ROUND((IF(MinBase2Day&gt;ROUND(((1-(TwoDayDiscount_21_Up+FedExExrpessEarnedDiscount))*'2Day Base'!B104),2),ROUND(MinBase2Day*(1+ExpressFuelSurcharge),2),ROUND(((1-(TwoDayDiscount_21_Up+FedExExrpessEarnedDiscount))*'2Day Base'!B104)*(1+ExpressFuelSurcharge),2)))*(1+FedEx_Markup),2)</f>
        <v>106.82</v>
      </c>
      <c r="C107" s="218">
        <f>ROUND((IF(MinBase2Day&gt;ROUND(((1-(TwoDayDiscount_21_Up+FedExExrpessEarnedDiscount))*'2Day Base'!C104),2),ROUND(MinBase2Day*(1+ExpressFuelSurcharge),2),ROUND(((1-(TwoDayDiscount_21_Up+FedExExrpessEarnedDiscount))*'2Day Base'!C104)*(1+ExpressFuelSurcharge),2)))*(1+FedEx_Markup),2)</f>
        <v>133.66</v>
      </c>
      <c r="D107" s="218">
        <f>ROUND((IF(MinBase2Day&gt;ROUND(((1-(TwoDayDiscount_21_Up+FedExExrpessEarnedDiscount))*'2Day Base'!D104),2),ROUND(MinBase2Day*(1+ExpressFuelSurcharge),2),ROUND(((1-(TwoDayDiscount_21_Up+FedExExrpessEarnedDiscount))*'2Day Base'!D104)*(1+ExpressFuelSurcharge),2)))*(1+FedEx_Markup),2)</f>
        <v>175.54</v>
      </c>
      <c r="E107" s="218">
        <f>ROUND((IF(MinBase2Day&gt;ROUND(((1-(TwoDayDiscount_21_Up+FedExExrpessEarnedDiscount))*'2Day Base'!E104),2),ROUND(MinBase2Day*(1+ExpressFuelSurcharge),2),ROUND(((1-(TwoDayDiscount_21_Up+FedExExrpessEarnedDiscount))*'2Day Base'!E104)*(1+ExpressFuelSurcharge),2)))*(1+FedEx_Markup),2)</f>
        <v>261.95999999999998</v>
      </c>
      <c r="F107" s="218">
        <f>ROUND((IF(MinBase2Day&gt;ROUND(((1-(TwoDayDiscount_21_Up+FedExExrpessEarnedDiscount))*'2Day Base'!F104),2),ROUND(MinBase2Day*(1+ExpressFuelSurcharge),2),ROUND(((1-(TwoDayDiscount_21_Up+FedExExrpessEarnedDiscount))*'2Day Base'!F104)*(1+ExpressFuelSurcharge),2)))*(1+FedEx_Markup),2)</f>
        <v>416.01</v>
      </c>
      <c r="G107" s="218">
        <f>ROUND((IF(MinBase2Day&gt;ROUND(((1-(TwoDayDiscount_21_Up+FedExExrpessEarnedDiscount))*'2Day Base'!G104),2),ROUND(MinBase2Day*(1+ExpressFuelSurcharge),2),ROUND(((1-(TwoDayDiscount_21_Up+FedExExrpessEarnedDiscount))*'2Day Base'!G104)*(1+ExpressFuelSurcharge),2)))*(1+FedEx_Markup),2)</f>
        <v>474.52</v>
      </c>
      <c r="H107" s="218">
        <f>ROUND((IF(MinBase2Day&gt;ROUND(((1-(TwoDayDiscount_21_Up+FedExExrpessEarnedDiscount))*'2Day Base'!H104),2),ROUND(MinBase2Day*(1+ExpressFuelSurcharge),2),ROUND(((1-(TwoDayDiscount_21_Up+FedExExrpessEarnedDiscount))*'2Day Base'!H104)*(1+ExpressFuelSurcharge),2)))*(1+FedEx_Markup),2)</f>
        <v>489.01</v>
      </c>
      <c r="I107" s="218">
        <f>ROUND((IF(MinBase2Day&gt;ROUND(((1-(TwoDayDiscount_21_Up+FedExExrpessEarnedDiscount))*'2Day Base'!I104),2),ROUND(MinBase2Day*(1+ExpressFuelSurcharge),2),ROUND(((1-(TwoDayDiscount_21_Up+FedExExrpessEarnedDiscount))*'2Day Base'!I104)*(1+ExpressFuelSurcharge),2)))*(1+FedEx_Markup),2)</f>
        <v>499.22</v>
      </c>
      <c r="J107" s="218">
        <f>ROUND((IF(MinBase2Day&gt;ROUND(((1-(TwoDayDiscount_21_Up+FedExExrpessEarnedDiscount))*'2Day Base'!J104),2),ROUND(MinBase2Day*(1+ExpressFuelSurcharge),2),ROUND(((1-(TwoDayDiscount_21_Up+FedExExrpessEarnedDiscount))*'2Day Base'!J104)*(1+ExpressFuelSurcharge),2)))*(1+FedEx_Markup),2)</f>
        <v>499.22</v>
      </c>
      <c r="K107" s="218">
        <f>ROUND((IF(MinBase2Day&gt;ROUND(((1-(TwoDayDiscount_21_Up+FedExExrpessEarnedDiscount))*'2Day Base'!K104),2),ROUND(MinBase2Day*(1+ExpressFuelSurcharge),2),ROUND(((1-(TwoDayDiscount_21_Up+FedExExrpessEarnedDiscount))*'2Day Base'!K104)*(1+ExpressFuelSurcharge),2)))*(1+FedEx_Markup),2)</f>
        <v>509.96</v>
      </c>
      <c r="L107" s="218">
        <f>ROUND((IF(MinBase2Day&gt;ROUND(((1-(TwoDayDiscount_21_Up+FedExExrpessEarnedDiscount))*'2Day Base'!L104),2),ROUND(MinBase2Day*(1+ExpressFuelSurcharge),2),ROUND(((1-(TwoDayDiscount_21_Up+FedExExrpessEarnedDiscount))*'2Day Base'!L104)*(1+ExpressFuelSurcharge),2)))*(1+FedEx_Markup),2)</f>
        <v>509.96</v>
      </c>
    </row>
    <row r="108" spans="1:12" ht="12.75" customHeight="1">
      <c r="A108" s="217">
        <v>103</v>
      </c>
      <c r="B108" s="218">
        <f>ROUND((IF(MinBase2Day&gt;ROUND(((1-(TwoDayDiscount_21_Up+FedExExrpessEarnedDiscount))*'2Day Base'!B105),2),ROUND(MinBase2Day*(1+ExpressFuelSurcharge),2),ROUND(((1-(TwoDayDiscount_21_Up+FedExExrpessEarnedDiscount))*'2Day Base'!B105)*(1+ExpressFuelSurcharge),2)))*(1+FedEx_Markup),2)</f>
        <v>107.87</v>
      </c>
      <c r="C108" s="218">
        <f>ROUND((IF(MinBase2Day&gt;ROUND(((1-(TwoDayDiscount_21_Up+FedExExrpessEarnedDiscount))*'2Day Base'!C105),2),ROUND(MinBase2Day*(1+ExpressFuelSurcharge),2),ROUND(((1-(TwoDayDiscount_21_Up+FedExExrpessEarnedDiscount))*'2Day Base'!C105)*(1+ExpressFuelSurcharge),2)))*(1+FedEx_Markup),2)</f>
        <v>134.97999999999999</v>
      </c>
      <c r="D108" s="218">
        <f>ROUND((IF(MinBase2Day&gt;ROUND(((1-(TwoDayDiscount_21_Up+FedExExrpessEarnedDiscount))*'2Day Base'!D105),2),ROUND(MinBase2Day*(1+ExpressFuelSurcharge),2),ROUND(((1-(TwoDayDiscount_21_Up+FedExExrpessEarnedDiscount))*'2Day Base'!D105)*(1+ExpressFuelSurcharge),2)))*(1+FedEx_Markup),2)</f>
        <v>177.25</v>
      </c>
      <c r="E108" s="218">
        <f>ROUND((IF(MinBase2Day&gt;ROUND(((1-(TwoDayDiscount_21_Up+FedExExrpessEarnedDiscount))*'2Day Base'!E105),2),ROUND(MinBase2Day*(1+ExpressFuelSurcharge),2),ROUND(((1-(TwoDayDiscount_21_Up+FedExExrpessEarnedDiscount))*'2Day Base'!E105)*(1+ExpressFuelSurcharge),2)))*(1+FedEx_Markup),2)</f>
        <v>264.52</v>
      </c>
      <c r="F108" s="218">
        <f>ROUND((IF(MinBase2Day&gt;ROUND(((1-(TwoDayDiscount_21_Up+FedExExrpessEarnedDiscount))*'2Day Base'!F105),2),ROUND(MinBase2Day*(1+ExpressFuelSurcharge),2),ROUND(((1-(TwoDayDiscount_21_Up+FedExExrpessEarnedDiscount))*'2Day Base'!F105)*(1+ExpressFuelSurcharge),2)))*(1+FedEx_Markup),2)</f>
        <v>420.1</v>
      </c>
      <c r="G108" s="218">
        <f>ROUND((IF(MinBase2Day&gt;ROUND(((1-(TwoDayDiscount_21_Up+FedExExrpessEarnedDiscount))*'2Day Base'!G105),2),ROUND(MinBase2Day*(1+ExpressFuelSurcharge),2),ROUND(((1-(TwoDayDiscount_21_Up+FedExExrpessEarnedDiscount))*'2Day Base'!G105)*(1+ExpressFuelSurcharge),2)))*(1+FedEx_Markup),2)</f>
        <v>479.18</v>
      </c>
      <c r="H108" s="218">
        <f>ROUND((IF(MinBase2Day&gt;ROUND(((1-(TwoDayDiscount_21_Up+FedExExrpessEarnedDiscount))*'2Day Base'!H105),2),ROUND(MinBase2Day*(1+ExpressFuelSurcharge),2),ROUND(((1-(TwoDayDiscount_21_Up+FedExExrpessEarnedDiscount))*'2Day Base'!H105)*(1+ExpressFuelSurcharge),2)))*(1+FedEx_Markup),2)</f>
        <v>493.81</v>
      </c>
      <c r="I108" s="218">
        <f>ROUND((IF(MinBase2Day&gt;ROUND(((1-(TwoDayDiscount_21_Up+FedExExrpessEarnedDiscount))*'2Day Base'!I105),2),ROUND(MinBase2Day*(1+ExpressFuelSurcharge),2),ROUND(((1-(TwoDayDiscount_21_Up+FedExExrpessEarnedDiscount))*'2Day Base'!I105)*(1+ExpressFuelSurcharge),2)))*(1+FedEx_Markup),2)</f>
        <v>504.11</v>
      </c>
      <c r="J108" s="218">
        <f>ROUND((IF(MinBase2Day&gt;ROUND(((1-(TwoDayDiscount_21_Up+FedExExrpessEarnedDiscount))*'2Day Base'!J105),2),ROUND(MinBase2Day*(1+ExpressFuelSurcharge),2),ROUND(((1-(TwoDayDiscount_21_Up+FedExExrpessEarnedDiscount))*'2Day Base'!J105)*(1+ExpressFuelSurcharge),2)))*(1+FedEx_Markup),2)</f>
        <v>504.11</v>
      </c>
      <c r="K108" s="218">
        <f>ROUND((IF(MinBase2Day&gt;ROUND(((1-(TwoDayDiscount_21_Up+FedExExrpessEarnedDiscount))*'2Day Base'!K105),2),ROUND(MinBase2Day*(1+ExpressFuelSurcharge),2),ROUND(((1-(TwoDayDiscount_21_Up+FedExExrpessEarnedDiscount))*'2Day Base'!K105)*(1+ExpressFuelSurcharge),2)))*(1+FedEx_Markup),2)</f>
        <v>514.96</v>
      </c>
      <c r="L108" s="218">
        <f>ROUND((IF(MinBase2Day&gt;ROUND(((1-(TwoDayDiscount_21_Up+FedExExrpessEarnedDiscount))*'2Day Base'!L105),2),ROUND(MinBase2Day*(1+ExpressFuelSurcharge),2),ROUND(((1-(TwoDayDiscount_21_Up+FedExExrpessEarnedDiscount))*'2Day Base'!L105)*(1+ExpressFuelSurcharge),2)))*(1+FedEx_Markup),2)</f>
        <v>514.96</v>
      </c>
    </row>
    <row r="109" spans="1:12" ht="12.75" customHeight="1">
      <c r="A109" s="217">
        <v>104</v>
      </c>
      <c r="B109" s="218">
        <f>ROUND((IF(MinBase2Day&gt;ROUND(((1-(TwoDayDiscount_21_Up+FedExExrpessEarnedDiscount))*'2Day Base'!B106),2),ROUND(MinBase2Day*(1+ExpressFuelSurcharge),2),ROUND(((1-(TwoDayDiscount_21_Up+FedExExrpessEarnedDiscount))*'2Day Base'!B106)*(1+ExpressFuelSurcharge),2)))*(1+FedEx_Markup),2)</f>
        <v>108.92</v>
      </c>
      <c r="C109" s="218">
        <f>ROUND((IF(MinBase2Day&gt;ROUND(((1-(TwoDayDiscount_21_Up+FedExExrpessEarnedDiscount))*'2Day Base'!C106),2),ROUND(MinBase2Day*(1+ExpressFuelSurcharge),2),ROUND(((1-(TwoDayDiscount_21_Up+FedExExrpessEarnedDiscount))*'2Day Base'!C106)*(1+ExpressFuelSurcharge),2)))*(1+FedEx_Markup),2)</f>
        <v>136.29</v>
      </c>
      <c r="D109" s="218">
        <f>ROUND((IF(MinBase2Day&gt;ROUND(((1-(TwoDayDiscount_21_Up+FedExExrpessEarnedDiscount))*'2Day Base'!D106),2),ROUND(MinBase2Day*(1+ExpressFuelSurcharge),2),ROUND(((1-(TwoDayDiscount_21_Up+FedExExrpessEarnedDiscount))*'2Day Base'!D106)*(1+ExpressFuelSurcharge),2)))*(1+FedEx_Markup),2)</f>
        <v>178.97</v>
      </c>
      <c r="E109" s="218">
        <f>ROUND((IF(MinBase2Day&gt;ROUND(((1-(TwoDayDiscount_21_Up+FedExExrpessEarnedDiscount))*'2Day Base'!E106),2),ROUND(MinBase2Day*(1+ExpressFuelSurcharge),2),ROUND(((1-(TwoDayDiscount_21_Up+FedExExrpessEarnedDiscount))*'2Day Base'!E106)*(1+ExpressFuelSurcharge),2)))*(1+FedEx_Markup),2)</f>
        <v>267.08999999999997</v>
      </c>
      <c r="F109" s="218">
        <f>ROUND((IF(MinBase2Day&gt;ROUND(((1-(TwoDayDiscount_21_Up+FedExExrpessEarnedDiscount))*'2Day Base'!F106),2),ROUND(MinBase2Day*(1+ExpressFuelSurcharge),2),ROUND(((1-(TwoDayDiscount_21_Up+FedExExrpessEarnedDiscount))*'2Day Base'!F106)*(1+ExpressFuelSurcharge),2)))*(1+FedEx_Markup),2)</f>
        <v>424.18</v>
      </c>
      <c r="G109" s="218">
        <f>ROUND((IF(MinBase2Day&gt;ROUND(((1-(TwoDayDiscount_21_Up+FedExExrpessEarnedDiscount))*'2Day Base'!G106),2),ROUND(MinBase2Day*(1+ExpressFuelSurcharge),2),ROUND(((1-(TwoDayDiscount_21_Up+FedExExrpessEarnedDiscount))*'2Day Base'!G106)*(1+ExpressFuelSurcharge),2)))*(1+FedEx_Markup),2)</f>
        <v>483.83</v>
      </c>
      <c r="H109" s="218">
        <f>ROUND((IF(MinBase2Day&gt;ROUND(((1-(TwoDayDiscount_21_Up+FedExExrpessEarnedDiscount))*'2Day Base'!H106),2),ROUND(MinBase2Day*(1+ExpressFuelSurcharge),2),ROUND(((1-(TwoDayDiscount_21_Up+FedExExrpessEarnedDiscount))*'2Day Base'!H106)*(1+ExpressFuelSurcharge),2)))*(1+FedEx_Markup),2)</f>
        <v>498.61</v>
      </c>
      <c r="I109" s="218">
        <f>ROUND((IF(MinBase2Day&gt;ROUND(((1-(TwoDayDiscount_21_Up+FedExExrpessEarnedDiscount))*'2Day Base'!I106),2),ROUND(MinBase2Day*(1+ExpressFuelSurcharge),2),ROUND(((1-(TwoDayDiscount_21_Up+FedExExrpessEarnedDiscount))*'2Day Base'!I106)*(1+ExpressFuelSurcharge),2)))*(1+FedEx_Markup),2)</f>
        <v>509</v>
      </c>
      <c r="J109" s="218">
        <f>ROUND((IF(MinBase2Day&gt;ROUND(((1-(TwoDayDiscount_21_Up+FedExExrpessEarnedDiscount))*'2Day Base'!J106),2),ROUND(MinBase2Day*(1+ExpressFuelSurcharge),2),ROUND(((1-(TwoDayDiscount_21_Up+FedExExrpessEarnedDiscount))*'2Day Base'!J106)*(1+ExpressFuelSurcharge),2)))*(1+FedEx_Markup),2)</f>
        <v>509</v>
      </c>
      <c r="K109" s="218">
        <f>ROUND((IF(MinBase2Day&gt;ROUND(((1-(TwoDayDiscount_21_Up+FedExExrpessEarnedDiscount))*'2Day Base'!K106),2),ROUND(MinBase2Day*(1+ExpressFuelSurcharge),2),ROUND(((1-(TwoDayDiscount_21_Up+FedExExrpessEarnedDiscount))*'2Day Base'!K106)*(1+ExpressFuelSurcharge),2)))*(1+FedEx_Markup),2)</f>
        <v>519.95000000000005</v>
      </c>
      <c r="L109" s="218">
        <f>ROUND((IF(MinBase2Day&gt;ROUND(((1-(TwoDayDiscount_21_Up+FedExExrpessEarnedDiscount))*'2Day Base'!L106),2),ROUND(MinBase2Day*(1+ExpressFuelSurcharge),2),ROUND(((1-(TwoDayDiscount_21_Up+FedExExrpessEarnedDiscount))*'2Day Base'!L106)*(1+ExpressFuelSurcharge),2)))*(1+FedEx_Markup),2)</f>
        <v>519.95000000000005</v>
      </c>
    </row>
    <row r="110" spans="1:12" ht="12.75" customHeight="1">
      <c r="A110" s="217">
        <v>105</v>
      </c>
      <c r="B110" s="218">
        <f>ROUND((IF(MinBase2Day&gt;ROUND(((1-(TwoDayDiscount_21_Up+FedExExrpessEarnedDiscount))*'2Day Base'!B107),2),ROUND(MinBase2Day*(1+ExpressFuelSurcharge),2),ROUND(((1-(TwoDayDiscount_21_Up+FedExExrpessEarnedDiscount))*'2Day Base'!B107)*(1+ExpressFuelSurcharge),2)))*(1+FedEx_Markup),2)</f>
        <v>109.96</v>
      </c>
      <c r="C110" s="218">
        <f>ROUND((IF(MinBase2Day&gt;ROUND(((1-(TwoDayDiscount_21_Up+FedExExrpessEarnedDiscount))*'2Day Base'!C107),2),ROUND(MinBase2Day*(1+ExpressFuelSurcharge),2),ROUND(((1-(TwoDayDiscount_21_Up+FedExExrpessEarnedDiscount))*'2Day Base'!C107)*(1+ExpressFuelSurcharge),2)))*(1+FedEx_Markup),2)</f>
        <v>137.6</v>
      </c>
      <c r="D110" s="218">
        <f>ROUND((IF(MinBase2Day&gt;ROUND(((1-(TwoDayDiscount_21_Up+FedExExrpessEarnedDiscount))*'2Day Base'!D107),2),ROUND(MinBase2Day*(1+ExpressFuelSurcharge),2),ROUND(((1-(TwoDayDiscount_21_Up+FedExExrpessEarnedDiscount))*'2Day Base'!D107)*(1+ExpressFuelSurcharge),2)))*(1+FedEx_Markup),2)</f>
        <v>180.7</v>
      </c>
      <c r="E110" s="218">
        <f>ROUND((IF(MinBase2Day&gt;ROUND(((1-(TwoDayDiscount_21_Up+FedExExrpessEarnedDiscount))*'2Day Base'!E107),2),ROUND(MinBase2Day*(1+ExpressFuelSurcharge),2),ROUND(((1-(TwoDayDiscount_21_Up+FedExExrpessEarnedDiscount))*'2Day Base'!E107)*(1+ExpressFuelSurcharge),2)))*(1+FedEx_Markup),2)</f>
        <v>269.66000000000003</v>
      </c>
      <c r="F110" s="218">
        <f>ROUND((IF(MinBase2Day&gt;ROUND(((1-(TwoDayDiscount_21_Up+FedExExrpessEarnedDiscount))*'2Day Base'!F107),2),ROUND(MinBase2Day*(1+ExpressFuelSurcharge),2),ROUND(((1-(TwoDayDiscount_21_Up+FedExExrpessEarnedDiscount))*'2Day Base'!F107)*(1+ExpressFuelSurcharge),2)))*(1+FedEx_Markup),2)</f>
        <v>428.25</v>
      </c>
      <c r="G110" s="218">
        <f>ROUND((IF(MinBase2Day&gt;ROUND(((1-(TwoDayDiscount_21_Up+FedExExrpessEarnedDiscount))*'2Day Base'!G107),2),ROUND(MinBase2Day*(1+ExpressFuelSurcharge),2),ROUND(((1-(TwoDayDiscount_21_Up+FedExExrpessEarnedDiscount))*'2Day Base'!G107)*(1+ExpressFuelSurcharge),2)))*(1+FedEx_Markup),2)</f>
        <v>488.49</v>
      </c>
      <c r="H110" s="218">
        <f>ROUND((IF(MinBase2Day&gt;ROUND(((1-(TwoDayDiscount_21_Up+FedExExrpessEarnedDiscount))*'2Day Base'!H107),2),ROUND(MinBase2Day*(1+ExpressFuelSurcharge),2),ROUND(((1-(TwoDayDiscount_21_Up+FedExExrpessEarnedDiscount))*'2Day Base'!H107)*(1+ExpressFuelSurcharge),2)))*(1+FedEx_Markup),2)</f>
        <v>503.4</v>
      </c>
      <c r="I110" s="218">
        <f>ROUND((IF(MinBase2Day&gt;ROUND(((1-(TwoDayDiscount_21_Up+FedExExrpessEarnedDiscount))*'2Day Base'!I107),2),ROUND(MinBase2Day*(1+ExpressFuelSurcharge),2),ROUND(((1-(TwoDayDiscount_21_Up+FedExExrpessEarnedDiscount))*'2Day Base'!I107)*(1+ExpressFuelSurcharge),2)))*(1+FedEx_Markup),2)</f>
        <v>513.9</v>
      </c>
      <c r="J110" s="218">
        <f>ROUND((IF(MinBase2Day&gt;ROUND(((1-(TwoDayDiscount_21_Up+FedExExrpessEarnedDiscount))*'2Day Base'!J107),2),ROUND(MinBase2Day*(1+ExpressFuelSurcharge),2),ROUND(((1-(TwoDayDiscount_21_Up+FedExExrpessEarnedDiscount))*'2Day Base'!J107)*(1+ExpressFuelSurcharge),2)))*(1+FedEx_Markup),2)</f>
        <v>513.9</v>
      </c>
      <c r="K110" s="218">
        <f>ROUND((IF(MinBase2Day&gt;ROUND(((1-(TwoDayDiscount_21_Up+FedExExrpessEarnedDiscount))*'2Day Base'!K107),2),ROUND(MinBase2Day*(1+ExpressFuelSurcharge),2),ROUND(((1-(TwoDayDiscount_21_Up+FedExExrpessEarnedDiscount))*'2Day Base'!K107)*(1+ExpressFuelSurcharge),2)))*(1+FedEx_Markup),2)</f>
        <v>524.95000000000005</v>
      </c>
      <c r="L110" s="218">
        <f>ROUND((IF(MinBase2Day&gt;ROUND(((1-(TwoDayDiscount_21_Up+FedExExrpessEarnedDiscount))*'2Day Base'!L107),2),ROUND(MinBase2Day*(1+ExpressFuelSurcharge),2),ROUND(((1-(TwoDayDiscount_21_Up+FedExExrpessEarnedDiscount))*'2Day Base'!L107)*(1+ExpressFuelSurcharge),2)))*(1+FedEx_Markup),2)</f>
        <v>524.95000000000005</v>
      </c>
    </row>
    <row r="111" spans="1:12" ht="12.75" customHeight="1">
      <c r="A111" s="217">
        <v>106</v>
      </c>
      <c r="B111" s="218">
        <f>ROUND((IF(MinBase2Day&gt;ROUND(((1-(TwoDayDiscount_21_Up+FedExExrpessEarnedDiscount))*'2Day Base'!B108),2),ROUND(MinBase2Day*(1+ExpressFuelSurcharge),2),ROUND(((1-(TwoDayDiscount_21_Up+FedExExrpessEarnedDiscount))*'2Day Base'!B108)*(1+ExpressFuelSurcharge),2)))*(1+FedEx_Markup),2)</f>
        <v>111.01</v>
      </c>
      <c r="C111" s="218">
        <f>ROUND((IF(MinBase2Day&gt;ROUND(((1-(TwoDayDiscount_21_Up+FedExExrpessEarnedDiscount))*'2Day Base'!C108),2),ROUND(MinBase2Day*(1+ExpressFuelSurcharge),2),ROUND(((1-(TwoDayDiscount_21_Up+FedExExrpessEarnedDiscount))*'2Day Base'!C108)*(1+ExpressFuelSurcharge),2)))*(1+FedEx_Markup),2)</f>
        <v>138.91</v>
      </c>
      <c r="D111" s="218">
        <f>ROUND((IF(MinBase2Day&gt;ROUND(((1-(TwoDayDiscount_21_Up+FedExExrpessEarnedDiscount))*'2Day Base'!D108),2),ROUND(MinBase2Day*(1+ExpressFuelSurcharge),2),ROUND(((1-(TwoDayDiscount_21_Up+FedExExrpessEarnedDiscount))*'2Day Base'!D108)*(1+ExpressFuelSurcharge),2)))*(1+FedEx_Markup),2)</f>
        <v>182.41</v>
      </c>
      <c r="E111" s="218">
        <f>ROUND((IF(MinBase2Day&gt;ROUND(((1-(TwoDayDiscount_21_Up+FedExExrpessEarnedDiscount))*'2Day Base'!E108),2),ROUND(MinBase2Day*(1+ExpressFuelSurcharge),2),ROUND(((1-(TwoDayDiscount_21_Up+FedExExrpessEarnedDiscount))*'2Day Base'!E108)*(1+ExpressFuelSurcharge),2)))*(1+FedEx_Markup),2)</f>
        <v>272.23</v>
      </c>
      <c r="F111" s="218">
        <f>ROUND((IF(MinBase2Day&gt;ROUND(((1-(TwoDayDiscount_21_Up+FedExExrpessEarnedDiscount))*'2Day Base'!F108),2),ROUND(MinBase2Day*(1+ExpressFuelSurcharge),2),ROUND(((1-(TwoDayDiscount_21_Up+FedExExrpessEarnedDiscount))*'2Day Base'!F108)*(1+ExpressFuelSurcharge),2)))*(1+FedEx_Markup),2)</f>
        <v>432.33</v>
      </c>
      <c r="G111" s="218">
        <f>ROUND((IF(MinBase2Day&gt;ROUND(((1-(TwoDayDiscount_21_Up+FedExExrpessEarnedDiscount))*'2Day Base'!G108),2),ROUND(MinBase2Day*(1+ExpressFuelSurcharge),2),ROUND(((1-(TwoDayDiscount_21_Up+FedExExrpessEarnedDiscount))*'2Day Base'!G108)*(1+ExpressFuelSurcharge),2)))*(1+FedEx_Markup),2)</f>
        <v>493.13</v>
      </c>
      <c r="H111" s="218">
        <f>ROUND((IF(MinBase2Day&gt;ROUND(((1-(TwoDayDiscount_21_Up+FedExExrpessEarnedDiscount))*'2Day Base'!H108),2),ROUND(MinBase2Day*(1+ExpressFuelSurcharge),2),ROUND(((1-(TwoDayDiscount_21_Up+FedExExrpessEarnedDiscount))*'2Day Base'!H108)*(1+ExpressFuelSurcharge),2)))*(1+FedEx_Markup),2)</f>
        <v>508.2</v>
      </c>
      <c r="I111" s="218">
        <f>ROUND((IF(MinBase2Day&gt;ROUND(((1-(TwoDayDiscount_21_Up+FedExExrpessEarnedDiscount))*'2Day Base'!I108),2),ROUND(MinBase2Day*(1+ExpressFuelSurcharge),2),ROUND(((1-(TwoDayDiscount_21_Up+FedExExrpessEarnedDiscount))*'2Day Base'!I108)*(1+ExpressFuelSurcharge),2)))*(1+FedEx_Markup),2)</f>
        <v>518.79999999999995</v>
      </c>
      <c r="J111" s="218">
        <f>ROUND((IF(MinBase2Day&gt;ROUND(((1-(TwoDayDiscount_21_Up+FedExExrpessEarnedDiscount))*'2Day Base'!J108),2),ROUND(MinBase2Day*(1+ExpressFuelSurcharge),2),ROUND(((1-(TwoDayDiscount_21_Up+FedExExrpessEarnedDiscount))*'2Day Base'!J108)*(1+ExpressFuelSurcharge),2)))*(1+FedEx_Markup),2)</f>
        <v>518.79999999999995</v>
      </c>
      <c r="K111" s="218">
        <f>ROUND((IF(MinBase2Day&gt;ROUND(((1-(TwoDayDiscount_21_Up+FedExExrpessEarnedDiscount))*'2Day Base'!K108),2),ROUND(MinBase2Day*(1+ExpressFuelSurcharge),2),ROUND(((1-(TwoDayDiscount_21_Up+FedExExrpessEarnedDiscount))*'2Day Base'!K108)*(1+ExpressFuelSurcharge),2)))*(1+FedEx_Markup),2)</f>
        <v>529.95000000000005</v>
      </c>
      <c r="L111" s="218">
        <f>ROUND((IF(MinBase2Day&gt;ROUND(((1-(TwoDayDiscount_21_Up+FedExExrpessEarnedDiscount))*'2Day Base'!L108),2),ROUND(MinBase2Day*(1+ExpressFuelSurcharge),2),ROUND(((1-(TwoDayDiscount_21_Up+FedExExrpessEarnedDiscount))*'2Day Base'!L108)*(1+ExpressFuelSurcharge),2)))*(1+FedEx_Markup),2)</f>
        <v>529.95000000000005</v>
      </c>
    </row>
    <row r="112" spans="1:12" ht="12.75" customHeight="1">
      <c r="A112" s="217">
        <v>107</v>
      </c>
      <c r="B112" s="218">
        <f>ROUND((IF(MinBase2Day&gt;ROUND(((1-(TwoDayDiscount_21_Up+FedExExrpessEarnedDiscount))*'2Day Base'!B109),2),ROUND(MinBase2Day*(1+ExpressFuelSurcharge),2),ROUND(((1-(TwoDayDiscount_21_Up+FedExExrpessEarnedDiscount))*'2Day Base'!B109)*(1+ExpressFuelSurcharge),2)))*(1+FedEx_Markup),2)</f>
        <v>112.06</v>
      </c>
      <c r="C112" s="218">
        <f>ROUND((IF(MinBase2Day&gt;ROUND(((1-(TwoDayDiscount_21_Up+FedExExrpessEarnedDiscount))*'2Day Base'!C109),2),ROUND(MinBase2Day*(1+ExpressFuelSurcharge),2),ROUND(((1-(TwoDayDiscount_21_Up+FedExExrpessEarnedDiscount))*'2Day Base'!C109)*(1+ExpressFuelSurcharge),2)))*(1+FedEx_Markup),2)</f>
        <v>140.22</v>
      </c>
      <c r="D112" s="218">
        <f>ROUND((IF(MinBase2Day&gt;ROUND(((1-(TwoDayDiscount_21_Up+FedExExrpessEarnedDiscount))*'2Day Base'!D109),2),ROUND(MinBase2Day*(1+ExpressFuelSurcharge),2),ROUND(((1-(TwoDayDiscount_21_Up+FedExExrpessEarnedDiscount))*'2Day Base'!D109)*(1+ExpressFuelSurcharge),2)))*(1+FedEx_Markup),2)</f>
        <v>184.14</v>
      </c>
      <c r="E112" s="218">
        <f>ROUND((IF(MinBase2Day&gt;ROUND(((1-(TwoDayDiscount_21_Up+FedExExrpessEarnedDiscount))*'2Day Base'!E109),2),ROUND(MinBase2Day*(1+ExpressFuelSurcharge),2),ROUND(((1-(TwoDayDiscount_21_Up+FedExExrpessEarnedDiscount))*'2Day Base'!E109)*(1+ExpressFuelSurcharge),2)))*(1+FedEx_Markup),2)</f>
        <v>274.79000000000002</v>
      </c>
      <c r="F112" s="218">
        <f>ROUND((IF(MinBase2Day&gt;ROUND(((1-(TwoDayDiscount_21_Up+FedExExrpessEarnedDiscount))*'2Day Base'!F109),2),ROUND(MinBase2Day*(1+ExpressFuelSurcharge),2),ROUND(((1-(TwoDayDiscount_21_Up+FedExExrpessEarnedDiscount))*'2Day Base'!F109)*(1+ExpressFuelSurcharge),2)))*(1+FedEx_Markup),2)</f>
        <v>436.41</v>
      </c>
      <c r="G112" s="218">
        <f>ROUND((IF(MinBase2Day&gt;ROUND(((1-(TwoDayDiscount_21_Up+FedExExrpessEarnedDiscount))*'2Day Base'!G109),2),ROUND(MinBase2Day*(1+ExpressFuelSurcharge),2),ROUND(((1-(TwoDayDiscount_21_Up+FedExExrpessEarnedDiscount))*'2Day Base'!G109)*(1+ExpressFuelSurcharge),2)))*(1+FedEx_Markup),2)</f>
        <v>497.79</v>
      </c>
      <c r="H112" s="218">
        <f>ROUND((IF(MinBase2Day&gt;ROUND(((1-(TwoDayDiscount_21_Up+FedExExrpessEarnedDiscount))*'2Day Base'!H109),2),ROUND(MinBase2Day*(1+ExpressFuelSurcharge),2),ROUND(((1-(TwoDayDiscount_21_Up+FedExExrpessEarnedDiscount))*'2Day Base'!H109)*(1+ExpressFuelSurcharge),2)))*(1+FedEx_Markup),2)</f>
        <v>512.99</v>
      </c>
      <c r="I112" s="218">
        <f>ROUND((IF(MinBase2Day&gt;ROUND(((1-(TwoDayDiscount_21_Up+FedExExrpessEarnedDiscount))*'2Day Base'!I109),2),ROUND(MinBase2Day*(1+ExpressFuelSurcharge),2),ROUND(((1-(TwoDayDiscount_21_Up+FedExExrpessEarnedDiscount))*'2Day Base'!I109)*(1+ExpressFuelSurcharge),2)))*(1+FedEx_Markup),2)</f>
        <v>523.69000000000005</v>
      </c>
      <c r="J112" s="218">
        <f>ROUND((IF(MinBase2Day&gt;ROUND(((1-(TwoDayDiscount_21_Up+FedExExrpessEarnedDiscount))*'2Day Base'!J109),2),ROUND(MinBase2Day*(1+ExpressFuelSurcharge),2),ROUND(((1-(TwoDayDiscount_21_Up+FedExExrpessEarnedDiscount))*'2Day Base'!J109)*(1+ExpressFuelSurcharge),2)))*(1+FedEx_Markup),2)</f>
        <v>523.69000000000005</v>
      </c>
      <c r="K112" s="218">
        <f>ROUND((IF(MinBase2Day&gt;ROUND(((1-(TwoDayDiscount_21_Up+FedExExrpessEarnedDiscount))*'2Day Base'!K109),2),ROUND(MinBase2Day*(1+ExpressFuelSurcharge),2),ROUND(((1-(TwoDayDiscount_21_Up+FedExExrpessEarnedDiscount))*'2Day Base'!K109)*(1+ExpressFuelSurcharge),2)))*(1+FedEx_Markup),2)</f>
        <v>534.96</v>
      </c>
      <c r="L112" s="218">
        <f>ROUND((IF(MinBase2Day&gt;ROUND(((1-(TwoDayDiscount_21_Up+FedExExrpessEarnedDiscount))*'2Day Base'!L109),2),ROUND(MinBase2Day*(1+ExpressFuelSurcharge),2),ROUND(((1-(TwoDayDiscount_21_Up+FedExExrpessEarnedDiscount))*'2Day Base'!L109)*(1+ExpressFuelSurcharge),2)))*(1+FedEx_Markup),2)</f>
        <v>534.96</v>
      </c>
    </row>
    <row r="113" spans="1:26" ht="12.75" customHeight="1">
      <c r="A113" s="217">
        <v>108</v>
      </c>
      <c r="B113" s="218">
        <f>ROUND((IF(MinBase2Day&gt;ROUND(((1-(TwoDayDiscount_21_Up+FedExExrpessEarnedDiscount))*'2Day Base'!B110),2),ROUND(MinBase2Day*(1+ExpressFuelSurcharge),2),ROUND(((1-(TwoDayDiscount_21_Up+FedExExrpessEarnedDiscount))*'2Day Base'!B110)*(1+ExpressFuelSurcharge),2)))*(1+FedEx_Markup),2)</f>
        <v>113.1</v>
      </c>
      <c r="C113" s="218">
        <f>ROUND((IF(MinBase2Day&gt;ROUND(((1-(TwoDayDiscount_21_Up+FedExExrpessEarnedDiscount))*'2Day Base'!C110),2),ROUND(MinBase2Day*(1+ExpressFuelSurcharge),2),ROUND(((1-(TwoDayDiscount_21_Up+FedExExrpessEarnedDiscount))*'2Day Base'!C110)*(1+ExpressFuelSurcharge),2)))*(1+FedEx_Markup),2)</f>
        <v>141.52000000000001</v>
      </c>
      <c r="D113" s="218">
        <f>ROUND((IF(MinBase2Day&gt;ROUND(((1-(TwoDayDiscount_21_Up+FedExExrpessEarnedDiscount))*'2Day Base'!D110),2),ROUND(MinBase2Day*(1+ExpressFuelSurcharge),2),ROUND(((1-(TwoDayDiscount_21_Up+FedExExrpessEarnedDiscount))*'2Day Base'!D110)*(1+ExpressFuelSurcharge),2)))*(1+FedEx_Markup),2)</f>
        <v>185.85</v>
      </c>
      <c r="E113" s="218">
        <f>ROUND((IF(MinBase2Day&gt;ROUND(((1-(TwoDayDiscount_21_Up+FedExExrpessEarnedDiscount))*'2Day Base'!E110),2),ROUND(MinBase2Day*(1+ExpressFuelSurcharge),2),ROUND(((1-(TwoDayDiscount_21_Up+FedExExrpessEarnedDiscount))*'2Day Base'!E110)*(1+ExpressFuelSurcharge),2)))*(1+FedEx_Markup),2)</f>
        <v>277.37</v>
      </c>
      <c r="F113" s="218">
        <f>ROUND((IF(MinBase2Day&gt;ROUND(((1-(TwoDayDiscount_21_Up+FedExExrpessEarnedDiscount))*'2Day Base'!F110),2),ROUND(MinBase2Day*(1+ExpressFuelSurcharge),2),ROUND(((1-(TwoDayDiscount_21_Up+FedExExrpessEarnedDiscount))*'2Day Base'!F110)*(1+ExpressFuelSurcharge),2)))*(1+FedEx_Markup),2)</f>
        <v>440.48</v>
      </c>
      <c r="G113" s="218">
        <f>ROUND((IF(MinBase2Day&gt;ROUND(((1-(TwoDayDiscount_21_Up+FedExExrpessEarnedDiscount))*'2Day Base'!G110),2),ROUND(MinBase2Day*(1+ExpressFuelSurcharge),2),ROUND(((1-(TwoDayDiscount_21_Up+FedExExrpessEarnedDiscount))*'2Day Base'!G110)*(1+ExpressFuelSurcharge),2)))*(1+FedEx_Markup),2)</f>
        <v>502.44</v>
      </c>
      <c r="H113" s="218">
        <f>ROUND((IF(MinBase2Day&gt;ROUND(((1-(TwoDayDiscount_21_Up+FedExExrpessEarnedDiscount))*'2Day Base'!H110),2),ROUND(MinBase2Day*(1+ExpressFuelSurcharge),2),ROUND(((1-(TwoDayDiscount_21_Up+FedExExrpessEarnedDiscount))*'2Day Base'!H110)*(1+ExpressFuelSurcharge),2)))*(1+FedEx_Markup),2)</f>
        <v>517.79</v>
      </c>
      <c r="I113" s="218">
        <f>ROUND((IF(MinBase2Day&gt;ROUND(((1-(TwoDayDiscount_21_Up+FedExExrpessEarnedDiscount))*'2Day Base'!I110),2),ROUND(MinBase2Day*(1+ExpressFuelSurcharge),2),ROUND(((1-(TwoDayDiscount_21_Up+FedExExrpessEarnedDiscount))*'2Day Base'!I110)*(1+ExpressFuelSurcharge),2)))*(1+FedEx_Markup),2)</f>
        <v>528.59</v>
      </c>
      <c r="J113" s="218">
        <f>ROUND((IF(MinBase2Day&gt;ROUND(((1-(TwoDayDiscount_21_Up+FedExExrpessEarnedDiscount))*'2Day Base'!J110),2),ROUND(MinBase2Day*(1+ExpressFuelSurcharge),2),ROUND(((1-(TwoDayDiscount_21_Up+FedExExrpessEarnedDiscount))*'2Day Base'!J110)*(1+ExpressFuelSurcharge),2)))*(1+FedEx_Markup),2)</f>
        <v>528.59</v>
      </c>
      <c r="K113" s="218">
        <f>ROUND((IF(MinBase2Day&gt;ROUND(((1-(TwoDayDiscount_21_Up+FedExExrpessEarnedDiscount))*'2Day Base'!K110),2),ROUND(MinBase2Day*(1+ExpressFuelSurcharge),2),ROUND(((1-(TwoDayDiscount_21_Up+FedExExrpessEarnedDiscount))*'2Day Base'!K110)*(1+ExpressFuelSurcharge),2)))*(1+FedEx_Markup),2)</f>
        <v>539.95000000000005</v>
      </c>
      <c r="L113" s="218">
        <f>ROUND((IF(MinBase2Day&gt;ROUND(((1-(TwoDayDiscount_21_Up+FedExExrpessEarnedDiscount))*'2Day Base'!L110),2),ROUND(MinBase2Day*(1+ExpressFuelSurcharge),2),ROUND(((1-(TwoDayDiscount_21_Up+FedExExrpessEarnedDiscount))*'2Day Base'!L110)*(1+ExpressFuelSurcharge),2)))*(1+FedEx_Markup),2)</f>
        <v>539.95000000000005</v>
      </c>
    </row>
    <row r="114" spans="1:26" ht="12.75" customHeight="1">
      <c r="A114" s="217">
        <v>109</v>
      </c>
      <c r="B114" s="218">
        <f>ROUND((IF(MinBase2Day&gt;ROUND(((1-(TwoDayDiscount_21_Up+FedExExrpessEarnedDiscount))*'2Day Base'!B111),2),ROUND(MinBase2Day*(1+ExpressFuelSurcharge),2),ROUND(((1-(TwoDayDiscount_21_Up+FedExExrpessEarnedDiscount))*'2Day Base'!B111)*(1+ExpressFuelSurcharge),2)))*(1+FedEx_Markup),2)</f>
        <v>114.15</v>
      </c>
      <c r="C114" s="218">
        <f>ROUND((IF(MinBase2Day&gt;ROUND(((1-(TwoDayDiscount_21_Up+FedExExrpessEarnedDiscount))*'2Day Base'!C111),2),ROUND(MinBase2Day*(1+ExpressFuelSurcharge),2),ROUND(((1-(TwoDayDiscount_21_Up+FedExExrpessEarnedDiscount))*'2Day Base'!C111)*(1+ExpressFuelSurcharge),2)))*(1+FedEx_Markup),2)</f>
        <v>142.83000000000001</v>
      </c>
      <c r="D114" s="218">
        <f>ROUND((IF(MinBase2Day&gt;ROUND(((1-(TwoDayDiscount_21_Up+FedExExrpessEarnedDiscount))*'2Day Base'!D111),2),ROUND(MinBase2Day*(1+ExpressFuelSurcharge),2),ROUND(((1-(TwoDayDiscount_21_Up+FedExExrpessEarnedDiscount))*'2Day Base'!D111)*(1+ExpressFuelSurcharge),2)))*(1+FedEx_Markup),2)</f>
        <v>187.58</v>
      </c>
      <c r="E114" s="218">
        <f>ROUND((IF(MinBase2Day&gt;ROUND(((1-(TwoDayDiscount_21_Up+FedExExrpessEarnedDiscount))*'2Day Base'!E111),2),ROUND(MinBase2Day*(1+ExpressFuelSurcharge),2),ROUND(((1-(TwoDayDiscount_21_Up+FedExExrpessEarnedDiscount))*'2Day Base'!E111)*(1+ExpressFuelSurcharge),2)))*(1+FedEx_Markup),2)</f>
        <v>279.93</v>
      </c>
      <c r="F114" s="218">
        <f>ROUND((IF(MinBase2Day&gt;ROUND(((1-(TwoDayDiscount_21_Up+FedExExrpessEarnedDiscount))*'2Day Base'!F111),2),ROUND(MinBase2Day*(1+ExpressFuelSurcharge),2),ROUND(((1-(TwoDayDiscount_21_Up+FedExExrpessEarnedDiscount))*'2Day Base'!F111)*(1+ExpressFuelSurcharge),2)))*(1+FedEx_Markup),2)</f>
        <v>444.57</v>
      </c>
      <c r="G114" s="218">
        <f>ROUND((IF(MinBase2Day&gt;ROUND(((1-(TwoDayDiscount_21_Up+FedExExrpessEarnedDiscount))*'2Day Base'!G111),2),ROUND(MinBase2Day*(1+ExpressFuelSurcharge),2),ROUND(((1-(TwoDayDiscount_21_Up+FedExExrpessEarnedDiscount))*'2Day Base'!G111)*(1+ExpressFuelSurcharge),2)))*(1+FedEx_Markup),2)</f>
        <v>507.09</v>
      </c>
      <c r="H114" s="218">
        <f>ROUND((IF(MinBase2Day&gt;ROUND(((1-(TwoDayDiscount_21_Up+FedExExrpessEarnedDiscount))*'2Day Base'!H111),2),ROUND(MinBase2Day*(1+ExpressFuelSurcharge),2),ROUND(((1-(TwoDayDiscount_21_Up+FedExExrpessEarnedDiscount))*'2Day Base'!H111)*(1+ExpressFuelSurcharge),2)))*(1+FedEx_Markup),2)</f>
        <v>522.58000000000004</v>
      </c>
      <c r="I114" s="218">
        <f>ROUND((IF(MinBase2Day&gt;ROUND(((1-(TwoDayDiscount_21_Up+FedExExrpessEarnedDiscount))*'2Day Base'!I111),2),ROUND(MinBase2Day*(1+ExpressFuelSurcharge),2),ROUND(((1-(TwoDayDiscount_21_Up+FedExExrpessEarnedDiscount))*'2Day Base'!I111)*(1+ExpressFuelSurcharge),2)))*(1+FedEx_Markup),2)</f>
        <v>533.47</v>
      </c>
      <c r="J114" s="218">
        <f>ROUND((IF(MinBase2Day&gt;ROUND(((1-(TwoDayDiscount_21_Up+FedExExrpessEarnedDiscount))*'2Day Base'!J111),2),ROUND(MinBase2Day*(1+ExpressFuelSurcharge),2),ROUND(((1-(TwoDayDiscount_21_Up+FedExExrpessEarnedDiscount))*'2Day Base'!J111)*(1+ExpressFuelSurcharge),2)))*(1+FedEx_Markup),2)</f>
        <v>533.47</v>
      </c>
      <c r="K114" s="218">
        <f>ROUND((IF(MinBase2Day&gt;ROUND(((1-(TwoDayDiscount_21_Up+FedExExrpessEarnedDiscount))*'2Day Base'!K111),2),ROUND(MinBase2Day*(1+ExpressFuelSurcharge),2),ROUND(((1-(TwoDayDiscount_21_Up+FedExExrpessEarnedDiscount))*'2Day Base'!K111)*(1+ExpressFuelSurcharge),2)))*(1+FedEx_Markup),2)</f>
        <v>544.95000000000005</v>
      </c>
      <c r="L114" s="218">
        <f>ROUND((IF(MinBase2Day&gt;ROUND(((1-(TwoDayDiscount_21_Up+FedExExrpessEarnedDiscount))*'2Day Base'!L111),2),ROUND(MinBase2Day*(1+ExpressFuelSurcharge),2),ROUND(((1-(TwoDayDiscount_21_Up+FedExExrpessEarnedDiscount))*'2Day Base'!L111)*(1+ExpressFuelSurcharge),2)))*(1+FedEx_Markup),2)</f>
        <v>544.95000000000005</v>
      </c>
    </row>
    <row r="115" spans="1:26" ht="12.75" customHeight="1">
      <c r="A115" s="217">
        <v>110</v>
      </c>
      <c r="B115" s="218">
        <f>ROUND((IF(MinBase2Day&gt;ROUND(((1-(TwoDayDiscount_21_Up+FedExExrpessEarnedDiscount))*'2Day Base'!B112),2),ROUND(MinBase2Day*(1+ExpressFuelSurcharge),2),ROUND(((1-(TwoDayDiscount_21_Up+FedExExrpessEarnedDiscount))*'2Day Base'!B112)*(1+ExpressFuelSurcharge),2)))*(1+FedEx_Markup),2)</f>
        <v>115.2</v>
      </c>
      <c r="C115" s="218">
        <f>ROUND((IF(MinBase2Day&gt;ROUND(((1-(TwoDayDiscount_21_Up+FedExExrpessEarnedDiscount))*'2Day Base'!C112),2),ROUND(MinBase2Day*(1+ExpressFuelSurcharge),2),ROUND(((1-(TwoDayDiscount_21_Up+FedExExrpessEarnedDiscount))*'2Day Base'!C112)*(1+ExpressFuelSurcharge),2)))*(1+FedEx_Markup),2)</f>
        <v>144.13999999999999</v>
      </c>
      <c r="D115" s="218">
        <f>ROUND((IF(MinBase2Day&gt;ROUND(((1-(TwoDayDiscount_21_Up+FedExExrpessEarnedDiscount))*'2Day Base'!D112),2),ROUND(MinBase2Day*(1+ExpressFuelSurcharge),2),ROUND(((1-(TwoDayDiscount_21_Up+FedExExrpessEarnedDiscount))*'2Day Base'!D112)*(1+ExpressFuelSurcharge),2)))*(1+FedEx_Markup),2)</f>
        <v>189.3</v>
      </c>
      <c r="E115" s="218">
        <f>ROUND((IF(MinBase2Day&gt;ROUND(((1-(TwoDayDiscount_21_Up+FedExExrpessEarnedDiscount))*'2Day Base'!E112),2),ROUND(MinBase2Day*(1+ExpressFuelSurcharge),2),ROUND(((1-(TwoDayDiscount_21_Up+FedExExrpessEarnedDiscount))*'2Day Base'!E112)*(1+ExpressFuelSurcharge),2)))*(1+FedEx_Markup),2)</f>
        <v>282.5</v>
      </c>
      <c r="F115" s="218">
        <f>ROUND((IF(MinBase2Day&gt;ROUND(((1-(TwoDayDiscount_21_Up+FedExExrpessEarnedDiscount))*'2Day Base'!F112),2),ROUND(MinBase2Day*(1+ExpressFuelSurcharge),2),ROUND(((1-(TwoDayDiscount_21_Up+FedExExrpessEarnedDiscount))*'2Day Base'!F112)*(1+ExpressFuelSurcharge),2)))*(1+FedEx_Markup),2)</f>
        <v>448.65</v>
      </c>
      <c r="G115" s="218">
        <f>ROUND((IF(MinBase2Day&gt;ROUND(((1-(TwoDayDiscount_21_Up+FedExExrpessEarnedDiscount))*'2Day Base'!G112),2),ROUND(MinBase2Day*(1+ExpressFuelSurcharge),2),ROUND(((1-(TwoDayDiscount_21_Up+FedExExrpessEarnedDiscount))*'2Day Base'!G112)*(1+ExpressFuelSurcharge),2)))*(1+FedEx_Markup),2)</f>
        <v>511.74</v>
      </c>
      <c r="H115" s="218">
        <f>ROUND((IF(MinBase2Day&gt;ROUND(((1-(TwoDayDiscount_21_Up+FedExExrpessEarnedDiscount))*'2Day Base'!H112),2),ROUND(MinBase2Day*(1+ExpressFuelSurcharge),2),ROUND(((1-(TwoDayDiscount_21_Up+FedExExrpessEarnedDiscount))*'2Day Base'!H112)*(1+ExpressFuelSurcharge),2)))*(1+FedEx_Markup),2)</f>
        <v>527.38</v>
      </c>
      <c r="I115" s="218">
        <f>ROUND((IF(MinBase2Day&gt;ROUND(((1-(TwoDayDiscount_21_Up+FedExExrpessEarnedDiscount))*'2Day Base'!I112),2),ROUND(MinBase2Day*(1+ExpressFuelSurcharge),2),ROUND(((1-(TwoDayDiscount_21_Up+FedExExrpessEarnedDiscount))*'2Day Base'!I112)*(1+ExpressFuelSurcharge),2)))*(1+FedEx_Markup),2)</f>
        <v>538.37</v>
      </c>
      <c r="J115" s="218">
        <f>ROUND((IF(MinBase2Day&gt;ROUND(((1-(TwoDayDiscount_21_Up+FedExExrpessEarnedDiscount))*'2Day Base'!J112),2),ROUND(MinBase2Day*(1+ExpressFuelSurcharge),2),ROUND(((1-(TwoDayDiscount_21_Up+FedExExrpessEarnedDiscount))*'2Day Base'!J112)*(1+ExpressFuelSurcharge),2)))*(1+FedEx_Markup),2)</f>
        <v>538.37</v>
      </c>
      <c r="K115" s="218">
        <f>ROUND((IF(MinBase2Day&gt;ROUND(((1-(TwoDayDiscount_21_Up+FedExExrpessEarnedDiscount))*'2Day Base'!K112),2),ROUND(MinBase2Day*(1+ExpressFuelSurcharge),2),ROUND(((1-(TwoDayDiscount_21_Up+FedExExrpessEarnedDiscount))*'2Day Base'!K112)*(1+ExpressFuelSurcharge),2)))*(1+FedEx_Markup),2)</f>
        <v>549.95000000000005</v>
      </c>
      <c r="L115" s="218">
        <f>ROUND((IF(MinBase2Day&gt;ROUND(((1-(TwoDayDiscount_21_Up+FedExExrpessEarnedDiscount))*'2Day Base'!L112),2),ROUND(MinBase2Day*(1+ExpressFuelSurcharge),2),ROUND(((1-(TwoDayDiscount_21_Up+FedExExrpessEarnedDiscount))*'2Day Base'!L112)*(1+ExpressFuelSurcharge),2)))*(1+FedEx_Markup),2)</f>
        <v>549.95000000000005</v>
      </c>
    </row>
    <row r="116" spans="1:26" ht="12.75" customHeight="1">
      <c r="A116" s="217">
        <v>111</v>
      </c>
      <c r="B116" s="218">
        <f>ROUND((IF(MinBase2Day&gt;ROUND(((1-(TwoDayDiscount_21_Up+FedExExrpessEarnedDiscount))*'2Day Base'!B113),2),ROUND(MinBase2Day*(1+ExpressFuelSurcharge),2),ROUND(((1-(TwoDayDiscount_21_Up+FedExExrpessEarnedDiscount))*'2Day Base'!B113)*(1+ExpressFuelSurcharge),2)))*(1+FedEx_Markup),2)</f>
        <v>116.24</v>
      </c>
      <c r="C116" s="218">
        <f>ROUND((IF(MinBase2Day&gt;ROUND(((1-(TwoDayDiscount_21_Up+FedExExrpessEarnedDiscount))*'2Day Base'!C113),2),ROUND(MinBase2Day*(1+ExpressFuelSurcharge),2),ROUND(((1-(TwoDayDiscount_21_Up+FedExExrpessEarnedDiscount))*'2Day Base'!C113)*(1+ExpressFuelSurcharge),2)))*(1+FedEx_Markup),2)</f>
        <v>145.44999999999999</v>
      </c>
      <c r="D116" s="218">
        <f>ROUND((IF(MinBase2Day&gt;ROUND(((1-(TwoDayDiscount_21_Up+FedExExrpessEarnedDiscount))*'2Day Base'!D113),2),ROUND(MinBase2Day*(1+ExpressFuelSurcharge),2),ROUND(((1-(TwoDayDiscount_21_Up+FedExExrpessEarnedDiscount))*'2Day Base'!D113)*(1+ExpressFuelSurcharge),2)))*(1+FedEx_Markup),2)</f>
        <v>191.02</v>
      </c>
      <c r="E116" s="218">
        <f>ROUND((IF(MinBase2Day&gt;ROUND(((1-(TwoDayDiscount_21_Up+FedExExrpessEarnedDiscount))*'2Day Base'!E113),2),ROUND(MinBase2Day*(1+ExpressFuelSurcharge),2),ROUND(((1-(TwoDayDiscount_21_Up+FedExExrpessEarnedDiscount))*'2Day Base'!E113)*(1+ExpressFuelSurcharge),2)))*(1+FedEx_Markup),2)</f>
        <v>285.07</v>
      </c>
      <c r="F116" s="218">
        <f>ROUND((IF(MinBase2Day&gt;ROUND(((1-(TwoDayDiscount_21_Up+FedExExrpessEarnedDiscount))*'2Day Base'!F113),2),ROUND(MinBase2Day*(1+ExpressFuelSurcharge),2),ROUND(((1-(TwoDayDiscount_21_Up+FedExExrpessEarnedDiscount))*'2Day Base'!F113)*(1+ExpressFuelSurcharge),2)))*(1+FedEx_Markup),2)</f>
        <v>452.72</v>
      </c>
      <c r="G116" s="218">
        <f>ROUND((IF(MinBase2Day&gt;ROUND(((1-(TwoDayDiscount_21_Up+FedExExrpessEarnedDiscount))*'2Day Base'!G113),2),ROUND(MinBase2Day*(1+ExpressFuelSurcharge),2),ROUND(((1-(TwoDayDiscount_21_Up+FedExExrpessEarnedDiscount))*'2Day Base'!G113)*(1+ExpressFuelSurcharge),2)))*(1+FedEx_Markup),2)</f>
        <v>516.4</v>
      </c>
      <c r="H116" s="218">
        <f>ROUND((IF(MinBase2Day&gt;ROUND(((1-(TwoDayDiscount_21_Up+FedExExrpessEarnedDiscount))*'2Day Base'!H113),2),ROUND(MinBase2Day*(1+ExpressFuelSurcharge),2),ROUND(((1-(TwoDayDiscount_21_Up+FedExExrpessEarnedDiscount))*'2Day Base'!H113)*(1+ExpressFuelSurcharge),2)))*(1+FedEx_Markup),2)</f>
        <v>532.16</v>
      </c>
      <c r="I116" s="218">
        <f>ROUND((IF(MinBase2Day&gt;ROUND(((1-(TwoDayDiscount_21_Up+FedExExrpessEarnedDiscount))*'2Day Base'!I113),2),ROUND(MinBase2Day*(1+ExpressFuelSurcharge),2),ROUND(((1-(TwoDayDiscount_21_Up+FedExExrpessEarnedDiscount))*'2Day Base'!I113)*(1+ExpressFuelSurcharge),2)))*(1+FedEx_Markup),2)</f>
        <v>543.27</v>
      </c>
      <c r="J116" s="218">
        <f>ROUND((IF(MinBase2Day&gt;ROUND(((1-(TwoDayDiscount_21_Up+FedExExrpessEarnedDiscount))*'2Day Base'!J113),2),ROUND(MinBase2Day*(1+ExpressFuelSurcharge),2),ROUND(((1-(TwoDayDiscount_21_Up+FedExExrpessEarnedDiscount))*'2Day Base'!J113)*(1+ExpressFuelSurcharge),2)))*(1+FedEx_Markup),2)</f>
        <v>543.27</v>
      </c>
      <c r="K116" s="218">
        <f>ROUND((IF(MinBase2Day&gt;ROUND(((1-(TwoDayDiscount_21_Up+FedExExrpessEarnedDiscount))*'2Day Base'!K113),2),ROUND(MinBase2Day*(1+ExpressFuelSurcharge),2),ROUND(((1-(TwoDayDiscount_21_Up+FedExExrpessEarnedDiscount))*'2Day Base'!K113)*(1+ExpressFuelSurcharge),2)))*(1+FedEx_Markup),2)</f>
        <v>554.96</v>
      </c>
      <c r="L116" s="218">
        <f>ROUND((IF(MinBase2Day&gt;ROUND(((1-(TwoDayDiscount_21_Up+FedExExrpessEarnedDiscount))*'2Day Base'!L113),2),ROUND(MinBase2Day*(1+ExpressFuelSurcharge),2),ROUND(((1-(TwoDayDiscount_21_Up+FedExExrpessEarnedDiscount))*'2Day Base'!L113)*(1+ExpressFuelSurcharge),2)))*(1+FedEx_Markup),2)</f>
        <v>554.96</v>
      </c>
    </row>
    <row r="117" spans="1:26" ht="12.75" customHeight="1">
      <c r="A117" s="217">
        <v>112</v>
      </c>
      <c r="B117" s="218">
        <f>ROUND((IF(MinBase2Day&gt;ROUND(((1-(TwoDayDiscount_21_Up+FedExExrpessEarnedDiscount))*'2Day Base'!B114),2),ROUND(MinBase2Day*(1+ExpressFuelSurcharge),2),ROUND(((1-(TwoDayDiscount_21_Up+FedExExrpessEarnedDiscount))*'2Day Base'!B114)*(1+ExpressFuelSurcharge),2)))*(1+FedEx_Markup),2)</f>
        <v>117.3</v>
      </c>
      <c r="C117" s="218">
        <f>ROUND((IF(MinBase2Day&gt;ROUND(((1-(TwoDayDiscount_21_Up+FedExExrpessEarnedDiscount))*'2Day Base'!C114),2),ROUND(MinBase2Day*(1+ExpressFuelSurcharge),2),ROUND(((1-(TwoDayDiscount_21_Up+FedExExrpessEarnedDiscount))*'2Day Base'!C114)*(1+ExpressFuelSurcharge),2)))*(1+FedEx_Markup),2)</f>
        <v>146.76</v>
      </c>
      <c r="D117" s="218">
        <f>ROUND((IF(MinBase2Day&gt;ROUND(((1-(TwoDayDiscount_21_Up+FedExExrpessEarnedDiscount))*'2Day Base'!D114),2),ROUND(MinBase2Day*(1+ExpressFuelSurcharge),2),ROUND(((1-(TwoDayDiscount_21_Up+FedExExrpessEarnedDiscount))*'2Day Base'!D114)*(1+ExpressFuelSurcharge),2)))*(1+FedEx_Markup),2)</f>
        <v>192.74</v>
      </c>
      <c r="E117" s="218">
        <f>ROUND((IF(MinBase2Day&gt;ROUND(((1-(TwoDayDiscount_21_Up+FedExExrpessEarnedDiscount))*'2Day Base'!E114),2),ROUND(MinBase2Day*(1+ExpressFuelSurcharge),2),ROUND(((1-(TwoDayDiscount_21_Up+FedExExrpessEarnedDiscount))*'2Day Base'!E114)*(1+ExpressFuelSurcharge),2)))*(1+FedEx_Markup),2)</f>
        <v>287.64</v>
      </c>
      <c r="F117" s="218">
        <f>ROUND((IF(MinBase2Day&gt;ROUND(((1-(TwoDayDiscount_21_Up+FedExExrpessEarnedDiscount))*'2Day Base'!F114),2),ROUND(MinBase2Day*(1+ExpressFuelSurcharge),2),ROUND(((1-(TwoDayDiscount_21_Up+FedExExrpessEarnedDiscount))*'2Day Base'!F114)*(1+ExpressFuelSurcharge),2)))*(1+FedEx_Markup),2)</f>
        <v>456.8</v>
      </c>
      <c r="G117" s="218">
        <f>ROUND((IF(MinBase2Day&gt;ROUND(((1-(TwoDayDiscount_21_Up+FedExExrpessEarnedDiscount))*'2Day Base'!G114),2),ROUND(MinBase2Day*(1+ExpressFuelSurcharge),2),ROUND(((1-(TwoDayDiscount_21_Up+FedExExrpessEarnedDiscount))*'2Day Base'!G114)*(1+ExpressFuelSurcharge),2)))*(1+FedEx_Markup),2)</f>
        <v>521.04999999999995</v>
      </c>
      <c r="H117" s="218">
        <f>ROUND((IF(MinBase2Day&gt;ROUND(((1-(TwoDayDiscount_21_Up+FedExExrpessEarnedDiscount))*'2Day Base'!H114),2),ROUND(MinBase2Day*(1+ExpressFuelSurcharge),2),ROUND(((1-(TwoDayDiscount_21_Up+FedExExrpessEarnedDiscount))*'2Day Base'!H114)*(1+ExpressFuelSurcharge),2)))*(1+FedEx_Markup),2)</f>
        <v>536.96</v>
      </c>
      <c r="I117" s="218">
        <f>ROUND((IF(MinBase2Day&gt;ROUND(((1-(TwoDayDiscount_21_Up+FedExExrpessEarnedDiscount))*'2Day Base'!I114),2),ROUND(MinBase2Day*(1+ExpressFuelSurcharge),2),ROUND(((1-(TwoDayDiscount_21_Up+FedExExrpessEarnedDiscount))*'2Day Base'!I114)*(1+ExpressFuelSurcharge),2)))*(1+FedEx_Markup),2)</f>
        <v>548.16</v>
      </c>
      <c r="J117" s="218">
        <f>ROUND((IF(MinBase2Day&gt;ROUND(((1-(TwoDayDiscount_21_Up+FedExExrpessEarnedDiscount))*'2Day Base'!J114),2),ROUND(MinBase2Day*(1+ExpressFuelSurcharge),2),ROUND(((1-(TwoDayDiscount_21_Up+FedExExrpessEarnedDiscount))*'2Day Base'!J114)*(1+ExpressFuelSurcharge),2)))*(1+FedEx_Markup),2)</f>
        <v>548.16</v>
      </c>
      <c r="K117" s="218">
        <f>ROUND((IF(MinBase2Day&gt;ROUND(((1-(TwoDayDiscount_21_Up+FedExExrpessEarnedDiscount))*'2Day Base'!K114),2),ROUND(MinBase2Day*(1+ExpressFuelSurcharge),2),ROUND(((1-(TwoDayDiscount_21_Up+FedExExrpessEarnedDiscount))*'2Day Base'!K114)*(1+ExpressFuelSurcharge),2)))*(1+FedEx_Markup),2)</f>
        <v>559.95000000000005</v>
      </c>
      <c r="L117" s="218">
        <f>ROUND((IF(MinBase2Day&gt;ROUND(((1-(TwoDayDiscount_21_Up+FedExExrpessEarnedDiscount))*'2Day Base'!L114),2),ROUND(MinBase2Day*(1+ExpressFuelSurcharge),2),ROUND(((1-(TwoDayDiscount_21_Up+FedExExrpessEarnedDiscount))*'2Day Base'!L114)*(1+ExpressFuelSurcharge),2)))*(1+FedEx_Markup),2)</f>
        <v>559.95000000000005</v>
      </c>
    </row>
    <row r="118" spans="1:26" ht="12.75" customHeight="1">
      <c r="A118" s="217">
        <v>113</v>
      </c>
      <c r="B118" s="218">
        <f>ROUND((IF(MinBase2Day&gt;ROUND(((1-(TwoDayDiscount_21_Up+FedExExrpessEarnedDiscount))*'2Day Base'!B115),2),ROUND(MinBase2Day*(1+ExpressFuelSurcharge),2),ROUND(((1-(TwoDayDiscount_21_Up+FedExExrpessEarnedDiscount))*'2Day Base'!B115)*(1+ExpressFuelSurcharge),2)))*(1+FedEx_Markup),2)</f>
        <v>118.35</v>
      </c>
      <c r="C118" s="218">
        <f>ROUND((IF(MinBase2Day&gt;ROUND(((1-(TwoDayDiscount_21_Up+FedExExrpessEarnedDiscount))*'2Day Base'!C115),2),ROUND(MinBase2Day*(1+ExpressFuelSurcharge),2),ROUND(((1-(TwoDayDiscount_21_Up+FedExExrpessEarnedDiscount))*'2Day Base'!C115)*(1+ExpressFuelSurcharge),2)))*(1+FedEx_Markup),2)</f>
        <v>148.07</v>
      </c>
      <c r="D118" s="218">
        <f>ROUND((IF(MinBase2Day&gt;ROUND(((1-(TwoDayDiscount_21_Up+FedExExrpessEarnedDiscount))*'2Day Base'!D115),2),ROUND(MinBase2Day*(1+ExpressFuelSurcharge),2),ROUND(((1-(TwoDayDiscount_21_Up+FedExExrpessEarnedDiscount))*'2Day Base'!D115)*(1+ExpressFuelSurcharge),2)))*(1+FedEx_Markup),2)</f>
        <v>194.47</v>
      </c>
      <c r="E118" s="218">
        <f>ROUND((IF(MinBase2Day&gt;ROUND(((1-(TwoDayDiscount_21_Up+FedExExrpessEarnedDiscount))*'2Day Base'!E115),2),ROUND(MinBase2Day*(1+ExpressFuelSurcharge),2),ROUND(((1-(TwoDayDiscount_21_Up+FedExExrpessEarnedDiscount))*'2Day Base'!E115)*(1+ExpressFuelSurcharge),2)))*(1+FedEx_Markup),2)</f>
        <v>290.2</v>
      </c>
      <c r="F118" s="218">
        <f>ROUND((IF(MinBase2Day&gt;ROUND(((1-(TwoDayDiscount_21_Up+FedExExrpessEarnedDiscount))*'2Day Base'!F115),2),ROUND(MinBase2Day*(1+ExpressFuelSurcharge),2),ROUND(((1-(TwoDayDiscount_21_Up+FedExExrpessEarnedDiscount))*'2Day Base'!F115)*(1+ExpressFuelSurcharge),2)))*(1+FedEx_Markup),2)</f>
        <v>460.89</v>
      </c>
      <c r="G118" s="218">
        <f>ROUND((IF(MinBase2Day&gt;ROUND(((1-(TwoDayDiscount_21_Up+FedExExrpessEarnedDiscount))*'2Day Base'!G115),2),ROUND(MinBase2Day*(1+ExpressFuelSurcharge),2),ROUND(((1-(TwoDayDiscount_21_Up+FedExExrpessEarnedDiscount))*'2Day Base'!G115)*(1+ExpressFuelSurcharge),2)))*(1+FedEx_Markup),2)</f>
        <v>525.70000000000005</v>
      </c>
      <c r="H118" s="218">
        <f>ROUND((IF(MinBase2Day&gt;ROUND(((1-(TwoDayDiscount_21_Up+FedExExrpessEarnedDiscount))*'2Day Base'!H115),2),ROUND(MinBase2Day*(1+ExpressFuelSurcharge),2),ROUND(((1-(TwoDayDiscount_21_Up+FedExExrpessEarnedDiscount))*'2Day Base'!H115)*(1+ExpressFuelSurcharge),2)))*(1+FedEx_Markup),2)</f>
        <v>541.75</v>
      </c>
      <c r="I118" s="218">
        <f>ROUND((IF(MinBase2Day&gt;ROUND(((1-(TwoDayDiscount_21_Up+FedExExrpessEarnedDiscount))*'2Day Base'!I115),2),ROUND(MinBase2Day*(1+ExpressFuelSurcharge),2),ROUND(((1-(TwoDayDiscount_21_Up+FedExExrpessEarnedDiscount))*'2Day Base'!I115)*(1+ExpressFuelSurcharge),2)))*(1+FedEx_Markup),2)</f>
        <v>553.05999999999995</v>
      </c>
      <c r="J118" s="218">
        <f>ROUND((IF(MinBase2Day&gt;ROUND(((1-(TwoDayDiscount_21_Up+FedExExrpessEarnedDiscount))*'2Day Base'!J115),2),ROUND(MinBase2Day*(1+ExpressFuelSurcharge),2),ROUND(((1-(TwoDayDiscount_21_Up+FedExExrpessEarnedDiscount))*'2Day Base'!J115)*(1+ExpressFuelSurcharge),2)))*(1+FedEx_Markup),2)</f>
        <v>553.05999999999995</v>
      </c>
      <c r="K118" s="218">
        <f>ROUND((IF(MinBase2Day&gt;ROUND(((1-(TwoDayDiscount_21_Up+FedExExrpessEarnedDiscount))*'2Day Base'!K115),2),ROUND(MinBase2Day*(1+ExpressFuelSurcharge),2),ROUND(((1-(TwoDayDiscount_21_Up+FedExExrpessEarnedDiscount))*'2Day Base'!K115)*(1+ExpressFuelSurcharge),2)))*(1+FedEx_Markup),2)</f>
        <v>564.95000000000005</v>
      </c>
      <c r="L118" s="218">
        <f>ROUND((IF(MinBase2Day&gt;ROUND(((1-(TwoDayDiscount_21_Up+FedExExrpessEarnedDiscount))*'2Day Base'!L115),2),ROUND(MinBase2Day*(1+ExpressFuelSurcharge),2),ROUND(((1-(TwoDayDiscount_21_Up+FedExExrpessEarnedDiscount))*'2Day Base'!L115)*(1+ExpressFuelSurcharge),2)))*(1+FedEx_Markup),2)</f>
        <v>564.95000000000005</v>
      </c>
    </row>
    <row r="119" spans="1:26" ht="12.75" customHeight="1">
      <c r="A119" s="217">
        <v>114</v>
      </c>
      <c r="B119" s="218">
        <f>ROUND((IF(MinBase2Day&gt;ROUND(((1-(TwoDayDiscount_21_Up+FedExExrpessEarnedDiscount))*'2Day Base'!B116),2),ROUND(MinBase2Day*(1+ExpressFuelSurcharge),2),ROUND(((1-(TwoDayDiscount_21_Up+FedExExrpessEarnedDiscount))*'2Day Base'!B116)*(1+ExpressFuelSurcharge),2)))*(1+FedEx_Markup),2)</f>
        <v>119.39</v>
      </c>
      <c r="C119" s="218">
        <f>ROUND((IF(MinBase2Day&gt;ROUND(((1-(TwoDayDiscount_21_Up+FedExExrpessEarnedDiscount))*'2Day Base'!C116),2),ROUND(MinBase2Day*(1+ExpressFuelSurcharge),2),ROUND(((1-(TwoDayDiscount_21_Up+FedExExrpessEarnedDiscount))*'2Day Base'!C116)*(1+ExpressFuelSurcharge),2)))*(1+FedEx_Markup),2)</f>
        <v>149.38999999999999</v>
      </c>
      <c r="D119" s="218">
        <f>ROUND((IF(MinBase2Day&gt;ROUND(((1-(TwoDayDiscount_21_Up+FedExExrpessEarnedDiscount))*'2Day Base'!D116),2),ROUND(MinBase2Day*(1+ExpressFuelSurcharge),2),ROUND(((1-(TwoDayDiscount_21_Up+FedExExrpessEarnedDiscount))*'2Day Base'!D116)*(1+ExpressFuelSurcharge),2)))*(1+FedEx_Markup),2)</f>
        <v>196.18</v>
      </c>
      <c r="E119" s="218">
        <f>ROUND((IF(MinBase2Day&gt;ROUND(((1-(TwoDayDiscount_21_Up+FedExExrpessEarnedDiscount))*'2Day Base'!E116),2),ROUND(MinBase2Day*(1+ExpressFuelSurcharge),2),ROUND(((1-(TwoDayDiscount_21_Up+FedExExrpessEarnedDiscount))*'2Day Base'!E116)*(1+ExpressFuelSurcharge),2)))*(1+FedEx_Markup),2)</f>
        <v>292.77999999999997</v>
      </c>
      <c r="F119" s="218">
        <f>ROUND((IF(MinBase2Day&gt;ROUND(((1-(TwoDayDiscount_21_Up+FedExExrpessEarnedDiscount))*'2Day Base'!F116),2),ROUND(MinBase2Day*(1+ExpressFuelSurcharge),2),ROUND(((1-(TwoDayDiscount_21_Up+FedExExrpessEarnedDiscount))*'2Day Base'!F116)*(1+ExpressFuelSurcharge),2)))*(1+FedEx_Markup),2)</f>
        <v>464.96</v>
      </c>
      <c r="G119" s="218">
        <f>ROUND((IF(MinBase2Day&gt;ROUND(((1-(TwoDayDiscount_21_Up+FedExExrpessEarnedDiscount))*'2Day Base'!G116),2),ROUND(MinBase2Day*(1+ExpressFuelSurcharge),2),ROUND(((1-(TwoDayDiscount_21_Up+FedExExrpessEarnedDiscount))*'2Day Base'!G116)*(1+ExpressFuelSurcharge),2)))*(1+FedEx_Markup),2)</f>
        <v>530.36</v>
      </c>
      <c r="H119" s="218">
        <f>ROUND((IF(MinBase2Day&gt;ROUND(((1-(TwoDayDiscount_21_Up+FedExExrpessEarnedDiscount))*'2Day Base'!H116),2),ROUND(MinBase2Day*(1+ExpressFuelSurcharge),2),ROUND(((1-(TwoDayDiscount_21_Up+FedExExrpessEarnedDiscount))*'2Day Base'!H116)*(1+ExpressFuelSurcharge),2)))*(1+FedEx_Markup),2)</f>
        <v>546.54999999999995</v>
      </c>
      <c r="I119" s="218">
        <f>ROUND((IF(MinBase2Day&gt;ROUND(((1-(TwoDayDiscount_21_Up+FedExExrpessEarnedDiscount))*'2Day Base'!I116),2),ROUND(MinBase2Day*(1+ExpressFuelSurcharge),2),ROUND(((1-(TwoDayDiscount_21_Up+FedExExrpessEarnedDiscount))*'2Day Base'!I116)*(1+ExpressFuelSurcharge),2)))*(1+FedEx_Markup),2)</f>
        <v>557.95000000000005</v>
      </c>
      <c r="J119" s="218">
        <f>ROUND((IF(MinBase2Day&gt;ROUND(((1-(TwoDayDiscount_21_Up+FedExExrpessEarnedDiscount))*'2Day Base'!J116),2),ROUND(MinBase2Day*(1+ExpressFuelSurcharge),2),ROUND(((1-(TwoDayDiscount_21_Up+FedExExrpessEarnedDiscount))*'2Day Base'!J116)*(1+ExpressFuelSurcharge),2)))*(1+FedEx_Markup),2)</f>
        <v>557.95000000000005</v>
      </c>
      <c r="K119" s="218">
        <f>ROUND((IF(MinBase2Day&gt;ROUND(((1-(TwoDayDiscount_21_Up+FedExExrpessEarnedDiscount))*'2Day Base'!K116),2),ROUND(MinBase2Day*(1+ExpressFuelSurcharge),2),ROUND(((1-(TwoDayDiscount_21_Up+FedExExrpessEarnedDiscount))*'2Day Base'!K116)*(1+ExpressFuelSurcharge),2)))*(1+FedEx_Markup),2)</f>
        <v>569.95000000000005</v>
      </c>
      <c r="L119" s="218">
        <f>ROUND((IF(MinBase2Day&gt;ROUND(((1-(TwoDayDiscount_21_Up+FedExExrpessEarnedDiscount))*'2Day Base'!L116),2),ROUND(MinBase2Day*(1+ExpressFuelSurcharge),2),ROUND(((1-(TwoDayDiscount_21_Up+FedExExrpessEarnedDiscount))*'2Day Base'!L116)*(1+ExpressFuelSurcharge),2)))*(1+FedEx_Markup),2)</f>
        <v>569.95000000000005</v>
      </c>
    </row>
    <row r="120" spans="1:26" ht="12.75" customHeight="1">
      <c r="A120" s="217">
        <v>115</v>
      </c>
      <c r="B120" s="218">
        <f>ROUND((IF(MinBase2Day&gt;ROUND(((1-(TwoDayDiscount_21_Up+FedExExrpessEarnedDiscount))*'2Day Base'!B117),2),ROUND(MinBase2Day*(1+ExpressFuelSurcharge),2),ROUND(((1-(TwoDayDiscount_21_Up+FedExExrpessEarnedDiscount))*'2Day Base'!B117)*(1+ExpressFuelSurcharge),2)))*(1+FedEx_Markup),2)</f>
        <v>120.44</v>
      </c>
      <c r="C120" s="218">
        <f>ROUND((IF(MinBase2Day&gt;ROUND(((1-(TwoDayDiscount_21_Up+FedExExrpessEarnedDiscount))*'2Day Base'!C117),2),ROUND(MinBase2Day*(1+ExpressFuelSurcharge),2),ROUND(((1-(TwoDayDiscount_21_Up+FedExExrpessEarnedDiscount))*'2Day Base'!C117)*(1+ExpressFuelSurcharge),2)))*(1+FedEx_Markup),2)</f>
        <v>150.69999999999999</v>
      </c>
      <c r="D120" s="218">
        <f>ROUND((IF(MinBase2Day&gt;ROUND(((1-(TwoDayDiscount_21_Up+FedExExrpessEarnedDiscount))*'2Day Base'!D117),2),ROUND(MinBase2Day*(1+ExpressFuelSurcharge),2),ROUND(((1-(TwoDayDiscount_21_Up+FedExExrpessEarnedDiscount))*'2Day Base'!D117)*(1+ExpressFuelSurcharge),2)))*(1+FedEx_Markup),2)</f>
        <v>197.9</v>
      </c>
      <c r="E120" s="218">
        <f>ROUND((IF(MinBase2Day&gt;ROUND(((1-(TwoDayDiscount_21_Up+FedExExrpessEarnedDiscount))*'2Day Base'!E117),2),ROUND(MinBase2Day*(1+ExpressFuelSurcharge),2),ROUND(((1-(TwoDayDiscount_21_Up+FedExExrpessEarnedDiscount))*'2Day Base'!E117)*(1+ExpressFuelSurcharge),2)))*(1+FedEx_Markup),2)</f>
        <v>295.33999999999997</v>
      </c>
      <c r="F120" s="218">
        <f>ROUND((IF(MinBase2Day&gt;ROUND(((1-(TwoDayDiscount_21_Up+FedExExrpessEarnedDiscount))*'2Day Base'!F117),2),ROUND(MinBase2Day*(1+ExpressFuelSurcharge),2),ROUND(((1-(TwoDayDiscount_21_Up+FedExExrpessEarnedDiscount))*'2Day Base'!F117)*(1+ExpressFuelSurcharge),2)))*(1+FedEx_Markup),2)</f>
        <v>469.04</v>
      </c>
      <c r="G120" s="218">
        <f>ROUND((IF(MinBase2Day&gt;ROUND(((1-(TwoDayDiscount_21_Up+FedExExrpessEarnedDiscount))*'2Day Base'!G117),2),ROUND(MinBase2Day*(1+ExpressFuelSurcharge),2),ROUND(((1-(TwoDayDiscount_21_Up+FedExExrpessEarnedDiscount))*'2Day Base'!G117)*(1+ExpressFuelSurcharge),2)))*(1+FedEx_Markup),2)</f>
        <v>535</v>
      </c>
      <c r="H120" s="218">
        <f>ROUND((IF(MinBase2Day&gt;ROUND(((1-(TwoDayDiscount_21_Up+FedExExrpessEarnedDiscount))*'2Day Base'!H117),2),ROUND(MinBase2Day*(1+ExpressFuelSurcharge),2),ROUND(((1-(TwoDayDiscount_21_Up+FedExExrpessEarnedDiscount))*'2Day Base'!H117)*(1+ExpressFuelSurcharge),2)))*(1+FedEx_Markup),2)</f>
        <v>551.34</v>
      </c>
      <c r="I120" s="218">
        <f>ROUND((IF(MinBase2Day&gt;ROUND(((1-(TwoDayDiscount_21_Up+FedExExrpessEarnedDiscount))*'2Day Base'!I117),2),ROUND(MinBase2Day*(1+ExpressFuelSurcharge),2),ROUND(((1-(TwoDayDiscount_21_Up+FedExExrpessEarnedDiscount))*'2Day Base'!I117)*(1+ExpressFuelSurcharge),2)))*(1+FedEx_Markup),2)</f>
        <v>562.84</v>
      </c>
      <c r="J120" s="218">
        <f>ROUND((IF(MinBase2Day&gt;ROUND(((1-(TwoDayDiscount_21_Up+FedExExrpessEarnedDiscount))*'2Day Base'!J117),2),ROUND(MinBase2Day*(1+ExpressFuelSurcharge),2),ROUND(((1-(TwoDayDiscount_21_Up+FedExExrpessEarnedDiscount))*'2Day Base'!J117)*(1+ExpressFuelSurcharge),2)))*(1+FedEx_Markup),2)</f>
        <v>562.84</v>
      </c>
      <c r="K120" s="218">
        <f>ROUND((IF(MinBase2Day&gt;ROUND(((1-(TwoDayDiscount_21_Up+FedExExrpessEarnedDiscount))*'2Day Base'!K117),2),ROUND(MinBase2Day*(1+ExpressFuelSurcharge),2),ROUND(((1-(TwoDayDiscount_21_Up+FedExExrpessEarnedDiscount))*'2Day Base'!K117)*(1+ExpressFuelSurcharge),2)))*(1+FedEx_Markup),2)</f>
        <v>574.95000000000005</v>
      </c>
      <c r="L120" s="218">
        <f>ROUND((IF(MinBase2Day&gt;ROUND(((1-(TwoDayDiscount_21_Up+FedExExrpessEarnedDiscount))*'2Day Base'!L117),2),ROUND(MinBase2Day*(1+ExpressFuelSurcharge),2),ROUND(((1-(TwoDayDiscount_21_Up+FedExExrpessEarnedDiscount))*'2Day Base'!L117)*(1+ExpressFuelSurcharge),2)))*(1+FedEx_Markup),2)</f>
        <v>574.95000000000005</v>
      </c>
    </row>
    <row r="121" spans="1:26" ht="12.75" customHeight="1">
      <c r="A121" s="217">
        <v>116</v>
      </c>
      <c r="B121" s="218">
        <f>ROUND((IF(MinBase2Day&gt;ROUND(((1-(TwoDayDiscount_21_Up+FedExExrpessEarnedDiscount))*'2Day Base'!B118),2),ROUND(MinBase2Day*(1+ExpressFuelSurcharge),2),ROUND(((1-(TwoDayDiscount_21_Up+FedExExrpessEarnedDiscount))*'2Day Base'!B118)*(1+ExpressFuelSurcharge),2)))*(1+FedEx_Markup),2)</f>
        <v>121.49</v>
      </c>
      <c r="C121" s="218">
        <f>ROUND((IF(MinBase2Day&gt;ROUND(((1-(TwoDayDiscount_21_Up+FedExExrpessEarnedDiscount))*'2Day Base'!C118),2),ROUND(MinBase2Day*(1+ExpressFuelSurcharge),2),ROUND(((1-(TwoDayDiscount_21_Up+FedExExrpessEarnedDiscount))*'2Day Base'!C118)*(1+ExpressFuelSurcharge),2)))*(1+FedEx_Markup),2)</f>
        <v>152.01</v>
      </c>
      <c r="D121" s="218">
        <f>ROUND((IF(MinBase2Day&gt;ROUND(((1-(TwoDayDiscount_21_Up+FedExExrpessEarnedDiscount))*'2Day Base'!D118),2),ROUND(MinBase2Day*(1+ExpressFuelSurcharge),2),ROUND(((1-(TwoDayDiscount_21_Up+FedExExrpessEarnedDiscount))*'2Day Base'!D118)*(1+ExpressFuelSurcharge),2)))*(1+FedEx_Markup),2)</f>
        <v>199.63</v>
      </c>
      <c r="E121" s="218">
        <f>ROUND((IF(MinBase2Day&gt;ROUND(((1-(TwoDayDiscount_21_Up+FedExExrpessEarnedDiscount))*'2Day Base'!E118),2),ROUND(MinBase2Day*(1+ExpressFuelSurcharge),2),ROUND(((1-(TwoDayDiscount_21_Up+FedExExrpessEarnedDiscount))*'2Day Base'!E118)*(1+ExpressFuelSurcharge),2)))*(1+FedEx_Markup),2)</f>
        <v>297.91000000000003</v>
      </c>
      <c r="F121" s="218">
        <f>ROUND((IF(MinBase2Day&gt;ROUND(((1-(TwoDayDiscount_21_Up+FedExExrpessEarnedDiscount))*'2Day Base'!F118),2),ROUND(MinBase2Day*(1+ExpressFuelSurcharge),2),ROUND(((1-(TwoDayDiscount_21_Up+FedExExrpessEarnedDiscount))*'2Day Base'!F118)*(1+ExpressFuelSurcharge),2)))*(1+FedEx_Markup),2)</f>
        <v>473.11</v>
      </c>
      <c r="G121" s="218">
        <f>ROUND((IF(MinBase2Day&gt;ROUND(((1-(TwoDayDiscount_21_Up+FedExExrpessEarnedDiscount))*'2Day Base'!G118),2),ROUND(MinBase2Day*(1+ExpressFuelSurcharge),2),ROUND(((1-(TwoDayDiscount_21_Up+FedExExrpessEarnedDiscount))*'2Day Base'!G118)*(1+ExpressFuelSurcharge),2)))*(1+FedEx_Markup),2)</f>
        <v>539.66</v>
      </c>
      <c r="H121" s="218">
        <f>ROUND((IF(MinBase2Day&gt;ROUND(((1-(TwoDayDiscount_21_Up+FedExExrpessEarnedDiscount))*'2Day Base'!H118),2),ROUND(MinBase2Day*(1+ExpressFuelSurcharge),2),ROUND(((1-(TwoDayDiscount_21_Up+FedExExrpessEarnedDiscount))*'2Day Base'!H118)*(1+ExpressFuelSurcharge),2)))*(1+FedEx_Markup),2)</f>
        <v>556.14</v>
      </c>
      <c r="I121" s="218">
        <f>ROUND((IF(MinBase2Day&gt;ROUND(((1-(TwoDayDiscount_21_Up+FedExExrpessEarnedDiscount))*'2Day Base'!I118),2),ROUND(MinBase2Day*(1+ExpressFuelSurcharge),2),ROUND(((1-(TwoDayDiscount_21_Up+FedExExrpessEarnedDiscount))*'2Day Base'!I118)*(1+ExpressFuelSurcharge),2)))*(1+FedEx_Markup),2)</f>
        <v>567.74</v>
      </c>
      <c r="J121" s="218">
        <f>ROUND((IF(MinBase2Day&gt;ROUND(((1-(TwoDayDiscount_21_Up+FedExExrpessEarnedDiscount))*'2Day Base'!J118),2),ROUND(MinBase2Day*(1+ExpressFuelSurcharge),2),ROUND(((1-(TwoDayDiscount_21_Up+FedExExrpessEarnedDiscount))*'2Day Base'!J118)*(1+ExpressFuelSurcharge),2)))*(1+FedEx_Markup),2)</f>
        <v>567.74</v>
      </c>
      <c r="K121" s="218">
        <f>ROUND((IF(MinBase2Day&gt;ROUND(((1-(TwoDayDiscount_21_Up+FedExExrpessEarnedDiscount))*'2Day Base'!K118),2),ROUND(MinBase2Day*(1+ExpressFuelSurcharge),2),ROUND(((1-(TwoDayDiscount_21_Up+FedExExrpessEarnedDiscount))*'2Day Base'!K118)*(1+ExpressFuelSurcharge),2)))*(1+FedEx_Markup),2)</f>
        <v>579.95000000000005</v>
      </c>
      <c r="L121" s="218">
        <f>ROUND((IF(MinBase2Day&gt;ROUND(((1-(TwoDayDiscount_21_Up+FedExExrpessEarnedDiscount))*'2Day Base'!L118),2),ROUND(MinBase2Day*(1+ExpressFuelSurcharge),2),ROUND(((1-(TwoDayDiscount_21_Up+FedExExrpessEarnedDiscount))*'2Day Base'!L118)*(1+ExpressFuelSurcharge),2)))*(1+FedEx_Markup),2)</f>
        <v>579.95000000000005</v>
      </c>
    </row>
    <row r="122" spans="1:26" ht="12.75" customHeight="1">
      <c r="A122" s="217">
        <v>117</v>
      </c>
      <c r="B122" s="218">
        <f>ROUND((IF(MinBase2Day&gt;ROUND(((1-(TwoDayDiscount_21_Up+FedExExrpessEarnedDiscount))*'2Day Base'!B119),2),ROUND(MinBase2Day*(1+ExpressFuelSurcharge),2),ROUND(((1-(TwoDayDiscount_21_Up+FedExExrpessEarnedDiscount))*'2Day Base'!B119)*(1+ExpressFuelSurcharge),2)))*(1+FedEx_Markup),2)</f>
        <v>122.53</v>
      </c>
      <c r="C122" s="218">
        <f>ROUND((IF(MinBase2Day&gt;ROUND(((1-(TwoDayDiscount_21_Up+FedExExrpessEarnedDiscount))*'2Day Base'!C119),2),ROUND(MinBase2Day*(1+ExpressFuelSurcharge),2),ROUND(((1-(TwoDayDiscount_21_Up+FedExExrpessEarnedDiscount))*'2Day Base'!C119)*(1+ExpressFuelSurcharge),2)))*(1+FedEx_Markup),2)</f>
        <v>153.32</v>
      </c>
      <c r="D122" s="218">
        <f>ROUND((IF(MinBase2Day&gt;ROUND(((1-(TwoDayDiscount_21_Up+FedExExrpessEarnedDiscount))*'2Day Base'!D119),2),ROUND(MinBase2Day*(1+ExpressFuelSurcharge),2),ROUND(((1-(TwoDayDiscount_21_Up+FedExExrpessEarnedDiscount))*'2Day Base'!D119)*(1+ExpressFuelSurcharge),2)))*(1+FedEx_Markup),2)</f>
        <v>201.34</v>
      </c>
      <c r="E122" s="218">
        <f>ROUND((IF(MinBase2Day&gt;ROUND(((1-(TwoDayDiscount_21_Up+FedExExrpessEarnedDiscount))*'2Day Base'!E119),2),ROUND(MinBase2Day*(1+ExpressFuelSurcharge),2),ROUND(((1-(TwoDayDiscount_21_Up+FedExExrpessEarnedDiscount))*'2Day Base'!E119)*(1+ExpressFuelSurcharge),2)))*(1+FedEx_Markup),2)</f>
        <v>300.48</v>
      </c>
      <c r="F122" s="218">
        <f>ROUND((IF(MinBase2Day&gt;ROUND(((1-(TwoDayDiscount_21_Up+FedExExrpessEarnedDiscount))*'2Day Base'!F119),2),ROUND(MinBase2Day*(1+ExpressFuelSurcharge),2),ROUND(((1-(TwoDayDiscount_21_Up+FedExExrpessEarnedDiscount))*'2Day Base'!F119)*(1+ExpressFuelSurcharge),2)))*(1+FedEx_Markup),2)</f>
        <v>477.19</v>
      </c>
      <c r="G122" s="218">
        <f>ROUND((IF(MinBase2Day&gt;ROUND(((1-(TwoDayDiscount_21_Up+FedExExrpessEarnedDiscount))*'2Day Base'!G119),2),ROUND(MinBase2Day*(1+ExpressFuelSurcharge),2),ROUND(((1-(TwoDayDiscount_21_Up+FedExExrpessEarnedDiscount))*'2Day Base'!G119)*(1+ExpressFuelSurcharge),2)))*(1+FedEx_Markup),2)</f>
        <v>544.30999999999995</v>
      </c>
      <c r="H122" s="218">
        <f>ROUND((IF(MinBase2Day&gt;ROUND(((1-(TwoDayDiscount_21_Up+FedExExrpessEarnedDiscount))*'2Day Base'!H119),2),ROUND(MinBase2Day*(1+ExpressFuelSurcharge),2),ROUND(((1-(TwoDayDiscount_21_Up+FedExExrpessEarnedDiscount))*'2Day Base'!H119)*(1+ExpressFuelSurcharge),2)))*(1+FedEx_Markup),2)</f>
        <v>560.94000000000005</v>
      </c>
      <c r="I122" s="218">
        <f>ROUND((IF(MinBase2Day&gt;ROUND(((1-(TwoDayDiscount_21_Up+FedExExrpessEarnedDiscount))*'2Day Base'!I119),2),ROUND(MinBase2Day*(1+ExpressFuelSurcharge),2),ROUND(((1-(TwoDayDiscount_21_Up+FedExExrpessEarnedDiscount))*'2Day Base'!I119)*(1+ExpressFuelSurcharge),2)))*(1+FedEx_Markup),2)</f>
        <v>572.63</v>
      </c>
      <c r="J122" s="218">
        <f>ROUND((IF(MinBase2Day&gt;ROUND(((1-(TwoDayDiscount_21_Up+FedExExrpessEarnedDiscount))*'2Day Base'!J119),2),ROUND(MinBase2Day*(1+ExpressFuelSurcharge),2),ROUND(((1-(TwoDayDiscount_21_Up+FedExExrpessEarnedDiscount))*'2Day Base'!J119)*(1+ExpressFuelSurcharge),2)))*(1+FedEx_Markup),2)</f>
        <v>572.63</v>
      </c>
      <c r="K122" s="218">
        <f>ROUND((IF(MinBase2Day&gt;ROUND(((1-(TwoDayDiscount_21_Up+FedExExrpessEarnedDiscount))*'2Day Base'!K119),2),ROUND(MinBase2Day*(1+ExpressFuelSurcharge),2),ROUND(((1-(TwoDayDiscount_21_Up+FedExExrpessEarnedDiscount))*'2Day Base'!K119)*(1+ExpressFuelSurcharge),2)))*(1+FedEx_Markup),2)</f>
        <v>584.95000000000005</v>
      </c>
      <c r="L122" s="218">
        <f>ROUND((IF(MinBase2Day&gt;ROUND(((1-(TwoDayDiscount_21_Up+FedExExrpessEarnedDiscount))*'2Day Base'!L119),2),ROUND(MinBase2Day*(1+ExpressFuelSurcharge),2),ROUND(((1-(TwoDayDiscount_21_Up+FedExExrpessEarnedDiscount))*'2Day Base'!L119)*(1+ExpressFuelSurcharge),2)))*(1+FedEx_Markup),2)</f>
        <v>584.95000000000005</v>
      </c>
    </row>
    <row r="123" spans="1:26" ht="12.75" customHeight="1">
      <c r="A123" s="217">
        <v>118</v>
      </c>
      <c r="B123" s="218">
        <f>ROUND((IF(MinBase2Day&gt;ROUND(((1-(TwoDayDiscount_21_Up+FedExExrpessEarnedDiscount))*'2Day Base'!B120),2),ROUND(MinBase2Day*(1+ExpressFuelSurcharge),2),ROUND(((1-(TwoDayDiscount_21_Up+FedExExrpessEarnedDiscount))*'2Day Base'!B120)*(1+ExpressFuelSurcharge),2)))*(1+FedEx_Markup),2)</f>
        <v>123.58</v>
      </c>
      <c r="C123" s="218">
        <f>ROUND((IF(MinBase2Day&gt;ROUND(((1-(TwoDayDiscount_21_Up+FedExExrpessEarnedDiscount))*'2Day Base'!C120),2),ROUND(MinBase2Day*(1+ExpressFuelSurcharge),2),ROUND(((1-(TwoDayDiscount_21_Up+FedExExrpessEarnedDiscount))*'2Day Base'!C120)*(1+ExpressFuelSurcharge),2)))*(1+FedEx_Markup),2)</f>
        <v>154.63</v>
      </c>
      <c r="D123" s="218">
        <f>ROUND((IF(MinBase2Day&gt;ROUND(((1-(TwoDayDiscount_21_Up+FedExExrpessEarnedDiscount))*'2Day Base'!D120),2),ROUND(MinBase2Day*(1+ExpressFuelSurcharge),2),ROUND(((1-(TwoDayDiscount_21_Up+FedExExrpessEarnedDiscount))*'2Day Base'!D120)*(1+ExpressFuelSurcharge),2)))*(1+FedEx_Markup),2)</f>
        <v>203.07</v>
      </c>
      <c r="E123" s="218">
        <f>ROUND((IF(MinBase2Day&gt;ROUND(((1-(TwoDayDiscount_21_Up+FedExExrpessEarnedDiscount))*'2Day Base'!E120),2),ROUND(MinBase2Day*(1+ExpressFuelSurcharge),2),ROUND(((1-(TwoDayDiscount_21_Up+FedExExrpessEarnedDiscount))*'2Day Base'!E120)*(1+ExpressFuelSurcharge),2)))*(1+FedEx_Markup),2)</f>
        <v>303.05</v>
      </c>
      <c r="F123" s="218">
        <f>ROUND((IF(MinBase2Day&gt;ROUND(((1-(TwoDayDiscount_21_Up+FedExExrpessEarnedDiscount))*'2Day Base'!F120),2),ROUND(MinBase2Day*(1+ExpressFuelSurcharge),2),ROUND(((1-(TwoDayDiscount_21_Up+FedExExrpessEarnedDiscount))*'2Day Base'!F120)*(1+ExpressFuelSurcharge),2)))*(1+FedEx_Markup),2)</f>
        <v>481.28</v>
      </c>
      <c r="G123" s="218">
        <f>ROUND((IF(MinBase2Day&gt;ROUND(((1-(TwoDayDiscount_21_Up+FedExExrpessEarnedDiscount))*'2Day Base'!G120),2),ROUND(MinBase2Day*(1+ExpressFuelSurcharge),2),ROUND(((1-(TwoDayDiscount_21_Up+FedExExrpessEarnedDiscount))*'2Day Base'!G120)*(1+ExpressFuelSurcharge),2)))*(1+FedEx_Markup),2)</f>
        <v>548.96</v>
      </c>
      <c r="H123" s="218">
        <f>ROUND((IF(MinBase2Day&gt;ROUND(((1-(TwoDayDiscount_21_Up+FedExExrpessEarnedDiscount))*'2Day Base'!H120),2),ROUND(MinBase2Day*(1+ExpressFuelSurcharge),2),ROUND(((1-(TwoDayDiscount_21_Up+FedExExrpessEarnedDiscount))*'2Day Base'!H120)*(1+ExpressFuelSurcharge),2)))*(1+FedEx_Markup),2)</f>
        <v>565.73</v>
      </c>
      <c r="I123" s="218">
        <f>ROUND((IF(MinBase2Day&gt;ROUND(((1-(TwoDayDiscount_21_Up+FedExExrpessEarnedDiscount))*'2Day Base'!I120),2),ROUND(MinBase2Day*(1+ExpressFuelSurcharge),2),ROUND(((1-(TwoDayDiscount_21_Up+FedExExrpessEarnedDiscount))*'2Day Base'!I120)*(1+ExpressFuelSurcharge),2)))*(1+FedEx_Markup),2)</f>
        <v>577.53</v>
      </c>
      <c r="J123" s="218">
        <f>ROUND((IF(MinBase2Day&gt;ROUND(((1-(TwoDayDiscount_21_Up+FedExExrpessEarnedDiscount))*'2Day Base'!J120),2),ROUND(MinBase2Day*(1+ExpressFuelSurcharge),2),ROUND(((1-(TwoDayDiscount_21_Up+FedExExrpessEarnedDiscount))*'2Day Base'!J120)*(1+ExpressFuelSurcharge),2)))*(1+FedEx_Markup),2)</f>
        <v>577.53</v>
      </c>
      <c r="K123" s="218">
        <f>ROUND((IF(MinBase2Day&gt;ROUND(((1-(TwoDayDiscount_21_Up+FedExExrpessEarnedDiscount))*'2Day Base'!K120),2),ROUND(MinBase2Day*(1+ExpressFuelSurcharge),2),ROUND(((1-(TwoDayDiscount_21_Up+FedExExrpessEarnedDiscount))*'2Day Base'!K120)*(1+ExpressFuelSurcharge),2)))*(1+FedEx_Markup),2)</f>
        <v>589.95000000000005</v>
      </c>
      <c r="L123" s="218">
        <f>ROUND((IF(MinBase2Day&gt;ROUND(((1-(TwoDayDiscount_21_Up+FedExExrpessEarnedDiscount))*'2Day Base'!L120),2),ROUND(MinBase2Day*(1+ExpressFuelSurcharge),2),ROUND(((1-(TwoDayDiscount_21_Up+FedExExrpessEarnedDiscount))*'2Day Base'!L120)*(1+ExpressFuelSurcharge),2)))*(1+FedEx_Markup),2)</f>
        <v>589.95000000000005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>
      <c r="A124" s="217">
        <v>119</v>
      </c>
      <c r="B124" s="218">
        <f>ROUND((IF(MinBase2Day&gt;ROUND(((1-(TwoDayDiscount_21_Up+FedExExrpessEarnedDiscount))*'2Day Base'!B121),2),ROUND(MinBase2Day*(1+ExpressFuelSurcharge),2),ROUND(((1-(TwoDayDiscount_21_Up+FedExExrpessEarnedDiscount))*'2Day Base'!B121)*(1+ExpressFuelSurcharge),2)))*(1+FedEx_Markup),2)</f>
        <v>124.63</v>
      </c>
      <c r="C124" s="218">
        <f>ROUND((IF(MinBase2Day&gt;ROUND(((1-(TwoDayDiscount_21_Up+FedExExrpessEarnedDiscount))*'2Day Base'!C121),2),ROUND(MinBase2Day*(1+ExpressFuelSurcharge),2),ROUND(((1-(TwoDayDiscount_21_Up+FedExExrpessEarnedDiscount))*'2Day Base'!C121)*(1+ExpressFuelSurcharge),2)))*(1+FedEx_Markup),2)</f>
        <v>155.94</v>
      </c>
      <c r="D124" s="218">
        <f>ROUND((IF(MinBase2Day&gt;ROUND(((1-(TwoDayDiscount_21_Up+FedExExrpessEarnedDiscount))*'2Day Base'!D121),2),ROUND(MinBase2Day*(1+ExpressFuelSurcharge),2),ROUND(((1-(TwoDayDiscount_21_Up+FedExExrpessEarnedDiscount))*'2Day Base'!D121)*(1+ExpressFuelSurcharge),2)))*(1+FedEx_Markup),2)</f>
        <v>204.79</v>
      </c>
      <c r="E124" s="218">
        <f>ROUND((IF(MinBase2Day&gt;ROUND(((1-(TwoDayDiscount_21_Up+FedExExrpessEarnedDiscount))*'2Day Base'!E121),2),ROUND(MinBase2Day*(1+ExpressFuelSurcharge),2),ROUND(((1-(TwoDayDiscount_21_Up+FedExExrpessEarnedDiscount))*'2Day Base'!E121)*(1+ExpressFuelSurcharge),2)))*(1+FedEx_Markup),2)</f>
        <v>305.61</v>
      </c>
      <c r="F124" s="218">
        <f>ROUND((IF(MinBase2Day&gt;ROUND(((1-(TwoDayDiscount_21_Up+FedExExrpessEarnedDiscount))*'2Day Base'!F121),2),ROUND(MinBase2Day*(1+ExpressFuelSurcharge),2),ROUND(((1-(TwoDayDiscount_21_Up+FedExExrpessEarnedDiscount))*'2Day Base'!F121)*(1+ExpressFuelSurcharge),2)))*(1+FedEx_Markup),2)</f>
        <v>485.35</v>
      </c>
      <c r="G124" s="218">
        <f>ROUND((IF(MinBase2Day&gt;ROUND(((1-(TwoDayDiscount_21_Up+FedExExrpessEarnedDiscount))*'2Day Base'!G121),2),ROUND(MinBase2Day*(1+ExpressFuelSurcharge),2),ROUND(((1-(TwoDayDiscount_21_Up+FedExExrpessEarnedDiscount))*'2Day Base'!G121)*(1+ExpressFuelSurcharge),2)))*(1+FedEx_Markup),2)</f>
        <v>553.61</v>
      </c>
      <c r="H124" s="218">
        <f>ROUND((IF(MinBase2Day&gt;ROUND(((1-(TwoDayDiscount_21_Up+FedExExrpessEarnedDiscount))*'2Day Base'!H121),2),ROUND(MinBase2Day*(1+ExpressFuelSurcharge),2),ROUND(((1-(TwoDayDiscount_21_Up+FedExExrpessEarnedDiscount))*'2Day Base'!H121)*(1+ExpressFuelSurcharge),2)))*(1+FedEx_Markup),2)</f>
        <v>570.53</v>
      </c>
      <c r="I124" s="218">
        <f>ROUND((IF(MinBase2Day&gt;ROUND(((1-(TwoDayDiscount_21_Up+FedExExrpessEarnedDiscount))*'2Day Base'!I121),2),ROUND(MinBase2Day*(1+ExpressFuelSurcharge),2),ROUND(((1-(TwoDayDiscount_21_Up+FedExExrpessEarnedDiscount))*'2Day Base'!I121)*(1+ExpressFuelSurcharge),2)))*(1+FedEx_Markup),2)</f>
        <v>582.41999999999996</v>
      </c>
      <c r="J124" s="218">
        <f>ROUND((IF(MinBase2Day&gt;ROUND(((1-(TwoDayDiscount_21_Up+FedExExrpessEarnedDiscount))*'2Day Base'!J121),2),ROUND(MinBase2Day*(1+ExpressFuelSurcharge),2),ROUND(((1-(TwoDayDiscount_21_Up+FedExExrpessEarnedDiscount))*'2Day Base'!J121)*(1+ExpressFuelSurcharge),2)))*(1+FedEx_Markup),2)</f>
        <v>582.41999999999996</v>
      </c>
      <c r="K124" s="218">
        <f>ROUND((IF(MinBase2Day&gt;ROUND(((1-(TwoDayDiscount_21_Up+FedExExrpessEarnedDiscount))*'2Day Base'!K121),2),ROUND(MinBase2Day*(1+ExpressFuelSurcharge),2),ROUND(((1-(TwoDayDiscount_21_Up+FedExExrpessEarnedDiscount))*'2Day Base'!K121)*(1+ExpressFuelSurcharge),2)))*(1+FedEx_Markup),2)</f>
        <v>594.95000000000005</v>
      </c>
      <c r="L124" s="218">
        <f>ROUND((IF(MinBase2Day&gt;ROUND(((1-(TwoDayDiscount_21_Up+FedExExrpessEarnedDiscount))*'2Day Base'!L121),2),ROUND(MinBase2Day*(1+ExpressFuelSurcharge),2),ROUND(((1-(TwoDayDiscount_21_Up+FedExExrpessEarnedDiscount))*'2Day Base'!L121)*(1+ExpressFuelSurcharge),2)))*(1+FedEx_Markup),2)</f>
        <v>594.95000000000005</v>
      </c>
    </row>
    <row r="125" spans="1:26" ht="12.75" customHeight="1">
      <c r="A125" s="217">
        <v>120</v>
      </c>
      <c r="B125" s="218">
        <f>ROUND((IF(MinBase2Day&gt;ROUND(((1-(TwoDayDiscount_21_Up+FedExExrpessEarnedDiscount))*'2Day Base'!B122),2),ROUND(MinBase2Day*(1+ExpressFuelSurcharge),2),ROUND(((1-(TwoDayDiscount_21_Up+FedExExrpessEarnedDiscount))*'2Day Base'!B122)*(1+ExpressFuelSurcharge),2)))*(1+FedEx_Markup),2)</f>
        <v>125.67</v>
      </c>
      <c r="C125" s="218">
        <f>ROUND((IF(MinBase2Day&gt;ROUND(((1-(TwoDayDiscount_21_Up+FedExExrpessEarnedDiscount))*'2Day Base'!C122),2),ROUND(MinBase2Day*(1+ExpressFuelSurcharge),2),ROUND(((1-(TwoDayDiscount_21_Up+FedExExrpessEarnedDiscount))*'2Day Base'!C122)*(1+ExpressFuelSurcharge),2)))*(1+FedEx_Markup),2)</f>
        <v>157.25</v>
      </c>
      <c r="D125" s="218">
        <f>ROUND((IF(MinBase2Day&gt;ROUND(((1-(TwoDayDiscount_21_Up+FedExExrpessEarnedDiscount))*'2Day Base'!D122),2),ROUND(MinBase2Day*(1+ExpressFuelSurcharge),2),ROUND(((1-(TwoDayDiscount_21_Up+FedExExrpessEarnedDiscount))*'2Day Base'!D122)*(1+ExpressFuelSurcharge),2)))*(1+FedEx_Markup),2)</f>
        <v>206.51</v>
      </c>
      <c r="E125" s="218">
        <f>ROUND((IF(MinBase2Day&gt;ROUND(((1-(TwoDayDiscount_21_Up+FedExExrpessEarnedDiscount))*'2Day Base'!E122),2),ROUND(MinBase2Day*(1+ExpressFuelSurcharge),2),ROUND(((1-(TwoDayDiscount_21_Up+FedExExrpessEarnedDiscount))*'2Day Base'!E122)*(1+ExpressFuelSurcharge),2)))*(1+FedEx_Markup),2)</f>
        <v>308.19</v>
      </c>
      <c r="F125" s="218">
        <f>ROUND((IF(MinBase2Day&gt;ROUND(((1-(TwoDayDiscount_21_Up+FedExExrpessEarnedDiscount))*'2Day Base'!F122),2),ROUND(MinBase2Day*(1+ExpressFuelSurcharge),2),ROUND(((1-(TwoDayDiscount_21_Up+FedExExrpessEarnedDiscount))*'2Day Base'!F122)*(1+ExpressFuelSurcharge),2)))*(1+FedEx_Markup),2)</f>
        <v>489.43</v>
      </c>
      <c r="G125" s="218">
        <f>ROUND((IF(MinBase2Day&gt;ROUND(((1-(TwoDayDiscount_21_Up+FedExExrpessEarnedDiscount))*'2Day Base'!G122),2),ROUND(MinBase2Day*(1+ExpressFuelSurcharge),2),ROUND(((1-(TwoDayDiscount_21_Up+FedExExrpessEarnedDiscount))*'2Day Base'!G122)*(1+ExpressFuelSurcharge),2)))*(1+FedEx_Markup),2)</f>
        <v>558.27</v>
      </c>
      <c r="H125" s="218">
        <f>ROUND((IF(MinBase2Day&gt;ROUND(((1-(TwoDayDiscount_21_Up+FedExExrpessEarnedDiscount))*'2Day Base'!H122),2),ROUND(MinBase2Day*(1+ExpressFuelSurcharge),2),ROUND(((1-(TwoDayDiscount_21_Up+FedExExrpessEarnedDiscount))*'2Day Base'!H122)*(1+ExpressFuelSurcharge),2)))*(1+FedEx_Markup),2)</f>
        <v>575.32000000000005</v>
      </c>
      <c r="I125" s="218">
        <f>ROUND((IF(MinBase2Day&gt;ROUND(((1-(TwoDayDiscount_21_Up+FedExExrpessEarnedDiscount))*'2Day Base'!I122),2),ROUND(MinBase2Day*(1+ExpressFuelSurcharge),2),ROUND(((1-(TwoDayDiscount_21_Up+FedExExrpessEarnedDiscount))*'2Day Base'!I122)*(1+ExpressFuelSurcharge),2)))*(1+FedEx_Markup),2)</f>
        <v>587.32000000000005</v>
      </c>
      <c r="J125" s="218">
        <f>ROUND((IF(MinBase2Day&gt;ROUND(((1-(TwoDayDiscount_21_Up+FedExExrpessEarnedDiscount))*'2Day Base'!J122),2),ROUND(MinBase2Day*(1+ExpressFuelSurcharge),2),ROUND(((1-(TwoDayDiscount_21_Up+FedExExrpessEarnedDiscount))*'2Day Base'!J122)*(1+ExpressFuelSurcharge),2)))*(1+FedEx_Markup),2)</f>
        <v>587.32000000000005</v>
      </c>
      <c r="K125" s="218">
        <f>ROUND((IF(MinBase2Day&gt;ROUND(((1-(TwoDayDiscount_21_Up+FedExExrpessEarnedDiscount))*'2Day Base'!K122),2),ROUND(MinBase2Day*(1+ExpressFuelSurcharge),2),ROUND(((1-(TwoDayDiscount_21_Up+FedExExrpessEarnedDiscount))*'2Day Base'!K122)*(1+ExpressFuelSurcharge),2)))*(1+FedEx_Markup),2)</f>
        <v>599.94000000000005</v>
      </c>
      <c r="L125" s="218">
        <f>ROUND((IF(MinBase2Day&gt;ROUND(((1-(TwoDayDiscount_21_Up+FedExExrpessEarnedDiscount))*'2Day Base'!L122),2),ROUND(MinBase2Day*(1+ExpressFuelSurcharge),2),ROUND(((1-(TwoDayDiscount_21_Up+FedExExrpessEarnedDiscount))*'2Day Base'!L122)*(1+ExpressFuelSurcharge),2)))*(1+FedEx_Markup),2)</f>
        <v>599.94000000000005</v>
      </c>
    </row>
    <row r="126" spans="1:26" ht="12.75" customHeight="1">
      <c r="A126" s="217">
        <v>121</v>
      </c>
      <c r="B126" s="218">
        <f>ROUND((IF(MinBase2Day&gt;ROUND(((1-(TwoDayDiscount_21_Up+FedExExrpessEarnedDiscount))*'2Day Base'!B123),2),ROUND(MinBase2Day*(1+ExpressFuelSurcharge),2),ROUND(((1-(TwoDayDiscount_21_Up+FedExExrpessEarnedDiscount))*'2Day Base'!B123)*(1+ExpressFuelSurcharge),2)))*(1+FedEx_Markup),2)</f>
        <v>126.72</v>
      </c>
      <c r="C126" s="218">
        <f>ROUND((IF(MinBase2Day&gt;ROUND(((1-(TwoDayDiscount_21_Up+FedExExrpessEarnedDiscount))*'2Day Base'!C123),2),ROUND(MinBase2Day*(1+ExpressFuelSurcharge),2),ROUND(((1-(TwoDayDiscount_21_Up+FedExExrpessEarnedDiscount))*'2Day Base'!C123)*(1+ExpressFuelSurcharge),2)))*(1+FedEx_Markup),2)</f>
        <v>158.56</v>
      </c>
      <c r="D126" s="218">
        <f>ROUND((IF(MinBase2Day&gt;ROUND(((1-(TwoDayDiscount_21_Up+FedExExrpessEarnedDiscount))*'2Day Base'!D123),2),ROUND(MinBase2Day*(1+ExpressFuelSurcharge),2),ROUND(((1-(TwoDayDiscount_21_Up+FedExExrpessEarnedDiscount))*'2Day Base'!D123)*(1+ExpressFuelSurcharge),2)))*(1+FedEx_Markup),2)</f>
        <v>208.23</v>
      </c>
      <c r="E126" s="218">
        <f>ROUND((IF(MinBase2Day&gt;ROUND(((1-(TwoDayDiscount_21_Up+FedExExrpessEarnedDiscount))*'2Day Base'!E123),2),ROUND(MinBase2Day*(1+ExpressFuelSurcharge),2),ROUND(((1-(TwoDayDiscount_21_Up+FedExExrpessEarnedDiscount))*'2Day Base'!E123)*(1+ExpressFuelSurcharge),2)))*(1+FedEx_Markup),2)</f>
        <v>310.75</v>
      </c>
      <c r="F126" s="218">
        <f>ROUND((IF(MinBase2Day&gt;ROUND(((1-(TwoDayDiscount_21_Up+FedExExrpessEarnedDiscount))*'2Day Base'!F123),2),ROUND(MinBase2Day*(1+ExpressFuelSurcharge),2),ROUND(((1-(TwoDayDiscount_21_Up+FedExExrpessEarnedDiscount))*'2Day Base'!F123)*(1+ExpressFuelSurcharge),2)))*(1+FedEx_Markup),2)</f>
        <v>493.51</v>
      </c>
      <c r="G126" s="218">
        <f>ROUND((IF(MinBase2Day&gt;ROUND(((1-(TwoDayDiscount_21_Up+FedExExrpessEarnedDiscount))*'2Day Base'!G123),2),ROUND(MinBase2Day*(1+ExpressFuelSurcharge),2),ROUND(((1-(TwoDayDiscount_21_Up+FedExExrpessEarnedDiscount))*'2Day Base'!G123)*(1+ExpressFuelSurcharge),2)))*(1+FedEx_Markup),2)</f>
        <v>562.91</v>
      </c>
      <c r="H126" s="218">
        <f>ROUND((IF(MinBase2Day&gt;ROUND(((1-(TwoDayDiscount_21_Up+FedExExrpessEarnedDiscount))*'2Day Base'!H123),2),ROUND(MinBase2Day*(1+ExpressFuelSurcharge),2),ROUND(((1-(TwoDayDiscount_21_Up+FedExExrpessEarnedDiscount))*'2Day Base'!H123)*(1+ExpressFuelSurcharge),2)))*(1+FedEx_Markup),2)</f>
        <v>580.11</v>
      </c>
      <c r="I126" s="218">
        <f>ROUND((IF(MinBase2Day&gt;ROUND(((1-(TwoDayDiscount_21_Up+FedExExrpessEarnedDiscount))*'2Day Base'!I123),2),ROUND(MinBase2Day*(1+ExpressFuelSurcharge),2),ROUND(((1-(TwoDayDiscount_21_Up+FedExExrpessEarnedDiscount))*'2Day Base'!I123)*(1+ExpressFuelSurcharge),2)))*(1+FedEx_Markup),2)</f>
        <v>592.22</v>
      </c>
      <c r="J126" s="218">
        <f>ROUND((IF(MinBase2Day&gt;ROUND(((1-(TwoDayDiscount_21_Up+FedExExrpessEarnedDiscount))*'2Day Base'!J123),2),ROUND(MinBase2Day*(1+ExpressFuelSurcharge),2),ROUND(((1-(TwoDayDiscount_21_Up+FedExExrpessEarnedDiscount))*'2Day Base'!J123)*(1+ExpressFuelSurcharge),2)))*(1+FedEx_Markup),2)</f>
        <v>592.22</v>
      </c>
      <c r="K126" s="218">
        <f>ROUND((IF(MinBase2Day&gt;ROUND(((1-(TwoDayDiscount_21_Up+FedExExrpessEarnedDiscount))*'2Day Base'!K123),2),ROUND(MinBase2Day*(1+ExpressFuelSurcharge),2),ROUND(((1-(TwoDayDiscount_21_Up+FedExExrpessEarnedDiscount))*'2Day Base'!K123)*(1+ExpressFuelSurcharge),2)))*(1+FedEx_Markup),2)</f>
        <v>604.95000000000005</v>
      </c>
      <c r="L126" s="218">
        <f>ROUND((IF(MinBase2Day&gt;ROUND(((1-(TwoDayDiscount_21_Up+FedExExrpessEarnedDiscount))*'2Day Base'!L123),2),ROUND(MinBase2Day*(1+ExpressFuelSurcharge),2),ROUND(((1-(TwoDayDiscount_21_Up+FedExExrpessEarnedDiscount))*'2Day Base'!L123)*(1+ExpressFuelSurcharge),2)))*(1+FedEx_Markup),2)</f>
        <v>604.95000000000005</v>
      </c>
    </row>
    <row r="127" spans="1:26" ht="12.75" customHeight="1">
      <c r="A127" s="217">
        <v>122</v>
      </c>
      <c r="B127" s="218">
        <f>ROUND((IF(MinBase2Day&gt;ROUND(((1-(TwoDayDiscount_21_Up+FedExExrpessEarnedDiscount))*'2Day Base'!B124),2),ROUND(MinBase2Day*(1+ExpressFuelSurcharge),2),ROUND(((1-(TwoDayDiscount_21_Up+FedExExrpessEarnedDiscount))*'2Day Base'!B124)*(1+ExpressFuelSurcharge),2)))*(1+FedEx_Markup),2)</f>
        <v>127.77</v>
      </c>
      <c r="C127" s="218">
        <f>ROUND((IF(MinBase2Day&gt;ROUND(((1-(TwoDayDiscount_21_Up+FedExExrpessEarnedDiscount))*'2Day Base'!C124),2),ROUND(MinBase2Day*(1+ExpressFuelSurcharge),2),ROUND(((1-(TwoDayDiscount_21_Up+FedExExrpessEarnedDiscount))*'2Day Base'!C124)*(1+ExpressFuelSurcharge),2)))*(1+FedEx_Markup),2)</f>
        <v>159.87</v>
      </c>
      <c r="D127" s="218">
        <f>ROUND((IF(MinBase2Day&gt;ROUND(((1-(TwoDayDiscount_21_Up+FedExExrpessEarnedDiscount))*'2Day Base'!D124),2),ROUND(MinBase2Day*(1+ExpressFuelSurcharge),2),ROUND(((1-(TwoDayDiscount_21_Up+FedExExrpessEarnedDiscount))*'2Day Base'!D124)*(1+ExpressFuelSurcharge),2)))*(1+FedEx_Markup),2)</f>
        <v>209.94</v>
      </c>
      <c r="E127" s="218">
        <f>ROUND((IF(MinBase2Day&gt;ROUND(((1-(TwoDayDiscount_21_Up+FedExExrpessEarnedDiscount))*'2Day Base'!E124),2),ROUND(MinBase2Day*(1+ExpressFuelSurcharge),2),ROUND(((1-(TwoDayDiscount_21_Up+FedExExrpessEarnedDiscount))*'2Day Base'!E124)*(1+ExpressFuelSurcharge),2)))*(1+FedEx_Markup),2)</f>
        <v>313.32</v>
      </c>
      <c r="F127" s="218">
        <f>ROUND((IF(MinBase2Day&gt;ROUND(((1-(TwoDayDiscount_21_Up+FedExExrpessEarnedDiscount))*'2Day Base'!F124),2),ROUND(MinBase2Day*(1+ExpressFuelSurcharge),2),ROUND(((1-(TwoDayDiscount_21_Up+FedExExrpessEarnedDiscount))*'2Day Base'!F124)*(1+ExpressFuelSurcharge),2)))*(1+FedEx_Markup),2)</f>
        <v>497.58</v>
      </c>
      <c r="G127" s="218">
        <f>ROUND((IF(MinBase2Day&gt;ROUND(((1-(TwoDayDiscount_21_Up+FedExExrpessEarnedDiscount))*'2Day Base'!G124),2),ROUND(MinBase2Day*(1+ExpressFuelSurcharge),2),ROUND(((1-(TwoDayDiscount_21_Up+FedExExrpessEarnedDiscount))*'2Day Base'!G124)*(1+ExpressFuelSurcharge),2)))*(1+FedEx_Markup),2)</f>
        <v>567.57000000000005</v>
      </c>
      <c r="H127" s="218">
        <f>ROUND((IF(MinBase2Day&gt;ROUND(((1-(TwoDayDiscount_21_Up+FedExExrpessEarnedDiscount))*'2Day Base'!H124),2),ROUND(MinBase2Day*(1+ExpressFuelSurcharge),2),ROUND(((1-(TwoDayDiscount_21_Up+FedExExrpessEarnedDiscount))*'2Day Base'!H124)*(1+ExpressFuelSurcharge),2)))*(1+FedEx_Markup),2)</f>
        <v>584.9</v>
      </c>
      <c r="I127" s="218">
        <f>ROUND((IF(MinBase2Day&gt;ROUND(((1-(TwoDayDiscount_21_Up+FedExExrpessEarnedDiscount))*'2Day Base'!I124),2),ROUND(MinBase2Day*(1+ExpressFuelSurcharge),2),ROUND(((1-(TwoDayDiscount_21_Up+FedExExrpessEarnedDiscount))*'2Day Base'!I124)*(1+ExpressFuelSurcharge),2)))*(1+FedEx_Markup),2)</f>
        <v>597.1</v>
      </c>
      <c r="J127" s="218">
        <f>ROUND((IF(MinBase2Day&gt;ROUND(((1-(TwoDayDiscount_21_Up+FedExExrpessEarnedDiscount))*'2Day Base'!J124),2),ROUND(MinBase2Day*(1+ExpressFuelSurcharge),2),ROUND(((1-(TwoDayDiscount_21_Up+FedExExrpessEarnedDiscount))*'2Day Base'!J124)*(1+ExpressFuelSurcharge),2)))*(1+FedEx_Markup),2)</f>
        <v>597.1</v>
      </c>
      <c r="K127" s="218">
        <f>ROUND((IF(MinBase2Day&gt;ROUND(((1-(TwoDayDiscount_21_Up+FedExExrpessEarnedDiscount))*'2Day Base'!K124),2),ROUND(MinBase2Day*(1+ExpressFuelSurcharge),2),ROUND(((1-(TwoDayDiscount_21_Up+FedExExrpessEarnedDiscount))*'2Day Base'!K124)*(1+ExpressFuelSurcharge),2)))*(1+FedEx_Markup),2)</f>
        <v>609.95000000000005</v>
      </c>
      <c r="L127" s="218">
        <f>ROUND((IF(MinBase2Day&gt;ROUND(((1-(TwoDayDiscount_21_Up+FedExExrpessEarnedDiscount))*'2Day Base'!L124),2),ROUND(MinBase2Day*(1+ExpressFuelSurcharge),2),ROUND(((1-(TwoDayDiscount_21_Up+FedExExrpessEarnedDiscount))*'2Day Base'!L124)*(1+ExpressFuelSurcharge),2)))*(1+FedEx_Markup),2)</f>
        <v>609.95000000000005</v>
      </c>
    </row>
    <row r="128" spans="1:26" ht="12.75" customHeight="1">
      <c r="A128" s="217">
        <v>123</v>
      </c>
      <c r="B128" s="218">
        <f>ROUND((IF(MinBase2Day&gt;ROUND(((1-(TwoDayDiscount_21_Up+FedExExrpessEarnedDiscount))*'2Day Base'!B125),2),ROUND(MinBase2Day*(1+ExpressFuelSurcharge),2),ROUND(((1-(TwoDayDiscount_21_Up+FedExExrpessEarnedDiscount))*'2Day Base'!B125)*(1+ExpressFuelSurcharge),2)))*(1+FedEx_Markup),2)</f>
        <v>128.81</v>
      </c>
      <c r="C128" s="218">
        <f>ROUND((IF(MinBase2Day&gt;ROUND(((1-(TwoDayDiscount_21_Up+FedExExrpessEarnedDiscount))*'2Day Base'!C125),2),ROUND(MinBase2Day*(1+ExpressFuelSurcharge),2),ROUND(((1-(TwoDayDiscount_21_Up+FedExExrpessEarnedDiscount))*'2Day Base'!C125)*(1+ExpressFuelSurcharge),2)))*(1+FedEx_Markup),2)</f>
        <v>161.18</v>
      </c>
      <c r="D128" s="218">
        <f>ROUND((IF(MinBase2Day&gt;ROUND(((1-(TwoDayDiscount_21_Up+FedExExrpessEarnedDiscount))*'2Day Base'!D125),2),ROUND(MinBase2Day*(1+ExpressFuelSurcharge),2),ROUND(((1-(TwoDayDiscount_21_Up+FedExExrpessEarnedDiscount))*'2Day Base'!D125)*(1+ExpressFuelSurcharge),2)))*(1+FedEx_Markup),2)</f>
        <v>211.67</v>
      </c>
      <c r="E128" s="218">
        <f>ROUND((IF(MinBase2Day&gt;ROUND(((1-(TwoDayDiscount_21_Up+FedExExrpessEarnedDiscount))*'2Day Base'!E125),2),ROUND(MinBase2Day*(1+ExpressFuelSurcharge),2),ROUND(((1-(TwoDayDiscount_21_Up+FedExExrpessEarnedDiscount))*'2Day Base'!E125)*(1+ExpressFuelSurcharge),2)))*(1+FedEx_Markup),2)</f>
        <v>315.88</v>
      </c>
      <c r="F128" s="218">
        <f>ROUND((IF(MinBase2Day&gt;ROUND(((1-(TwoDayDiscount_21_Up+FedExExrpessEarnedDiscount))*'2Day Base'!F125),2),ROUND(MinBase2Day*(1+ExpressFuelSurcharge),2),ROUND(((1-(TwoDayDiscount_21_Up+FedExExrpessEarnedDiscount))*'2Day Base'!F125)*(1+ExpressFuelSurcharge),2)))*(1+FedEx_Markup),2)</f>
        <v>501.66</v>
      </c>
      <c r="G128" s="218">
        <f>ROUND((IF(MinBase2Day&gt;ROUND(((1-(TwoDayDiscount_21_Up+FedExExrpessEarnedDiscount))*'2Day Base'!G125),2),ROUND(MinBase2Day*(1+ExpressFuelSurcharge),2),ROUND(((1-(TwoDayDiscount_21_Up+FedExExrpessEarnedDiscount))*'2Day Base'!G125)*(1+ExpressFuelSurcharge),2)))*(1+FedEx_Markup),2)</f>
        <v>572.22</v>
      </c>
      <c r="H128" s="218">
        <f>ROUND((IF(MinBase2Day&gt;ROUND(((1-(TwoDayDiscount_21_Up+FedExExrpessEarnedDiscount))*'2Day Base'!H125),2),ROUND(MinBase2Day*(1+ExpressFuelSurcharge),2),ROUND(((1-(TwoDayDiscount_21_Up+FedExExrpessEarnedDiscount))*'2Day Base'!H125)*(1+ExpressFuelSurcharge),2)))*(1+FedEx_Markup),2)</f>
        <v>589.70000000000005</v>
      </c>
      <c r="I128" s="218">
        <f>ROUND((IF(MinBase2Day&gt;ROUND(((1-(TwoDayDiscount_21_Up+FedExExrpessEarnedDiscount))*'2Day Base'!I125),2),ROUND(MinBase2Day*(1+ExpressFuelSurcharge),2),ROUND(((1-(TwoDayDiscount_21_Up+FedExExrpessEarnedDiscount))*'2Day Base'!I125)*(1+ExpressFuelSurcharge),2)))*(1+FedEx_Markup),2)</f>
        <v>602</v>
      </c>
      <c r="J128" s="218">
        <f>ROUND((IF(MinBase2Day&gt;ROUND(((1-(TwoDayDiscount_21_Up+FedExExrpessEarnedDiscount))*'2Day Base'!J125),2),ROUND(MinBase2Day*(1+ExpressFuelSurcharge),2),ROUND(((1-(TwoDayDiscount_21_Up+FedExExrpessEarnedDiscount))*'2Day Base'!J125)*(1+ExpressFuelSurcharge),2)))*(1+FedEx_Markup),2)</f>
        <v>602</v>
      </c>
      <c r="K128" s="218">
        <f>ROUND((IF(MinBase2Day&gt;ROUND(((1-(TwoDayDiscount_21_Up+FedExExrpessEarnedDiscount))*'2Day Base'!K125),2),ROUND(MinBase2Day*(1+ExpressFuelSurcharge),2),ROUND(((1-(TwoDayDiscount_21_Up+FedExExrpessEarnedDiscount))*'2Day Base'!K125)*(1+ExpressFuelSurcharge),2)))*(1+FedEx_Markup),2)</f>
        <v>614.94000000000005</v>
      </c>
      <c r="L128" s="218">
        <f>ROUND((IF(MinBase2Day&gt;ROUND(((1-(TwoDayDiscount_21_Up+FedExExrpessEarnedDiscount))*'2Day Base'!L125),2),ROUND(MinBase2Day*(1+ExpressFuelSurcharge),2),ROUND(((1-(TwoDayDiscount_21_Up+FedExExrpessEarnedDiscount))*'2Day Base'!L125)*(1+ExpressFuelSurcharge),2)))*(1+FedEx_Markup),2)</f>
        <v>614.94000000000005</v>
      </c>
    </row>
    <row r="129" spans="1:12" ht="12.75" customHeight="1">
      <c r="A129" s="217">
        <v>124</v>
      </c>
      <c r="B129" s="218">
        <f>ROUND((IF(MinBase2Day&gt;ROUND(((1-(TwoDayDiscount_21_Up+FedExExrpessEarnedDiscount))*'2Day Base'!B126),2),ROUND(MinBase2Day*(1+ExpressFuelSurcharge),2),ROUND(((1-(TwoDayDiscount_21_Up+FedExExrpessEarnedDiscount))*'2Day Base'!B126)*(1+ExpressFuelSurcharge),2)))*(1+FedEx_Markup),2)</f>
        <v>129.86000000000001</v>
      </c>
      <c r="C129" s="218">
        <f>ROUND((IF(MinBase2Day&gt;ROUND(((1-(TwoDayDiscount_21_Up+FedExExrpessEarnedDiscount))*'2Day Base'!C126),2),ROUND(MinBase2Day*(1+ExpressFuelSurcharge),2),ROUND(((1-(TwoDayDiscount_21_Up+FedExExrpessEarnedDiscount))*'2Day Base'!C126)*(1+ExpressFuelSurcharge),2)))*(1+FedEx_Markup),2)</f>
        <v>162.5</v>
      </c>
      <c r="D129" s="218">
        <f>ROUND((IF(MinBase2Day&gt;ROUND(((1-(TwoDayDiscount_21_Up+FedExExrpessEarnedDiscount))*'2Day Base'!D126),2),ROUND(MinBase2Day*(1+ExpressFuelSurcharge),2),ROUND(((1-(TwoDayDiscount_21_Up+FedExExrpessEarnedDiscount))*'2Day Base'!D126)*(1+ExpressFuelSurcharge),2)))*(1+FedEx_Markup),2)</f>
        <v>213.39</v>
      </c>
      <c r="E129" s="218">
        <f>ROUND((IF(MinBase2Day&gt;ROUND(((1-(TwoDayDiscount_21_Up+FedExExrpessEarnedDiscount))*'2Day Base'!E126),2),ROUND(MinBase2Day*(1+ExpressFuelSurcharge),2),ROUND(((1-(TwoDayDiscount_21_Up+FedExExrpessEarnedDiscount))*'2Day Base'!E126)*(1+ExpressFuelSurcharge),2)))*(1+FedEx_Markup),2)</f>
        <v>318.45999999999998</v>
      </c>
      <c r="F129" s="218">
        <f>ROUND((IF(MinBase2Day&gt;ROUND(((1-(TwoDayDiscount_21_Up+FedExExrpessEarnedDiscount))*'2Day Base'!F126),2),ROUND(MinBase2Day*(1+ExpressFuelSurcharge),2),ROUND(((1-(TwoDayDiscount_21_Up+FedExExrpessEarnedDiscount))*'2Day Base'!F126)*(1+ExpressFuelSurcharge),2)))*(1+FedEx_Markup),2)</f>
        <v>505.75</v>
      </c>
      <c r="G129" s="218">
        <f>ROUND((IF(MinBase2Day&gt;ROUND(((1-(TwoDayDiscount_21_Up+FedExExrpessEarnedDiscount))*'2Day Base'!G126),2),ROUND(MinBase2Day*(1+ExpressFuelSurcharge),2),ROUND(((1-(TwoDayDiscount_21_Up+FedExExrpessEarnedDiscount))*'2Day Base'!G126)*(1+ExpressFuelSurcharge),2)))*(1+FedEx_Markup),2)</f>
        <v>576.87</v>
      </c>
      <c r="H129" s="218">
        <f>ROUND((IF(MinBase2Day&gt;ROUND(((1-(TwoDayDiscount_21_Up+FedExExrpessEarnedDiscount))*'2Day Base'!H126),2),ROUND(MinBase2Day*(1+ExpressFuelSurcharge),2),ROUND(((1-(TwoDayDiscount_21_Up+FedExExrpessEarnedDiscount))*'2Day Base'!H126)*(1+ExpressFuelSurcharge),2)))*(1+FedEx_Markup),2)</f>
        <v>594.49</v>
      </c>
      <c r="I129" s="218">
        <f>ROUND((IF(MinBase2Day&gt;ROUND(((1-(TwoDayDiscount_21_Up+FedExExrpessEarnedDiscount))*'2Day Base'!I126),2),ROUND(MinBase2Day*(1+ExpressFuelSurcharge),2),ROUND(((1-(TwoDayDiscount_21_Up+FedExExrpessEarnedDiscount))*'2Day Base'!I126)*(1+ExpressFuelSurcharge),2)))*(1+FedEx_Markup),2)</f>
        <v>606.89</v>
      </c>
      <c r="J129" s="218">
        <f>ROUND((IF(MinBase2Day&gt;ROUND(((1-(TwoDayDiscount_21_Up+FedExExrpessEarnedDiscount))*'2Day Base'!J126),2),ROUND(MinBase2Day*(1+ExpressFuelSurcharge),2),ROUND(((1-(TwoDayDiscount_21_Up+FedExExrpessEarnedDiscount))*'2Day Base'!J126)*(1+ExpressFuelSurcharge),2)))*(1+FedEx_Markup),2)</f>
        <v>606.89</v>
      </c>
      <c r="K129" s="218">
        <f>ROUND((IF(MinBase2Day&gt;ROUND(((1-(TwoDayDiscount_21_Up+FedExExrpessEarnedDiscount))*'2Day Base'!K126),2),ROUND(MinBase2Day*(1+ExpressFuelSurcharge),2),ROUND(((1-(TwoDayDiscount_21_Up+FedExExrpessEarnedDiscount))*'2Day Base'!K126)*(1+ExpressFuelSurcharge),2)))*(1+FedEx_Markup),2)</f>
        <v>619.94000000000005</v>
      </c>
      <c r="L129" s="218">
        <f>ROUND((IF(MinBase2Day&gt;ROUND(((1-(TwoDayDiscount_21_Up+FedExExrpessEarnedDiscount))*'2Day Base'!L126),2),ROUND(MinBase2Day*(1+ExpressFuelSurcharge),2),ROUND(((1-(TwoDayDiscount_21_Up+FedExExrpessEarnedDiscount))*'2Day Base'!L126)*(1+ExpressFuelSurcharge),2)))*(1+FedEx_Markup),2)</f>
        <v>619.94000000000005</v>
      </c>
    </row>
    <row r="130" spans="1:12" ht="12.75" customHeight="1">
      <c r="A130" s="217">
        <v>125</v>
      </c>
      <c r="B130" s="218">
        <f>ROUND((IF(MinBase2Day&gt;ROUND(((1-(TwoDayDiscount_21_Up+FedExExrpessEarnedDiscount))*'2Day Base'!B127),2),ROUND(MinBase2Day*(1+ExpressFuelSurcharge),2),ROUND(((1-(TwoDayDiscount_21_Up+FedExExrpessEarnedDiscount))*'2Day Base'!B127)*(1+ExpressFuelSurcharge),2)))*(1+FedEx_Markup),2)</f>
        <v>130.9</v>
      </c>
      <c r="C130" s="218">
        <f>ROUND((IF(MinBase2Day&gt;ROUND(((1-(TwoDayDiscount_21_Up+FedExExrpessEarnedDiscount))*'2Day Base'!C127),2),ROUND(MinBase2Day*(1+ExpressFuelSurcharge),2),ROUND(((1-(TwoDayDiscount_21_Up+FedExExrpessEarnedDiscount))*'2Day Base'!C127)*(1+ExpressFuelSurcharge),2)))*(1+FedEx_Markup),2)</f>
        <v>163.81</v>
      </c>
      <c r="D130" s="218">
        <f>ROUND((IF(MinBase2Day&gt;ROUND(((1-(TwoDayDiscount_21_Up+FedExExrpessEarnedDiscount))*'2Day Base'!D127),2),ROUND(MinBase2Day*(1+ExpressFuelSurcharge),2),ROUND(((1-(TwoDayDiscount_21_Up+FedExExrpessEarnedDiscount))*'2Day Base'!D127)*(1+ExpressFuelSurcharge),2)))*(1+FedEx_Markup),2)</f>
        <v>215.11</v>
      </c>
      <c r="E130" s="218">
        <f>ROUND((IF(MinBase2Day&gt;ROUND(((1-(TwoDayDiscount_21_Up+FedExExrpessEarnedDiscount))*'2Day Base'!E127),2),ROUND(MinBase2Day*(1+ExpressFuelSurcharge),2),ROUND(((1-(TwoDayDiscount_21_Up+FedExExrpessEarnedDiscount))*'2Day Base'!E127)*(1+ExpressFuelSurcharge),2)))*(1+FedEx_Markup),2)</f>
        <v>321.02</v>
      </c>
      <c r="F130" s="218">
        <f>ROUND((IF(MinBase2Day&gt;ROUND(((1-(TwoDayDiscount_21_Up+FedExExrpessEarnedDiscount))*'2Day Base'!F127),2),ROUND(MinBase2Day*(1+ExpressFuelSurcharge),2),ROUND(((1-(TwoDayDiscount_21_Up+FedExExrpessEarnedDiscount))*'2Day Base'!F127)*(1+ExpressFuelSurcharge),2)))*(1+FedEx_Markup),2)</f>
        <v>509.82</v>
      </c>
      <c r="G130" s="218">
        <f>ROUND((IF(MinBase2Day&gt;ROUND(((1-(TwoDayDiscount_21_Up+FedExExrpessEarnedDiscount))*'2Day Base'!G127),2),ROUND(MinBase2Day*(1+ExpressFuelSurcharge),2),ROUND(((1-(TwoDayDiscount_21_Up+FedExExrpessEarnedDiscount))*'2Day Base'!G127)*(1+ExpressFuelSurcharge),2)))*(1+FedEx_Markup),2)</f>
        <v>581.53</v>
      </c>
      <c r="H130" s="218">
        <f>ROUND((IF(MinBase2Day&gt;ROUND(((1-(TwoDayDiscount_21_Up+FedExExrpessEarnedDiscount))*'2Day Base'!H127),2),ROUND(MinBase2Day*(1+ExpressFuelSurcharge),2),ROUND(((1-(TwoDayDiscount_21_Up+FedExExrpessEarnedDiscount))*'2Day Base'!H127)*(1+ExpressFuelSurcharge),2)))*(1+FedEx_Markup),2)</f>
        <v>599.29</v>
      </c>
      <c r="I130" s="218">
        <f>ROUND((IF(MinBase2Day&gt;ROUND(((1-(TwoDayDiscount_21_Up+FedExExrpessEarnedDiscount))*'2Day Base'!I127),2),ROUND(MinBase2Day*(1+ExpressFuelSurcharge),2),ROUND(((1-(TwoDayDiscount_21_Up+FedExExrpessEarnedDiscount))*'2Day Base'!I127)*(1+ExpressFuelSurcharge),2)))*(1+FedEx_Markup),2)</f>
        <v>611.79</v>
      </c>
      <c r="J130" s="218">
        <f>ROUND((IF(MinBase2Day&gt;ROUND(((1-(TwoDayDiscount_21_Up+FedExExrpessEarnedDiscount))*'2Day Base'!J127),2),ROUND(MinBase2Day*(1+ExpressFuelSurcharge),2),ROUND(((1-(TwoDayDiscount_21_Up+FedExExrpessEarnedDiscount))*'2Day Base'!J127)*(1+ExpressFuelSurcharge),2)))*(1+FedEx_Markup),2)</f>
        <v>611.79</v>
      </c>
      <c r="K130" s="218">
        <f>ROUND((IF(MinBase2Day&gt;ROUND(((1-(TwoDayDiscount_21_Up+FedExExrpessEarnedDiscount))*'2Day Base'!K127),2),ROUND(MinBase2Day*(1+ExpressFuelSurcharge),2),ROUND(((1-(TwoDayDiscount_21_Up+FedExExrpessEarnedDiscount))*'2Day Base'!K127)*(1+ExpressFuelSurcharge),2)))*(1+FedEx_Markup),2)</f>
        <v>624.94000000000005</v>
      </c>
      <c r="L130" s="218">
        <f>ROUND((IF(MinBase2Day&gt;ROUND(((1-(TwoDayDiscount_21_Up+FedExExrpessEarnedDiscount))*'2Day Base'!L127),2),ROUND(MinBase2Day*(1+ExpressFuelSurcharge),2),ROUND(((1-(TwoDayDiscount_21_Up+FedExExrpessEarnedDiscount))*'2Day Base'!L127)*(1+ExpressFuelSurcharge),2)))*(1+FedEx_Markup),2)</f>
        <v>624.94000000000005</v>
      </c>
    </row>
    <row r="131" spans="1:12" ht="12.75" customHeight="1">
      <c r="A131" s="217">
        <v>126</v>
      </c>
      <c r="B131" s="218">
        <f>ROUND((IF(MinBase2Day&gt;ROUND(((1-(TwoDayDiscount_21_Up+FedExExrpessEarnedDiscount))*'2Day Base'!B128),2),ROUND(MinBase2Day*(1+ExpressFuelSurcharge),2),ROUND(((1-(TwoDayDiscount_21_Up+FedExExrpessEarnedDiscount))*'2Day Base'!B128)*(1+ExpressFuelSurcharge),2)))*(1+FedEx_Markup),2)</f>
        <v>131.94999999999999</v>
      </c>
      <c r="C131" s="218">
        <f>ROUND((IF(MinBase2Day&gt;ROUND(((1-(TwoDayDiscount_21_Up+FedExExrpessEarnedDiscount))*'2Day Base'!C128),2),ROUND(MinBase2Day*(1+ExpressFuelSurcharge),2),ROUND(((1-(TwoDayDiscount_21_Up+FedExExrpessEarnedDiscount))*'2Day Base'!C128)*(1+ExpressFuelSurcharge),2)))*(1+FedEx_Markup),2)</f>
        <v>165.12</v>
      </c>
      <c r="D131" s="218">
        <f>ROUND((IF(MinBase2Day&gt;ROUND(((1-(TwoDayDiscount_21_Up+FedExExrpessEarnedDiscount))*'2Day Base'!D128),2),ROUND(MinBase2Day*(1+ExpressFuelSurcharge),2),ROUND(((1-(TwoDayDiscount_21_Up+FedExExrpessEarnedDiscount))*'2Day Base'!D128)*(1+ExpressFuelSurcharge),2)))*(1+FedEx_Markup),2)</f>
        <v>216.83</v>
      </c>
      <c r="E131" s="218">
        <f>ROUND((IF(MinBase2Day&gt;ROUND(((1-(TwoDayDiscount_21_Up+FedExExrpessEarnedDiscount))*'2Day Base'!E128),2),ROUND(MinBase2Day*(1+ExpressFuelSurcharge),2),ROUND(((1-(TwoDayDiscount_21_Up+FedExExrpessEarnedDiscount))*'2Day Base'!E128)*(1+ExpressFuelSurcharge),2)))*(1+FedEx_Markup),2)</f>
        <v>323.58999999999997</v>
      </c>
      <c r="F131" s="218">
        <f>ROUND((IF(MinBase2Day&gt;ROUND(((1-(TwoDayDiscount_21_Up+FedExExrpessEarnedDiscount))*'2Day Base'!F128),2),ROUND(MinBase2Day*(1+ExpressFuelSurcharge),2),ROUND(((1-(TwoDayDiscount_21_Up+FedExExrpessEarnedDiscount))*'2Day Base'!F128)*(1+ExpressFuelSurcharge),2)))*(1+FedEx_Markup),2)</f>
        <v>513.9</v>
      </c>
      <c r="G131" s="218">
        <f>ROUND((IF(MinBase2Day&gt;ROUND(((1-(TwoDayDiscount_21_Up+FedExExrpessEarnedDiscount))*'2Day Base'!G128),2),ROUND(MinBase2Day*(1+ExpressFuelSurcharge),2),ROUND(((1-(TwoDayDiscount_21_Up+FedExExrpessEarnedDiscount))*'2Day Base'!G128)*(1+ExpressFuelSurcharge),2)))*(1+FedEx_Markup),2)</f>
        <v>586.17999999999995</v>
      </c>
      <c r="H131" s="218">
        <f>ROUND((IF(MinBase2Day&gt;ROUND(((1-(TwoDayDiscount_21_Up+FedExExrpessEarnedDiscount))*'2Day Base'!H128),2),ROUND(MinBase2Day*(1+ExpressFuelSurcharge),2),ROUND(((1-(TwoDayDiscount_21_Up+FedExExrpessEarnedDiscount))*'2Day Base'!H128)*(1+ExpressFuelSurcharge),2)))*(1+FedEx_Markup),2)</f>
        <v>604.08000000000004</v>
      </c>
      <c r="I131" s="218">
        <f>ROUND((IF(MinBase2Day&gt;ROUND(((1-(TwoDayDiscount_21_Up+FedExExrpessEarnedDiscount))*'2Day Base'!I128),2),ROUND(MinBase2Day*(1+ExpressFuelSurcharge),2),ROUND(((1-(TwoDayDiscount_21_Up+FedExExrpessEarnedDiscount))*'2Day Base'!I128)*(1+ExpressFuelSurcharge),2)))*(1+FedEx_Markup),2)</f>
        <v>616.67999999999995</v>
      </c>
      <c r="J131" s="218">
        <f>ROUND((IF(MinBase2Day&gt;ROUND(((1-(TwoDayDiscount_21_Up+FedExExrpessEarnedDiscount))*'2Day Base'!J128),2),ROUND(MinBase2Day*(1+ExpressFuelSurcharge),2),ROUND(((1-(TwoDayDiscount_21_Up+FedExExrpessEarnedDiscount))*'2Day Base'!J128)*(1+ExpressFuelSurcharge),2)))*(1+FedEx_Markup),2)</f>
        <v>616.67999999999995</v>
      </c>
      <c r="K131" s="218">
        <f>ROUND((IF(MinBase2Day&gt;ROUND(((1-(TwoDayDiscount_21_Up+FedExExrpessEarnedDiscount))*'2Day Base'!K128),2),ROUND(MinBase2Day*(1+ExpressFuelSurcharge),2),ROUND(((1-(TwoDayDiscount_21_Up+FedExExrpessEarnedDiscount))*'2Day Base'!K128)*(1+ExpressFuelSurcharge),2)))*(1+FedEx_Markup),2)</f>
        <v>629.95000000000005</v>
      </c>
      <c r="L131" s="218">
        <f>ROUND((IF(MinBase2Day&gt;ROUND(((1-(TwoDayDiscount_21_Up+FedExExrpessEarnedDiscount))*'2Day Base'!L128),2),ROUND(MinBase2Day*(1+ExpressFuelSurcharge),2),ROUND(((1-(TwoDayDiscount_21_Up+FedExExrpessEarnedDiscount))*'2Day Base'!L128)*(1+ExpressFuelSurcharge),2)))*(1+FedEx_Markup),2)</f>
        <v>629.95000000000005</v>
      </c>
    </row>
    <row r="132" spans="1:12" ht="12.75" customHeight="1">
      <c r="A132" s="217">
        <v>127</v>
      </c>
      <c r="B132" s="218">
        <f>ROUND((IF(MinBase2Day&gt;ROUND(((1-(TwoDayDiscount_21_Up+FedExExrpessEarnedDiscount))*'2Day Base'!B129),2),ROUND(MinBase2Day*(1+ExpressFuelSurcharge),2),ROUND(((1-(TwoDayDiscount_21_Up+FedExExrpessEarnedDiscount))*'2Day Base'!B129)*(1+ExpressFuelSurcharge),2)))*(1+FedEx_Markup),2)</f>
        <v>133.01</v>
      </c>
      <c r="C132" s="218">
        <f>ROUND((IF(MinBase2Day&gt;ROUND(((1-(TwoDayDiscount_21_Up+FedExExrpessEarnedDiscount))*'2Day Base'!C129),2),ROUND(MinBase2Day*(1+ExpressFuelSurcharge),2),ROUND(((1-(TwoDayDiscount_21_Up+FedExExrpessEarnedDiscount))*'2Day Base'!C129)*(1+ExpressFuelSurcharge),2)))*(1+FedEx_Markup),2)</f>
        <v>166.42</v>
      </c>
      <c r="D132" s="218">
        <f>ROUND((IF(MinBase2Day&gt;ROUND(((1-(TwoDayDiscount_21_Up+FedExExrpessEarnedDiscount))*'2Day Base'!D129),2),ROUND(MinBase2Day*(1+ExpressFuelSurcharge),2),ROUND(((1-(TwoDayDiscount_21_Up+FedExExrpessEarnedDiscount))*'2Day Base'!D129)*(1+ExpressFuelSurcharge),2)))*(1+FedEx_Markup),2)</f>
        <v>218.56</v>
      </c>
      <c r="E132" s="218">
        <f>ROUND((IF(MinBase2Day&gt;ROUND(((1-(TwoDayDiscount_21_Up+FedExExrpessEarnedDiscount))*'2Day Base'!E129),2),ROUND(MinBase2Day*(1+ExpressFuelSurcharge),2),ROUND(((1-(TwoDayDiscount_21_Up+FedExExrpessEarnedDiscount))*'2Day Base'!E129)*(1+ExpressFuelSurcharge),2)))*(1+FedEx_Markup),2)</f>
        <v>326.16000000000003</v>
      </c>
      <c r="F132" s="218">
        <f>ROUND((IF(MinBase2Day&gt;ROUND(((1-(TwoDayDiscount_21_Up+FedExExrpessEarnedDiscount))*'2Day Base'!F129),2),ROUND(MinBase2Day*(1+ExpressFuelSurcharge),2),ROUND(((1-(TwoDayDiscount_21_Up+FedExExrpessEarnedDiscount))*'2Day Base'!F129)*(1+ExpressFuelSurcharge),2)))*(1+FedEx_Markup),2)</f>
        <v>517.98</v>
      </c>
      <c r="G132" s="218">
        <f>ROUND((IF(MinBase2Day&gt;ROUND(((1-(TwoDayDiscount_21_Up+FedExExrpessEarnedDiscount))*'2Day Base'!G129),2),ROUND(MinBase2Day*(1+ExpressFuelSurcharge),2),ROUND(((1-(TwoDayDiscount_21_Up+FedExExrpessEarnedDiscount))*'2Day Base'!G129)*(1+ExpressFuelSurcharge),2)))*(1+FedEx_Markup),2)</f>
        <v>590.84</v>
      </c>
      <c r="H132" s="218">
        <f>ROUND((IF(MinBase2Day&gt;ROUND(((1-(TwoDayDiscount_21_Up+FedExExrpessEarnedDiscount))*'2Day Base'!H129),2),ROUND(MinBase2Day*(1+ExpressFuelSurcharge),2),ROUND(((1-(TwoDayDiscount_21_Up+FedExExrpessEarnedDiscount))*'2Day Base'!H129)*(1+ExpressFuelSurcharge),2)))*(1+FedEx_Markup),2)</f>
        <v>608.88</v>
      </c>
      <c r="I132" s="218">
        <f>ROUND((IF(MinBase2Day&gt;ROUND(((1-(TwoDayDiscount_21_Up+FedExExrpessEarnedDiscount))*'2Day Base'!I129),2),ROUND(MinBase2Day*(1+ExpressFuelSurcharge),2),ROUND(((1-(TwoDayDiscount_21_Up+FedExExrpessEarnedDiscount))*'2Day Base'!I129)*(1+ExpressFuelSurcharge),2)))*(1+FedEx_Markup),2)</f>
        <v>621.58000000000004</v>
      </c>
      <c r="J132" s="218">
        <f>ROUND((IF(MinBase2Day&gt;ROUND(((1-(TwoDayDiscount_21_Up+FedExExrpessEarnedDiscount))*'2Day Base'!J129),2),ROUND(MinBase2Day*(1+ExpressFuelSurcharge),2),ROUND(((1-(TwoDayDiscount_21_Up+FedExExrpessEarnedDiscount))*'2Day Base'!J129)*(1+ExpressFuelSurcharge),2)))*(1+FedEx_Markup),2)</f>
        <v>621.58000000000004</v>
      </c>
      <c r="K132" s="218">
        <f>ROUND((IF(MinBase2Day&gt;ROUND(((1-(TwoDayDiscount_21_Up+FedExExrpessEarnedDiscount))*'2Day Base'!K129),2),ROUND(MinBase2Day*(1+ExpressFuelSurcharge),2),ROUND(((1-(TwoDayDiscount_21_Up+FedExExrpessEarnedDiscount))*'2Day Base'!K129)*(1+ExpressFuelSurcharge),2)))*(1+FedEx_Markup),2)</f>
        <v>634.94000000000005</v>
      </c>
      <c r="L132" s="218">
        <f>ROUND((IF(MinBase2Day&gt;ROUND(((1-(TwoDayDiscount_21_Up+FedExExrpessEarnedDiscount))*'2Day Base'!L129),2),ROUND(MinBase2Day*(1+ExpressFuelSurcharge),2),ROUND(((1-(TwoDayDiscount_21_Up+FedExExrpessEarnedDiscount))*'2Day Base'!L129)*(1+ExpressFuelSurcharge),2)))*(1+FedEx_Markup),2)</f>
        <v>634.94000000000005</v>
      </c>
    </row>
    <row r="133" spans="1:12" ht="12.75" customHeight="1">
      <c r="A133" s="217">
        <v>128</v>
      </c>
      <c r="B133" s="218">
        <f>ROUND((IF(MinBase2Day&gt;ROUND(((1-(TwoDayDiscount_21_Up+FedExExrpessEarnedDiscount))*'2Day Base'!B130),2),ROUND(MinBase2Day*(1+ExpressFuelSurcharge),2),ROUND(((1-(TwoDayDiscount_21_Up+FedExExrpessEarnedDiscount))*'2Day Base'!B130)*(1+ExpressFuelSurcharge),2)))*(1+FedEx_Markup),2)</f>
        <v>134.06</v>
      </c>
      <c r="C133" s="218">
        <f>ROUND((IF(MinBase2Day&gt;ROUND(((1-(TwoDayDiscount_21_Up+FedExExrpessEarnedDiscount))*'2Day Base'!C130),2),ROUND(MinBase2Day*(1+ExpressFuelSurcharge),2),ROUND(((1-(TwoDayDiscount_21_Up+FedExExrpessEarnedDiscount))*'2Day Base'!C130)*(1+ExpressFuelSurcharge),2)))*(1+FedEx_Markup),2)</f>
        <v>167.73</v>
      </c>
      <c r="D133" s="218">
        <f>ROUND((IF(MinBase2Day&gt;ROUND(((1-(TwoDayDiscount_21_Up+FedExExrpessEarnedDiscount))*'2Day Base'!D130),2),ROUND(MinBase2Day*(1+ExpressFuelSurcharge),2),ROUND(((1-(TwoDayDiscount_21_Up+FedExExrpessEarnedDiscount))*'2Day Base'!D130)*(1+ExpressFuelSurcharge),2)))*(1+FedEx_Markup),2)</f>
        <v>220.27</v>
      </c>
      <c r="E133" s="218">
        <f>ROUND((IF(MinBase2Day&gt;ROUND(((1-(TwoDayDiscount_21_Up+FedExExrpessEarnedDiscount))*'2Day Base'!E130),2),ROUND(MinBase2Day*(1+ExpressFuelSurcharge),2),ROUND(((1-(TwoDayDiscount_21_Up+FedExExrpessEarnedDiscount))*'2Day Base'!E130)*(1+ExpressFuelSurcharge),2)))*(1+FedEx_Markup),2)</f>
        <v>328.73</v>
      </c>
      <c r="F133" s="218">
        <f>ROUND((IF(MinBase2Day&gt;ROUND(((1-(TwoDayDiscount_21_Up+FedExExrpessEarnedDiscount))*'2Day Base'!F130),2),ROUND(MinBase2Day*(1+ExpressFuelSurcharge),2),ROUND(((1-(TwoDayDiscount_21_Up+FedExExrpessEarnedDiscount))*'2Day Base'!F130)*(1+ExpressFuelSurcharge),2)))*(1+FedEx_Markup),2)</f>
        <v>522.04999999999995</v>
      </c>
      <c r="G133" s="218">
        <f>ROUND((IF(MinBase2Day&gt;ROUND(((1-(TwoDayDiscount_21_Up+FedExExrpessEarnedDiscount))*'2Day Base'!G130),2),ROUND(MinBase2Day*(1+ExpressFuelSurcharge),2),ROUND(((1-(TwoDayDiscount_21_Up+FedExExrpessEarnedDiscount))*'2Day Base'!G130)*(1+ExpressFuelSurcharge),2)))*(1+FedEx_Markup),2)</f>
        <v>595.48</v>
      </c>
      <c r="H133" s="218">
        <f>ROUND((IF(MinBase2Day&gt;ROUND(((1-(TwoDayDiscount_21_Up+FedExExrpessEarnedDiscount))*'2Day Base'!H130),2),ROUND(MinBase2Day*(1+ExpressFuelSurcharge),2),ROUND(((1-(TwoDayDiscount_21_Up+FedExExrpessEarnedDiscount))*'2Day Base'!H130)*(1+ExpressFuelSurcharge),2)))*(1+FedEx_Markup),2)</f>
        <v>613.66999999999996</v>
      </c>
      <c r="I133" s="218">
        <f>ROUND((IF(MinBase2Day&gt;ROUND(((1-(TwoDayDiscount_21_Up+FedExExrpessEarnedDiscount))*'2Day Base'!I130),2),ROUND(MinBase2Day*(1+ExpressFuelSurcharge),2),ROUND(((1-(TwoDayDiscount_21_Up+FedExExrpessEarnedDiscount))*'2Day Base'!I130)*(1+ExpressFuelSurcharge),2)))*(1+FedEx_Markup),2)</f>
        <v>626.47</v>
      </c>
      <c r="J133" s="218">
        <f>ROUND((IF(MinBase2Day&gt;ROUND(((1-(TwoDayDiscount_21_Up+FedExExrpessEarnedDiscount))*'2Day Base'!J130),2),ROUND(MinBase2Day*(1+ExpressFuelSurcharge),2),ROUND(((1-(TwoDayDiscount_21_Up+FedExExrpessEarnedDiscount))*'2Day Base'!J130)*(1+ExpressFuelSurcharge),2)))*(1+FedEx_Markup),2)</f>
        <v>626.47</v>
      </c>
      <c r="K133" s="218">
        <f>ROUND((IF(MinBase2Day&gt;ROUND(((1-(TwoDayDiscount_21_Up+FedExExrpessEarnedDiscount))*'2Day Base'!K130),2),ROUND(MinBase2Day*(1+ExpressFuelSurcharge),2),ROUND(((1-(TwoDayDiscount_21_Up+FedExExrpessEarnedDiscount))*'2Day Base'!K130)*(1+ExpressFuelSurcharge),2)))*(1+FedEx_Markup),2)</f>
        <v>639.94000000000005</v>
      </c>
      <c r="L133" s="218">
        <f>ROUND((IF(MinBase2Day&gt;ROUND(((1-(TwoDayDiscount_21_Up+FedExExrpessEarnedDiscount))*'2Day Base'!L130),2),ROUND(MinBase2Day*(1+ExpressFuelSurcharge),2),ROUND(((1-(TwoDayDiscount_21_Up+FedExExrpessEarnedDiscount))*'2Day Base'!L130)*(1+ExpressFuelSurcharge),2)))*(1+FedEx_Markup),2)</f>
        <v>639.94000000000005</v>
      </c>
    </row>
    <row r="134" spans="1:12" ht="12.75" customHeight="1">
      <c r="A134" s="217">
        <v>129</v>
      </c>
      <c r="B134" s="218">
        <f>ROUND((IF(MinBase2Day&gt;ROUND(((1-(TwoDayDiscount_21_Up+FedExExrpessEarnedDiscount))*'2Day Base'!B131),2),ROUND(MinBase2Day*(1+ExpressFuelSurcharge),2),ROUND(((1-(TwoDayDiscount_21_Up+FedExExrpessEarnedDiscount))*'2Day Base'!B131)*(1+ExpressFuelSurcharge),2)))*(1+FedEx_Markup),2)</f>
        <v>135.1</v>
      </c>
      <c r="C134" s="218">
        <f>ROUND((IF(MinBase2Day&gt;ROUND(((1-(TwoDayDiscount_21_Up+FedExExrpessEarnedDiscount))*'2Day Base'!C131),2),ROUND(MinBase2Day*(1+ExpressFuelSurcharge),2),ROUND(((1-(TwoDayDiscount_21_Up+FedExExrpessEarnedDiscount))*'2Day Base'!C131)*(1+ExpressFuelSurcharge),2)))*(1+FedEx_Markup),2)</f>
        <v>169.04</v>
      </c>
      <c r="D134" s="218">
        <f>ROUND((IF(MinBase2Day&gt;ROUND(((1-(TwoDayDiscount_21_Up+FedExExrpessEarnedDiscount))*'2Day Base'!D131),2),ROUND(MinBase2Day*(1+ExpressFuelSurcharge),2),ROUND(((1-(TwoDayDiscount_21_Up+FedExExrpessEarnedDiscount))*'2Day Base'!D131)*(1+ExpressFuelSurcharge),2)))*(1+FedEx_Markup),2)</f>
        <v>222</v>
      </c>
      <c r="E134" s="218">
        <f>ROUND((IF(MinBase2Day&gt;ROUND(((1-(TwoDayDiscount_21_Up+FedExExrpessEarnedDiscount))*'2Day Base'!E131),2),ROUND(MinBase2Day*(1+ExpressFuelSurcharge),2),ROUND(((1-(TwoDayDiscount_21_Up+FedExExrpessEarnedDiscount))*'2Day Base'!E131)*(1+ExpressFuelSurcharge),2)))*(1+FedEx_Markup),2)</f>
        <v>331.29</v>
      </c>
      <c r="F134" s="218">
        <f>ROUND((IF(MinBase2Day&gt;ROUND(((1-(TwoDayDiscount_21_Up+FedExExrpessEarnedDiscount))*'2Day Base'!F131),2),ROUND(MinBase2Day*(1+ExpressFuelSurcharge),2),ROUND(((1-(TwoDayDiscount_21_Up+FedExExrpessEarnedDiscount))*'2Day Base'!F131)*(1+ExpressFuelSurcharge),2)))*(1+FedEx_Markup),2)</f>
        <v>526.14</v>
      </c>
      <c r="G134" s="218">
        <f>ROUND((IF(MinBase2Day&gt;ROUND(((1-(TwoDayDiscount_21_Up+FedExExrpessEarnedDiscount))*'2Day Base'!G131),2),ROUND(MinBase2Day*(1+ExpressFuelSurcharge),2),ROUND(((1-(TwoDayDiscount_21_Up+FedExExrpessEarnedDiscount))*'2Day Base'!G131)*(1+ExpressFuelSurcharge),2)))*(1+FedEx_Markup),2)</f>
        <v>600.14</v>
      </c>
      <c r="H134" s="218">
        <f>ROUND((IF(MinBase2Day&gt;ROUND(((1-(TwoDayDiscount_21_Up+FedExExrpessEarnedDiscount))*'2Day Base'!H131),2),ROUND(MinBase2Day*(1+ExpressFuelSurcharge),2),ROUND(((1-(TwoDayDiscount_21_Up+FedExExrpessEarnedDiscount))*'2Day Base'!H131)*(1+ExpressFuelSurcharge),2)))*(1+FedEx_Markup),2)</f>
        <v>618.47</v>
      </c>
      <c r="I134" s="218">
        <f>ROUND((IF(MinBase2Day&gt;ROUND(((1-(TwoDayDiscount_21_Up+FedExExrpessEarnedDiscount))*'2Day Base'!I131),2),ROUND(MinBase2Day*(1+ExpressFuelSurcharge),2),ROUND(((1-(TwoDayDiscount_21_Up+FedExExrpessEarnedDiscount))*'2Day Base'!I131)*(1+ExpressFuelSurcharge),2)))*(1+FedEx_Markup),2)</f>
        <v>631.36</v>
      </c>
      <c r="J134" s="218">
        <f>ROUND((IF(MinBase2Day&gt;ROUND(((1-(TwoDayDiscount_21_Up+FedExExrpessEarnedDiscount))*'2Day Base'!J131),2),ROUND(MinBase2Day*(1+ExpressFuelSurcharge),2),ROUND(((1-(TwoDayDiscount_21_Up+FedExExrpessEarnedDiscount))*'2Day Base'!J131)*(1+ExpressFuelSurcharge),2)))*(1+FedEx_Markup),2)</f>
        <v>631.36</v>
      </c>
      <c r="K134" s="218">
        <f>ROUND((IF(MinBase2Day&gt;ROUND(((1-(TwoDayDiscount_21_Up+FedExExrpessEarnedDiscount))*'2Day Base'!K131),2),ROUND(MinBase2Day*(1+ExpressFuelSurcharge),2),ROUND(((1-(TwoDayDiscount_21_Up+FedExExrpessEarnedDiscount))*'2Day Base'!K131)*(1+ExpressFuelSurcharge),2)))*(1+FedEx_Markup),2)</f>
        <v>644.94000000000005</v>
      </c>
      <c r="L134" s="218">
        <f>ROUND((IF(MinBase2Day&gt;ROUND(((1-(TwoDayDiscount_21_Up+FedExExrpessEarnedDiscount))*'2Day Base'!L131),2),ROUND(MinBase2Day*(1+ExpressFuelSurcharge),2),ROUND(((1-(TwoDayDiscount_21_Up+FedExExrpessEarnedDiscount))*'2Day Base'!L131)*(1+ExpressFuelSurcharge),2)))*(1+FedEx_Markup),2)</f>
        <v>644.94000000000005</v>
      </c>
    </row>
    <row r="135" spans="1:12" ht="12.75" customHeight="1">
      <c r="A135" s="217">
        <v>130</v>
      </c>
      <c r="B135" s="218">
        <f>ROUND((IF(MinBase2Day&gt;ROUND(((1-(TwoDayDiscount_21_Up+FedExExrpessEarnedDiscount))*'2Day Base'!B132),2),ROUND(MinBase2Day*(1+ExpressFuelSurcharge),2),ROUND(((1-(TwoDayDiscount_21_Up+FedExExrpessEarnedDiscount))*'2Day Base'!B132)*(1+ExpressFuelSurcharge),2)))*(1+FedEx_Markup),2)</f>
        <v>136.15</v>
      </c>
      <c r="C135" s="218">
        <f>ROUND((IF(MinBase2Day&gt;ROUND(((1-(TwoDayDiscount_21_Up+FedExExrpessEarnedDiscount))*'2Day Base'!C132),2),ROUND(MinBase2Day*(1+ExpressFuelSurcharge),2),ROUND(((1-(TwoDayDiscount_21_Up+FedExExrpessEarnedDiscount))*'2Day Base'!C132)*(1+ExpressFuelSurcharge),2)))*(1+FedEx_Markup),2)</f>
        <v>170.35</v>
      </c>
      <c r="D135" s="218">
        <f>ROUND((IF(MinBase2Day&gt;ROUND(((1-(TwoDayDiscount_21_Up+FedExExrpessEarnedDiscount))*'2Day Base'!D132),2),ROUND(MinBase2Day*(1+ExpressFuelSurcharge),2),ROUND(((1-(TwoDayDiscount_21_Up+FedExExrpessEarnedDiscount))*'2Day Base'!D132)*(1+ExpressFuelSurcharge),2)))*(1+FedEx_Markup),2)</f>
        <v>223.72</v>
      </c>
      <c r="E135" s="218">
        <f>ROUND((IF(MinBase2Day&gt;ROUND(((1-(TwoDayDiscount_21_Up+FedExExrpessEarnedDiscount))*'2Day Base'!E132),2),ROUND(MinBase2Day*(1+ExpressFuelSurcharge),2),ROUND(((1-(TwoDayDiscount_21_Up+FedExExrpessEarnedDiscount))*'2Day Base'!E132)*(1+ExpressFuelSurcharge),2)))*(1+FedEx_Markup),2)</f>
        <v>333.87</v>
      </c>
      <c r="F135" s="218">
        <f>ROUND((IF(MinBase2Day&gt;ROUND(((1-(TwoDayDiscount_21_Up+FedExExrpessEarnedDiscount))*'2Day Base'!F132),2),ROUND(MinBase2Day*(1+ExpressFuelSurcharge),2),ROUND(((1-(TwoDayDiscount_21_Up+FedExExrpessEarnedDiscount))*'2Day Base'!F132)*(1+ExpressFuelSurcharge),2)))*(1+FedEx_Markup),2)</f>
        <v>530.22</v>
      </c>
      <c r="G135" s="218">
        <f>ROUND((IF(MinBase2Day&gt;ROUND(((1-(TwoDayDiscount_21_Up+FedExExrpessEarnedDiscount))*'2Day Base'!G132),2),ROUND(MinBase2Day*(1+ExpressFuelSurcharge),2),ROUND(((1-(TwoDayDiscount_21_Up+FedExExrpessEarnedDiscount))*'2Day Base'!G132)*(1+ExpressFuelSurcharge),2)))*(1+FedEx_Markup),2)</f>
        <v>604.79</v>
      </c>
      <c r="H135" s="218">
        <f>ROUND((IF(MinBase2Day&gt;ROUND(((1-(TwoDayDiscount_21_Up+FedExExrpessEarnedDiscount))*'2Day Base'!H132),2),ROUND(MinBase2Day*(1+ExpressFuelSurcharge),2),ROUND(((1-(TwoDayDiscount_21_Up+FedExExrpessEarnedDiscount))*'2Day Base'!H132)*(1+ExpressFuelSurcharge),2)))*(1+FedEx_Markup),2)</f>
        <v>623.27</v>
      </c>
      <c r="I135" s="218">
        <f>ROUND((IF(MinBase2Day&gt;ROUND(((1-(TwoDayDiscount_21_Up+FedExExrpessEarnedDiscount))*'2Day Base'!I132),2),ROUND(MinBase2Day*(1+ExpressFuelSurcharge),2),ROUND(((1-(TwoDayDiscount_21_Up+FedExExrpessEarnedDiscount))*'2Day Base'!I132)*(1+ExpressFuelSurcharge),2)))*(1+FedEx_Markup),2)</f>
        <v>636.26</v>
      </c>
      <c r="J135" s="218">
        <f>ROUND((IF(MinBase2Day&gt;ROUND(((1-(TwoDayDiscount_21_Up+FedExExrpessEarnedDiscount))*'2Day Base'!J132),2),ROUND(MinBase2Day*(1+ExpressFuelSurcharge),2),ROUND(((1-(TwoDayDiscount_21_Up+FedExExrpessEarnedDiscount))*'2Day Base'!J132)*(1+ExpressFuelSurcharge),2)))*(1+FedEx_Markup),2)</f>
        <v>636.26</v>
      </c>
      <c r="K135" s="218">
        <f>ROUND((IF(MinBase2Day&gt;ROUND(((1-(TwoDayDiscount_21_Up+FedExExrpessEarnedDiscount))*'2Day Base'!K132),2),ROUND(MinBase2Day*(1+ExpressFuelSurcharge),2),ROUND(((1-(TwoDayDiscount_21_Up+FedExExrpessEarnedDiscount))*'2Day Base'!K132)*(1+ExpressFuelSurcharge),2)))*(1+FedEx_Markup),2)</f>
        <v>649.95000000000005</v>
      </c>
      <c r="L135" s="218">
        <f>ROUND((IF(MinBase2Day&gt;ROUND(((1-(TwoDayDiscount_21_Up+FedExExrpessEarnedDiscount))*'2Day Base'!L132),2),ROUND(MinBase2Day*(1+ExpressFuelSurcharge),2),ROUND(((1-(TwoDayDiscount_21_Up+FedExExrpessEarnedDiscount))*'2Day Base'!L132)*(1+ExpressFuelSurcharge),2)))*(1+FedEx_Markup),2)</f>
        <v>649.95000000000005</v>
      </c>
    </row>
    <row r="136" spans="1:12" ht="12.75" customHeight="1">
      <c r="A136" s="217">
        <v>131</v>
      </c>
      <c r="B136" s="218">
        <f>ROUND((IF(MinBase2Day&gt;ROUND(((1-(TwoDayDiscount_21_Up+FedExExrpessEarnedDiscount))*'2Day Base'!B133),2),ROUND(MinBase2Day*(1+ExpressFuelSurcharge),2),ROUND(((1-(TwoDayDiscount_21_Up+FedExExrpessEarnedDiscount))*'2Day Base'!B133)*(1+ExpressFuelSurcharge),2)))*(1+FedEx_Markup),2)</f>
        <v>137.19999999999999</v>
      </c>
      <c r="C136" s="218">
        <f>ROUND((IF(MinBase2Day&gt;ROUND(((1-(TwoDayDiscount_21_Up+FedExExrpessEarnedDiscount))*'2Day Base'!C133),2),ROUND(MinBase2Day*(1+ExpressFuelSurcharge),2),ROUND(((1-(TwoDayDiscount_21_Up+FedExExrpessEarnedDiscount))*'2Day Base'!C133)*(1+ExpressFuelSurcharge),2)))*(1+FedEx_Markup),2)</f>
        <v>171.66</v>
      </c>
      <c r="D136" s="218">
        <f>ROUND((IF(MinBase2Day&gt;ROUND(((1-(TwoDayDiscount_21_Up+FedExExrpessEarnedDiscount))*'2Day Base'!D133),2),ROUND(MinBase2Day*(1+ExpressFuelSurcharge),2),ROUND(((1-(TwoDayDiscount_21_Up+FedExExrpessEarnedDiscount))*'2Day Base'!D133)*(1+ExpressFuelSurcharge),2)))*(1+FedEx_Markup),2)</f>
        <v>225.43</v>
      </c>
      <c r="E136" s="218">
        <f>ROUND((IF(MinBase2Day&gt;ROUND(((1-(TwoDayDiscount_21_Up+FedExExrpessEarnedDiscount))*'2Day Base'!E133),2),ROUND(MinBase2Day*(1+ExpressFuelSurcharge),2),ROUND(((1-(TwoDayDiscount_21_Up+FedExExrpessEarnedDiscount))*'2Day Base'!E133)*(1+ExpressFuelSurcharge),2)))*(1+FedEx_Markup),2)</f>
        <v>336.43</v>
      </c>
      <c r="F136" s="218">
        <f>ROUND((IF(MinBase2Day&gt;ROUND(((1-(TwoDayDiscount_21_Up+FedExExrpessEarnedDiscount))*'2Day Base'!F133),2),ROUND(MinBase2Day*(1+ExpressFuelSurcharge),2),ROUND(((1-(TwoDayDiscount_21_Up+FedExExrpessEarnedDiscount))*'2Day Base'!F133)*(1+ExpressFuelSurcharge),2)))*(1+FedEx_Markup),2)</f>
        <v>534.29</v>
      </c>
      <c r="G136" s="218">
        <f>ROUND((IF(MinBase2Day&gt;ROUND(((1-(TwoDayDiscount_21_Up+FedExExrpessEarnedDiscount))*'2Day Base'!G133),2),ROUND(MinBase2Day*(1+ExpressFuelSurcharge),2),ROUND(((1-(TwoDayDiscount_21_Up+FedExExrpessEarnedDiscount))*'2Day Base'!G133)*(1+ExpressFuelSurcharge),2)))*(1+FedEx_Markup),2)</f>
        <v>609.44000000000005</v>
      </c>
      <c r="H136" s="218">
        <f>ROUND((IF(MinBase2Day&gt;ROUND(((1-(TwoDayDiscount_21_Up+FedExExrpessEarnedDiscount))*'2Day Base'!H133),2),ROUND(MinBase2Day*(1+ExpressFuelSurcharge),2),ROUND(((1-(TwoDayDiscount_21_Up+FedExExrpessEarnedDiscount))*'2Day Base'!H133)*(1+ExpressFuelSurcharge),2)))*(1+FedEx_Markup),2)</f>
        <v>628.04999999999995</v>
      </c>
      <c r="I136" s="218">
        <f>ROUND((IF(MinBase2Day&gt;ROUND(((1-(TwoDayDiscount_21_Up+FedExExrpessEarnedDiscount))*'2Day Base'!I133),2),ROUND(MinBase2Day*(1+ExpressFuelSurcharge),2),ROUND(((1-(TwoDayDiscount_21_Up+FedExExrpessEarnedDiscount))*'2Day Base'!I133)*(1+ExpressFuelSurcharge),2)))*(1+FedEx_Markup),2)</f>
        <v>641.15</v>
      </c>
      <c r="J136" s="218">
        <f>ROUND((IF(MinBase2Day&gt;ROUND(((1-(TwoDayDiscount_21_Up+FedExExrpessEarnedDiscount))*'2Day Base'!J133),2),ROUND(MinBase2Day*(1+ExpressFuelSurcharge),2),ROUND(((1-(TwoDayDiscount_21_Up+FedExExrpessEarnedDiscount))*'2Day Base'!J133)*(1+ExpressFuelSurcharge),2)))*(1+FedEx_Markup),2)</f>
        <v>641.15</v>
      </c>
      <c r="K136" s="218">
        <f>ROUND((IF(MinBase2Day&gt;ROUND(((1-(TwoDayDiscount_21_Up+FedExExrpessEarnedDiscount))*'2Day Base'!K133),2),ROUND(MinBase2Day*(1+ExpressFuelSurcharge),2),ROUND(((1-(TwoDayDiscount_21_Up+FedExExrpessEarnedDiscount))*'2Day Base'!K133)*(1+ExpressFuelSurcharge),2)))*(1+FedEx_Markup),2)</f>
        <v>654.94000000000005</v>
      </c>
      <c r="L136" s="218">
        <f>ROUND((IF(MinBase2Day&gt;ROUND(((1-(TwoDayDiscount_21_Up+FedExExrpessEarnedDiscount))*'2Day Base'!L133),2),ROUND(MinBase2Day*(1+ExpressFuelSurcharge),2),ROUND(((1-(TwoDayDiscount_21_Up+FedExExrpessEarnedDiscount))*'2Day Base'!L133)*(1+ExpressFuelSurcharge),2)))*(1+FedEx_Markup),2)</f>
        <v>654.94000000000005</v>
      </c>
    </row>
    <row r="137" spans="1:12" ht="12.75" customHeight="1">
      <c r="A137" s="217">
        <v>132</v>
      </c>
      <c r="B137" s="218">
        <f>ROUND((IF(MinBase2Day&gt;ROUND(((1-(TwoDayDiscount_21_Up+FedExExrpessEarnedDiscount))*'2Day Base'!B134),2),ROUND(MinBase2Day*(1+ExpressFuelSurcharge),2),ROUND(((1-(TwoDayDiscount_21_Up+FedExExrpessEarnedDiscount))*'2Day Base'!B134)*(1+ExpressFuelSurcharge),2)))*(1+FedEx_Markup),2)</f>
        <v>138.24</v>
      </c>
      <c r="C137" s="218">
        <f>ROUND((IF(MinBase2Day&gt;ROUND(((1-(TwoDayDiscount_21_Up+FedExExrpessEarnedDiscount))*'2Day Base'!C134),2),ROUND(MinBase2Day*(1+ExpressFuelSurcharge),2),ROUND(((1-(TwoDayDiscount_21_Up+FedExExrpessEarnedDiscount))*'2Day Base'!C134)*(1+ExpressFuelSurcharge),2)))*(1+FedEx_Markup),2)</f>
        <v>172.97</v>
      </c>
      <c r="D137" s="218">
        <f>ROUND((IF(MinBase2Day&gt;ROUND(((1-(TwoDayDiscount_21_Up+FedExExrpessEarnedDiscount))*'2Day Base'!D134),2),ROUND(MinBase2Day*(1+ExpressFuelSurcharge),2),ROUND(((1-(TwoDayDiscount_21_Up+FedExExrpessEarnedDiscount))*'2Day Base'!D134)*(1+ExpressFuelSurcharge),2)))*(1+FedEx_Markup),2)</f>
        <v>227.16</v>
      </c>
      <c r="E137" s="218">
        <f>ROUND((IF(MinBase2Day&gt;ROUND(((1-(TwoDayDiscount_21_Up+FedExExrpessEarnedDiscount))*'2Day Base'!E134),2),ROUND(MinBase2Day*(1+ExpressFuelSurcharge),2),ROUND(((1-(TwoDayDiscount_21_Up+FedExExrpessEarnedDiscount))*'2Day Base'!E134)*(1+ExpressFuelSurcharge),2)))*(1+FedEx_Markup),2)</f>
        <v>339</v>
      </c>
      <c r="F137" s="218">
        <f>ROUND((IF(MinBase2Day&gt;ROUND(((1-(TwoDayDiscount_21_Up+FedExExrpessEarnedDiscount))*'2Day Base'!F134),2),ROUND(MinBase2Day*(1+ExpressFuelSurcharge),2),ROUND(((1-(TwoDayDiscount_21_Up+FedExExrpessEarnedDiscount))*'2Day Base'!F134)*(1+ExpressFuelSurcharge),2)))*(1+FedEx_Markup),2)</f>
        <v>538.37</v>
      </c>
      <c r="G137" s="218">
        <f>ROUND((IF(MinBase2Day&gt;ROUND(((1-(TwoDayDiscount_21_Up+FedExExrpessEarnedDiscount))*'2Day Base'!G134),2),ROUND(MinBase2Day*(1+ExpressFuelSurcharge),2),ROUND(((1-(TwoDayDiscount_21_Up+FedExExrpessEarnedDiscount))*'2Day Base'!G134)*(1+ExpressFuelSurcharge),2)))*(1+FedEx_Markup),2)</f>
        <v>614.09</v>
      </c>
      <c r="H137" s="218">
        <f>ROUND((IF(MinBase2Day&gt;ROUND(((1-(TwoDayDiscount_21_Up+FedExExrpessEarnedDiscount))*'2Day Base'!H134),2),ROUND(MinBase2Day*(1+ExpressFuelSurcharge),2),ROUND(((1-(TwoDayDiscount_21_Up+FedExExrpessEarnedDiscount))*'2Day Base'!H134)*(1+ExpressFuelSurcharge),2)))*(1+FedEx_Markup),2)</f>
        <v>632.85</v>
      </c>
      <c r="I137" s="218">
        <f>ROUND((IF(MinBase2Day&gt;ROUND(((1-(TwoDayDiscount_21_Up+FedExExrpessEarnedDiscount))*'2Day Base'!I134),2),ROUND(MinBase2Day*(1+ExpressFuelSurcharge),2),ROUND(((1-(TwoDayDiscount_21_Up+FedExExrpessEarnedDiscount))*'2Day Base'!I134)*(1+ExpressFuelSurcharge),2)))*(1+FedEx_Markup),2)</f>
        <v>646.04999999999995</v>
      </c>
      <c r="J137" s="218">
        <f>ROUND((IF(MinBase2Day&gt;ROUND(((1-(TwoDayDiscount_21_Up+FedExExrpessEarnedDiscount))*'2Day Base'!J134),2),ROUND(MinBase2Day*(1+ExpressFuelSurcharge),2),ROUND(((1-(TwoDayDiscount_21_Up+FedExExrpessEarnedDiscount))*'2Day Base'!J134)*(1+ExpressFuelSurcharge),2)))*(1+FedEx_Markup),2)</f>
        <v>646.04999999999995</v>
      </c>
      <c r="K137" s="218">
        <f>ROUND((IF(MinBase2Day&gt;ROUND(((1-(TwoDayDiscount_21_Up+FedExExrpessEarnedDiscount))*'2Day Base'!K134),2),ROUND(MinBase2Day*(1+ExpressFuelSurcharge),2),ROUND(((1-(TwoDayDiscount_21_Up+FedExExrpessEarnedDiscount))*'2Day Base'!K134)*(1+ExpressFuelSurcharge),2)))*(1+FedEx_Markup),2)</f>
        <v>659.94</v>
      </c>
      <c r="L137" s="218">
        <f>ROUND((IF(MinBase2Day&gt;ROUND(((1-(TwoDayDiscount_21_Up+FedExExrpessEarnedDiscount))*'2Day Base'!L134),2),ROUND(MinBase2Day*(1+ExpressFuelSurcharge),2),ROUND(((1-(TwoDayDiscount_21_Up+FedExExrpessEarnedDiscount))*'2Day Base'!L134)*(1+ExpressFuelSurcharge),2)))*(1+FedEx_Markup),2)</f>
        <v>659.94</v>
      </c>
    </row>
    <row r="138" spans="1:12" ht="12.75" customHeight="1">
      <c r="A138" s="217">
        <v>133</v>
      </c>
      <c r="B138" s="218">
        <f>ROUND((IF(MinBase2Day&gt;ROUND(((1-(TwoDayDiscount_21_Up+FedExExrpessEarnedDiscount))*'2Day Base'!B135),2),ROUND(MinBase2Day*(1+ExpressFuelSurcharge),2),ROUND(((1-(TwoDayDiscount_21_Up+FedExExrpessEarnedDiscount))*'2Day Base'!B135)*(1+ExpressFuelSurcharge),2)))*(1+FedEx_Markup),2)</f>
        <v>139.29</v>
      </c>
      <c r="C138" s="218">
        <f>ROUND((IF(MinBase2Day&gt;ROUND(((1-(TwoDayDiscount_21_Up+FedExExrpessEarnedDiscount))*'2Day Base'!C135),2),ROUND(MinBase2Day*(1+ExpressFuelSurcharge),2),ROUND(((1-(TwoDayDiscount_21_Up+FedExExrpessEarnedDiscount))*'2Day Base'!C135)*(1+ExpressFuelSurcharge),2)))*(1+FedEx_Markup),2)</f>
        <v>174.28</v>
      </c>
      <c r="D138" s="218">
        <f>ROUND((IF(MinBase2Day&gt;ROUND(((1-(TwoDayDiscount_21_Up+FedExExrpessEarnedDiscount))*'2Day Base'!D135),2),ROUND(MinBase2Day*(1+ExpressFuelSurcharge),2),ROUND(((1-(TwoDayDiscount_21_Up+FedExExrpessEarnedDiscount))*'2Day Base'!D135)*(1+ExpressFuelSurcharge),2)))*(1+FedEx_Markup),2)</f>
        <v>228.88</v>
      </c>
      <c r="E138" s="218">
        <f>ROUND((IF(MinBase2Day&gt;ROUND(((1-(TwoDayDiscount_21_Up+FedExExrpessEarnedDiscount))*'2Day Base'!E135),2),ROUND(MinBase2Day*(1+ExpressFuelSurcharge),2),ROUND(((1-(TwoDayDiscount_21_Up+FedExExrpessEarnedDiscount))*'2Day Base'!E135)*(1+ExpressFuelSurcharge),2)))*(1+FedEx_Markup),2)</f>
        <v>341.57</v>
      </c>
      <c r="F138" s="218">
        <f>ROUND((IF(MinBase2Day&gt;ROUND(((1-(TwoDayDiscount_21_Up+FedExExrpessEarnedDiscount))*'2Day Base'!F135),2),ROUND(MinBase2Day*(1+ExpressFuelSurcharge),2),ROUND(((1-(TwoDayDiscount_21_Up+FedExExrpessEarnedDiscount))*'2Day Base'!F135)*(1+ExpressFuelSurcharge),2)))*(1+FedEx_Markup),2)</f>
        <v>542.46</v>
      </c>
      <c r="G138" s="218">
        <f>ROUND((IF(MinBase2Day&gt;ROUND(((1-(TwoDayDiscount_21_Up+FedExExrpessEarnedDiscount))*'2Day Base'!G135),2),ROUND(MinBase2Day*(1+ExpressFuelSurcharge),2),ROUND(((1-(TwoDayDiscount_21_Up+FedExExrpessEarnedDiscount))*'2Day Base'!G135)*(1+ExpressFuelSurcharge),2)))*(1+FedEx_Markup),2)</f>
        <v>618.75</v>
      </c>
      <c r="H138" s="218">
        <f>ROUND((IF(MinBase2Day&gt;ROUND(((1-(TwoDayDiscount_21_Up+FedExExrpessEarnedDiscount))*'2Day Base'!H135),2),ROUND(MinBase2Day*(1+ExpressFuelSurcharge),2),ROUND(((1-(TwoDayDiscount_21_Up+FedExExrpessEarnedDiscount))*'2Day Base'!H135)*(1+ExpressFuelSurcharge),2)))*(1+FedEx_Markup),2)</f>
        <v>637.64</v>
      </c>
      <c r="I138" s="218">
        <f>ROUND((IF(MinBase2Day&gt;ROUND(((1-(TwoDayDiscount_21_Up+FedExExrpessEarnedDiscount))*'2Day Base'!I135),2),ROUND(MinBase2Day*(1+ExpressFuelSurcharge),2),ROUND(((1-(TwoDayDiscount_21_Up+FedExExrpessEarnedDiscount))*'2Day Base'!I135)*(1+ExpressFuelSurcharge),2)))*(1+FedEx_Markup),2)</f>
        <v>650.95000000000005</v>
      </c>
      <c r="J138" s="218">
        <f>ROUND((IF(MinBase2Day&gt;ROUND(((1-(TwoDayDiscount_21_Up+FedExExrpessEarnedDiscount))*'2Day Base'!J135),2),ROUND(MinBase2Day*(1+ExpressFuelSurcharge),2),ROUND(((1-(TwoDayDiscount_21_Up+FedExExrpessEarnedDiscount))*'2Day Base'!J135)*(1+ExpressFuelSurcharge),2)))*(1+FedEx_Markup),2)</f>
        <v>650.95000000000005</v>
      </c>
      <c r="K138" s="218">
        <f>ROUND((IF(MinBase2Day&gt;ROUND(((1-(TwoDayDiscount_21_Up+FedExExrpessEarnedDiscount))*'2Day Base'!K135),2),ROUND(MinBase2Day*(1+ExpressFuelSurcharge),2),ROUND(((1-(TwoDayDiscount_21_Up+FedExExrpessEarnedDiscount))*'2Day Base'!K135)*(1+ExpressFuelSurcharge),2)))*(1+FedEx_Markup),2)</f>
        <v>664.94</v>
      </c>
      <c r="L138" s="218">
        <f>ROUND((IF(MinBase2Day&gt;ROUND(((1-(TwoDayDiscount_21_Up+FedExExrpessEarnedDiscount))*'2Day Base'!L135),2),ROUND(MinBase2Day*(1+ExpressFuelSurcharge),2),ROUND(((1-(TwoDayDiscount_21_Up+FedExExrpessEarnedDiscount))*'2Day Base'!L135)*(1+ExpressFuelSurcharge),2)))*(1+FedEx_Markup),2)</f>
        <v>664.94</v>
      </c>
    </row>
    <row r="139" spans="1:12" ht="12.75" customHeight="1">
      <c r="A139" s="217">
        <v>134</v>
      </c>
      <c r="B139" s="218">
        <f>ROUND((IF(MinBase2Day&gt;ROUND(((1-(TwoDayDiscount_21_Up+FedExExrpessEarnedDiscount))*'2Day Base'!B136),2),ROUND(MinBase2Day*(1+ExpressFuelSurcharge),2),ROUND(((1-(TwoDayDiscount_21_Up+FedExExrpessEarnedDiscount))*'2Day Base'!B136)*(1+ExpressFuelSurcharge),2)))*(1+FedEx_Markup),2)</f>
        <v>140.33000000000001</v>
      </c>
      <c r="C139" s="218">
        <f>ROUND((IF(MinBase2Day&gt;ROUND(((1-(TwoDayDiscount_21_Up+FedExExrpessEarnedDiscount))*'2Day Base'!C136),2),ROUND(MinBase2Day*(1+ExpressFuelSurcharge),2),ROUND(((1-(TwoDayDiscount_21_Up+FedExExrpessEarnedDiscount))*'2Day Base'!C136)*(1+ExpressFuelSurcharge),2)))*(1+FedEx_Markup),2)</f>
        <v>175.59</v>
      </c>
      <c r="D139" s="218">
        <f>ROUND((IF(MinBase2Day&gt;ROUND(((1-(TwoDayDiscount_21_Up+FedExExrpessEarnedDiscount))*'2Day Base'!D136),2),ROUND(MinBase2Day*(1+ExpressFuelSurcharge),2),ROUND(((1-(TwoDayDiscount_21_Up+FedExExrpessEarnedDiscount))*'2Day Base'!D136)*(1+ExpressFuelSurcharge),2)))*(1+FedEx_Markup),2)</f>
        <v>230.6</v>
      </c>
      <c r="E139" s="218">
        <f>ROUND((IF(MinBase2Day&gt;ROUND(((1-(TwoDayDiscount_21_Up+FedExExrpessEarnedDiscount))*'2Day Base'!E136),2),ROUND(MinBase2Day*(1+ExpressFuelSurcharge),2),ROUND(((1-(TwoDayDiscount_21_Up+FedExExrpessEarnedDiscount))*'2Day Base'!E136)*(1+ExpressFuelSurcharge),2)))*(1+FedEx_Markup),2)</f>
        <v>344.14</v>
      </c>
      <c r="F139" s="218">
        <f>ROUND((IF(MinBase2Day&gt;ROUND(((1-(TwoDayDiscount_21_Up+FedExExrpessEarnedDiscount))*'2Day Base'!F136),2),ROUND(MinBase2Day*(1+ExpressFuelSurcharge),2),ROUND(((1-(TwoDayDiscount_21_Up+FedExExrpessEarnedDiscount))*'2Day Base'!F136)*(1+ExpressFuelSurcharge),2)))*(1+FedEx_Markup),2)</f>
        <v>546.53</v>
      </c>
      <c r="G139" s="218">
        <f>ROUND((IF(MinBase2Day&gt;ROUND(((1-(TwoDayDiscount_21_Up+FedExExrpessEarnedDiscount))*'2Day Base'!G136),2),ROUND(MinBase2Day*(1+ExpressFuelSurcharge),2),ROUND(((1-(TwoDayDiscount_21_Up+FedExExrpessEarnedDiscount))*'2Day Base'!G136)*(1+ExpressFuelSurcharge),2)))*(1+FedEx_Markup),2)</f>
        <v>623.39</v>
      </c>
      <c r="H139" s="218">
        <f>ROUND((IF(MinBase2Day&gt;ROUND(((1-(TwoDayDiscount_21_Up+FedExExrpessEarnedDiscount))*'2Day Base'!H136),2),ROUND(MinBase2Day*(1+ExpressFuelSurcharge),2),ROUND(((1-(TwoDayDiscount_21_Up+FedExExrpessEarnedDiscount))*'2Day Base'!H136)*(1+ExpressFuelSurcharge),2)))*(1+FedEx_Markup),2)</f>
        <v>642.44000000000005</v>
      </c>
      <c r="I139" s="218">
        <f>ROUND((IF(MinBase2Day&gt;ROUND(((1-(TwoDayDiscount_21_Up+FedExExrpessEarnedDiscount))*'2Day Base'!I136),2),ROUND(MinBase2Day*(1+ExpressFuelSurcharge),2),ROUND(((1-(TwoDayDiscount_21_Up+FedExExrpessEarnedDiscount))*'2Day Base'!I136)*(1+ExpressFuelSurcharge),2)))*(1+FedEx_Markup),2)</f>
        <v>655.83</v>
      </c>
      <c r="J139" s="218">
        <f>ROUND((IF(MinBase2Day&gt;ROUND(((1-(TwoDayDiscount_21_Up+FedExExrpessEarnedDiscount))*'2Day Base'!J136),2),ROUND(MinBase2Day*(1+ExpressFuelSurcharge),2),ROUND(((1-(TwoDayDiscount_21_Up+FedExExrpessEarnedDiscount))*'2Day Base'!J136)*(1+ExpressFuelSurcharge),2)))*(1+FedEx_Markup),2)</f>
        <v>655.83</v>
      </c>
      <c r="K139" s="218">
        <f>ROUND((IF(MinBase2Day&gt;ROUND(((1-(TwoDayDiscount_21_Up+FedExExrpessEarnedDiscount))*'2Day Base'!K136),2),ROUND(MinBase2Day*(1+ExpressFuelSurcharge),2),ROUND(((1-(TwoDayDiscount_21_Up+FedExExrpessEarnedDiscount))*'2Day Base'!K136)*(1+ExpressFuelSurcharge),2)))*(1+FedEx_Markup),2)</f>
        <v>669.94</v>
      </c>
      <c r="L139" s="218">
        <f>ROUND((IF(MinBase2Day&gt;ROUND(((1-(TwoDayDiscount_21_Up+FedExExrpessEarnedDiscount))*'2Day Base'!L136),2),ROUND(MinBase2Day*(1+ExpressFuelSurcharge),2),ROUND(((1-(TwoDayDiscount_21_Up+FedExExrpessEarnedDiscount))*'2Day Base'!L136)*(1+ExpressFuelSurcharge),2)))*(1+FedEx_Markup),2)</f>
        <v>669.94</v>
      </c>
    </row>
    <row r="140" spans="1:12" ht="12.75" customHeight="1">
      <c r="A140" s="217">
        <v>135</v>
      </c>
      <c r="B140" s="218">
        <f>ROUND((IF(MinBase2Day&gt;ROUND(((1-(TwoDayDiscount_21_Up+FedExExrpessEarnedDiscount))*'2Day Base'!B137),2),ROUND(MinBase2Day*(1+ExpressFuelSurcharge),2),ROUND(((1-(TwoDayDiscount_21_Up+FedExExrpessEarnedDiscount))*'2Day Base'!B137)*(1+ExpressFuelSurcharge),2)))*(1+FedEx_Markup),2)</f>
        <v>141.38</v>
      </c>
      <c r="C140" s="218">
        <f>ROUND((IF(MinBase2Day&gt;ROUND(((1-(TwoDayDiscount_21_Up+FedExExrpessEarnedDiscount))*'2Day Base'!C137),2),ROUND(MinBase2Day*(1+ExpressFuelSurcharge),2),ROUND(((1-(TwoDayDiscount_21_Up+FedExExrpessEarnedDiscount))*'2Day Base'!C137)*(1+ExpressFuelSurcharge),2)))*(1+FedEx_Markup),2)</f>
        <v>176.9</v>
      </c>
      <c r="D140" s="218">
        <f>ROUND((IF(MinBase2Day&gt;ROUND(((1-(TwoDayDiscount_21_Up+FedExExrpessEarnedDiscount))*'2Day Base'!D137),2),ROUND(MinBase2Day*(1+ExpressFuelSurcharge),2),ROUND(((1-(TwoDayDiscount_21_Up+FedExExrpessEarnedDiscount))*'2Day Base'!D137)*(1+ExpressFuelSurcharge),2)))*(1+FedEx_Markup),2)</f>
        <v>232.32</v>
      </c>
      <c r="E140" s="218">
        <f>ROUND((IF(MinBase2Day&gt;ROUND(((1-(TwoDayDiscount_21_Up+FedExExrpessEarnedDiscount))*'2Day Base'!E137),2),ROUND(MinBase2Day*(1+ExpressFuelSurcharge),2),ROUND(((1-(TwoDayDiscount_21_Up+FedExExrpessEarnedDiscount))*'2Day Base'!E137)*(1+ExpressFuelSurcharge),2)))*(1+FedEx_Markup),2)</f>
        <v>346.7</v>
      </c>
      <c r="F140" s="218">
        <f>ROUND((IF(MinBase2Day&gt;ROUND(((1-(TwoDayDiscount_21_Up+FedExExrpessEarnedDiscount))*'2Day Base'!F137),2),ROUND(MinBase2Day*(1+ExpressFuelSurcharge),2),ROUND(((1-(TwoDayDiscount_21_Up+FedExExrpessEarnedDiscount))*'2Day Base'!F137)*(1+ExpressFuelSurcharge),2)))*(1+FedEx_Markup),2)</f>
        <v>550.61</v>
      </c>
      <c r="G140" s="218">
        <f>ROUND((IF(MinBase2Day&gt;ROUND(((1-(TwoDayDiscount_21_Up+FedExExrpessEarnedDiscount))*'2Day Base'!G137),2),ROUND(MinBase2Day*(1+ExpressFuelSurcharge),2),ROUND(((1-(TwoDayDiscount_21_Up+FedExExrpessEarnedDiscount))*'2Day Base'!G137)*(1+ExpressFuelSurcharge),2)))*(1+FedEx_Markup),2)</f>
        <v>628.04999999999995</v>
      </c>
      <c r="H140" s="218">
        <f>ROUND((IF(MinBase2Day&gt;ROUND(((1-(TwoDayDiscount_21_Up+FedExExrpessEarnedDiscount))*'2Day Base'!H137),2),ROUND(MinBase2Day*(1+ExpressFuelSurcharge),2),ROUND(((1-(TwoDayDiscount_21_Up+FedExExrpessEarnedDiscount))*'2Day Base'!H137)*(1+ExpressFuelSurcharge),2)))*(1+FedEx_Markup),2)</f>
        <v>647.23</v>
      </c>
      <c r="I140" s="218">
        <f>ROUND((IF(MinBase2Day&gt;ROUND(((1-(TwoDayDiscount_21_Up+FedExExrpessEarnedDiscount))*'2Day Base'!I137),2),ROUND(MinBase2Day*(1+ExpressFuelSurcharge),2),ROUND(((1-(TwoDayDiscount_21_Up+FedExExrpessEarnedDiscount))*'2Day Base'!I137)*(1+ExpressFuelSurcharge),2)))*(1+FedEx_Markup),2)</f>
        <v>660.73</v>
      </c>
      <c r="J140" s="218">
        <f>ROUND((IF(MinBase2Day&gt;ROUND(((1-(TwoDayDiscount_21_Up+FedExExrpessEarnedDiscount))*'2Day Base'!J137),2),ROUND(MinBase2Day*(1+ExpressFuelSurcharge),2),ROUND(((1-(TwoDayDiscount_21_Up+FedExExrpessEarnedDiscount))*'2Day Base'!J137)*(1+ExpressFuelSurcharge),2)))*(1+FedEx_Markup),2)</f>
        <v>660.73</v>
      </c>
      <c r="K140" s="218">
        <f>ROUND((IF(MinBase2Day&gt;ROUND(((1-(TwoDayDiscount_21_Up+FedExExrpessEarnedDiscount))*'2Day Base'!K137),2),ROUND(MinBase2Day*(1+ExpressFuelSurcharge),2),ROUND(((1-(TwoDayDiscount_21_Up+FedExExrpessEarnedDiscount))*'2Day Base'!K137)*(1+ExpressFuelSurcharge),2)))*(1+FedEx_Markup),2)</f>
        <v>674.94</v>
      </c>
      <c r="L140" s="218">
        <f>ROUND((IF(MinBase2Day&gt;ROUND(((1-(TwoDayDiscount_21_Up+FedExExrpessEarnedDiscount))*'2Day Base'!L137),2),ROUND(MinBase2Day*(1+ExpressFuelSurcharge),2),ROUND(((1-(TwoDayDiscount_21_Up+FedExExrpessEarnedDiscount))*'2Day Base'!L137)*(1+ExpressFuelSurcharge),2)))*(1+FedEx_Markup),2)</f>
        <v>674.94</v>
      </c>
    </row>
    <row r="141" spans="1:12" ht="12.75" customHeight="1">
      <c r="A141" s="217">
        <v>136</v>
      </c>
      <c r="B141" s="218">
        <f>ROUND((IF(MinBase2Day&gt;ROUND(((1-(TwoDayDiscount_21_Up+FedExExrpessEarnedDiscount))*'2Day Base'!B138),2),ROUND(MinBase2Day*(1+ExpressFuelSurcharge),2),ROUND(((1-(TwoDayDiscount_21_Up+FedExExrpessEarnedDiscount))*'2Day Base'!B138)*(1+ExpressFuelSurcharge),2)))*(1+FedEx_Markup),2)</f>
        <v>142.43</v>
      </c>
      <c r="C141" s="218">
        <f>ROUND((IF(MinBase2Day&gt;ROUND(((1-(TwoDayDiscount_21_Up+FedExExrpessEarnedDiscount))*'2Day Base'!C138),2),ROUND(MinBase2Day*(1+ExpressFuelSurcharge),2),ROUND(((1-(TwoDayDiscount_21_Up+FedExExrpessEarnedDiscount))*'2Day Base'!C138)*(1+ExpressFuelSurcharge),2)))*(1+FedEx_Markup),2)</f>
        <v>178.22</v>
      </c>
      <c r="D141" s="218">
        <f>ROUND((IF(MinBase2Day&gt;ROUND(((1-(TwoDayDiscount_21_Up+FedExExrpessEarnedDiscount))*'2Day Base'!D138),2),ROUND(MinBase2Day*(1+ExpressFuelSurcharge),2),ROUND(((1-(TwoDayDiscount_21_Up+FedExExrpessEarnedDiscount))*'2Day Base'!D138)*(1+ExpressFuelSurcharge),2)))*(1+FedEx_Markup),2)</f>
        <v>234.04</v>
      </c>
      <c r="E141" s="218">
        <f>ROUND((IF(MinBase2Day&gt;ROUND(((1-(TwoDayDiscount_21_Up+FedExExrpessEarnedDiscount))*'2Day Base'!E138),2),ROUND(MinBase2Day*(1+ExpressFuelSurcharge),2),ROUND(((1-(TwoDayDiscount_21_Up+FedExExrpessEarnedDiscount))*'2Day Base'!E138)*(1+ExpressFuelSurcharge),2)))*(1+FedEx_Markup),2)</f>
        <v>349.28</v>
      </c>
      <c r="F141" s="218">
        <f>ROUND((IF(MinBase2Day&gt;ROUND(((1-(TwoDayDiscount_21_Up+FedExExrpessEarnedDiscount))*'2Day Base'!F138),2),ROUND(MinBase2Day*(1+ExpressFuelSurcharge),2),ROUND(((1-(TwoDayDiscount_21_Up+FedExExrpessEarnedDiscount))*'2Day Base'!F138)*(1+ExpressFuelSurcharge),2)))*(1+FedEx_Markup),2)</f>
        <v>554.69000000000005</v>
      </c>
      <c r="G141" s="218">
        <f>ROUND((IF(MinBase2Day&gt;ROUND(((1-(TwoDayDiscount_21_Up+FedExExrpessEarnedDiscount))*'2Day Base'!G138),2),ROUND(MinBase2Day*(1+ExpressFuelSurcharge),2),ROUND(((1-(TwoDayDiscount_21_Up+FedExExrpessEarnedDiscount))*'2Day Base'!G138)*(1+ExpressFuelSurcharge),2)))*(1+FedEx_Markup),2)</f>
        <v>632.71</v>
      </c>
      <c r="H141" s="218">
        <f>ROUND((IF(MinBase2Day&gt;ROUND(((1-(TwoDayDiscount_21_Up+FedExExrpessEarnedDiscount))*'2Day Base'!H138),2),ROUND(MinBase2Day*(1+ExpressFuelSurcharge),2),ROUND(((1-(TwoDayDiscount_21_Up+FedExExrpessEarnedDiscount))*'2Day Base'!H138)*(1+ExpressFuelSurcharge),2)))*(1+FedEx_Markup),2)</f>
        <v>652.03</v>
      </c>
      <c r="I141" s="218">
        <f>ROUND((IF(MinBase2Day&gt;ROUND(((1-(TwoDayDiscount_21_Up+FedExExrpessEarnedDiscount))*'2Day Base'!I138),2),ROUND(MinBase2Day*(1+ExpressFuelSurcharge),2),ROUND(((1-(TwoDayDiscount_21_Up+FedExExrpessEarnedDiscount))*'2Day Base'!I138)*(1+ExpressFuelSurcharge),2)))*(1+FedEx_Markup),2)</f>
        <v>665.62</v>
      </c>
      <c r="J141" s="218">
        <f>ROUND((IF(MinBase2Day&gt;ROUND(((1-(TwoDayDiscount_21_Up+FedExExrpessEarnedDiscount))*'2Day Base'!J138),2),ROUND(MinBase2Day*(1+ExpressFuelSurcharge),2),ROUND(((1-(TwoDayDiscount_21_Up+FedExExrpessEarnedDiscount))*'2Day Base'!J138)*(1+ExpressFuelSurcharge),2)))*(1+FedEx_Markup),2)</f>
        <v>665.62</v>
      </c>
      <c r="K141" s="218">
        <f>ROUND((IF(MinBase2Day&gt;ROUND(((1-(TwoDayDiscount_21_Up+FedExExrpessEarnedDiscount))*'2Day Base'!K138),2),ROUND(MinBase2Day*(1+ExpressFuelSurcharge),2),ROUND(((1-(TwoDayDiscount_21_Up+FedExExrpessEarnedDiscount))*'2Day Base'!K138)*(1+ExpressFuelSurcharge),2)))*(1+FedEx_Markup),2)</f>
        <v>679.94</v>
      </c>
      <c r="L141" s="218">
        <f>ROUND((IF(MinBase2Day&gt;ROUND(((1-(TwoDayDiscount_21_Up+FedExExrpessEarnedDiscount))*'2Day Base'!L138),2),ROUND(MinBase2Day*(1+ExpressFuelSurcharge),2),ROUND(((1-(TwoDayDiscount_21_Up+FedExExrpessEarnedDiscount))*'2Day Base'!L138)*(1+ExpressFuelSurcharge),2)))*(1+FedEx_Markup),2)</f>
        <v>679.94</v>
      </c>
    </row>
    <row r="142" spans="1:12" ht="12.75" customHeight="1">
      <c r="A142" s="217">
        <v>137</v>
      </c>
      <c r="B142" s="218">
        <f>ROUND((IF(MinBase2Day&gt;ROUND(((1-(TwoDayDiscount_21_Up+FedExExrpessEarnedDiscount))*'2Day Base'!B139),2),ROUND(MinBase2Day*(1+ExpressFuelSurcharge),2),ROUND(((1-(TwoDayDiscount_21_Up+FedExExrpessEarnedDiscount))*'2Day Base'!B139)*(1+ExpressFuelSurcharge),2)))*(1+FedEx_Markup),2)</f>
        <v>143.47</v>
      </c>
      <c r="C142" s="218">
        <f>ROUND((IF(MinBase2Day&gt;ROUND(((1-(TwoDayDiscount_21_Up+FedExExrpessEarnedDiscount))*'2Day Base'!C139),2),ROUND(MinBase2Day*(1+ExpressFuelSurcharge),2),ROUND(((1-(TwoDayDiscount_21_Up+FedExExrpessEarnedDiscount))*'2Day Base'!C139)*(1+ExpressFuelSurcharge),2)))*(1+FedEx_Markup),2)</f>
        <v>179.53</v>
      </c>
      <c r="D142" s="218">
        <f>ROUND((IF(MinBase2Day&gt;ROUND(((1-(TwoDayDiscount_21_Up+FedExExrpessEarnedDiscount))*'2Day Base'!D139),2),ROUND(MinBase2Day*(1+ExpressFuelSurcharge),2),ROUND(((1-(TwoDayDiscount_21_Up+FedExExrpessEarnedDiscount))*'2Day Base'!D139)*(1+ExpressFuelSurcharge),2)))*(1+FedEx_Markup),2)</f>
        <v>235.76</v>
      </c>
      <c r="E142" s="218">
        <f>ROUND((IF(MinBase2Day&gt;ROUND(((1-(TwoDayDiscount_21_Up+FedExExrpessEarnedDiscount))*'2Day Base'!E139),2),ROUND(MinBase2Day*(1+ExpressFuelSurcharge),2),ROUND(((1-(TwoDayDiscount_21_Up+FedExExrpessEarnedDiscount))*'2Day Base'!E139)*(1+ExpressFuelSurcharge),2)))*(1+FedEx_Markup),2)</f>
        <v>351.84</v>
      </c>
      <c r="F142" s="218">
        <f>ROUND((IF(MinBase2Day&gt;ROUND(((1-(TwoDayDiscount_21_Up+FedExExrpessEarnedDiscount))*'2Day Base'!F139),2),ROUND(MinBase2Day*(1+ExpressFuelSurcharge),2),ROUND(((1-(TwoDayDiscount_21_Up+FedExExrpessEarnedDiscount))*'2Day Base'!F139)*(1+ExpressFuelSurcharge),2)))*(1+FedEx_Markup),2)</f>
        <v>558.76</v>
      </c>
      <c r="G142" s="218">
        <f>ROUND((IF(MinBase2Day&gt;ROUND(((1-(TwoDayDiscount_21_Up+FedExExrpessEarnedDiscount))*'2Day Base'!G139),2),ROUND(MinBase2Day*(1+ExpressFuelSurcharge),2),ROUND(((1-(TwoDayDiscount_21_Up+FedExExrpessEarnedDiscount))*'2Day Base'!G139)*(1+ExpressFuelSurcharge),2)))*(1+FedEx_Markup),2)</f>
        <v>637.35</v>
      </c>
      <c r="H142" s="218">
        <f>ROUND((IF(MinBase2Day&gt;ROUND(((1-(TwoDayDiscount_21_Up+FedExExrpessEarnedDiscount))*'2Day Base'!H139),2),ROUND(MinBase2Day*(1+ExpressFuelSurcharge),2),ROUND(((1-(TwoDayDiscount_21_Up+FedExExrpessEarnedDiscount))*'2Day Base'!H139)*(1+ExpressFuelSurcharge),2)))*(1+FedEx_Markup),2)</f>
        <v>656.82</v>
      </c>
      <c r="I142" s="218">
        <f>ROUND((IF(MinBase2Day&gt;ROUND(((1-(TwoDayDiscount_21_Up+FedExExrpessEarnedDiscount))*'2Day Base'!I139),2),ROUND(MinBase2Day*(1+ExpressFuelSurcharge),2),ROUND(((1-(TwoDayDiscount_21_Up+FedExExrpessEarnedDiscount))*'2Day Base'!I139)*(1+ExpressFuelSurcharge),2)))*(1+FedEx_Markup),2)</f>
        <v>670.52</v>
      </c>
      <c r="J142" s="218">
        <f>ROUND((IF(MinBase2Day&gt;ROUND(((1-(TwoDayDiscount_21_Up+FedExExrpessEarnedDiscount))*'2Day Base'!J139),2),ROUND(MinBase2Day*(1+ExpressFuelSurcharge),2),ROUND(((1-(TwoDayDiscount_21_Up+FedExExrpessEarnedDiscount))*'2Day Base'!J139)*(1+ExpressFuelSurcharge),2)))*(1+FedEx_Markup),2)</f>
        <v>670.52</v>
      </c>
      <c r="K142" s="218">
        <f>ROUND((IF(MinBase2Day&gt;ROUND(((1-(TwoDayDiscount_21_Up+FedExExrpessEarnedDiscount))*'2Day Base'!K139),2),ROUND(MinBase2Day*(1+ExpressFuelSurcharge),2),ROUND(((1-(TwoDayDiscount_21_Up+FedExExrpessEarnedDiscount))*'2Day Base'!K139)*(1+ExpressFuelSurcharge),2)))*(1+FedEx_Markup),2)</f>
        <v>684.94</v>
      </c>
      <c r="L142" s="218">
        <f>ROUND((IF(MinBase2Day&gt;ROUND(((1-(TwoDayDiscount_21_Up+FedExExrpessEarnedDiscount))*'2Day Base'!L139),2),ROUND(MinBase2Day*(1+ExpressFuelSurcharge),2),ROUND(((1-(TwoDayDiscount_21_Up+FedExExrpessEarnedDiscount))*'2Day Base'!L139)*(1+ExpressFuelSurcharge),2)))*(1+FedEx_Markup),2)</f>
        <v>684.94</v>
      </c>
    </row>
    <row r="143" spans="1:12" ht="12.75" customHeight="1">
      <c r="A143" s="217">
        <v>138</v>
      </c>
      <c r="B143" s="218">
        <f>ROUND((IF(MinBase2Day&gt;ROUND(((1-(TwoDayDiscount_21_Up+FedExExrpessEarnedDiscount))*'2Day Base'!B140),2),ROUND(MinBase2Day*(1+ExpressFuelSurcharge),2),ROUND(((1-(TwoDayDiscount_21_Up+FedExExrpessEarnedDiscount))*'2Day Base'!B140)*(1+ExpressFuelSurcharge),2)))*(1+FedEx_Markup),2)</f>
        <v>144.52000000000001</v>
      </c>
      <c r="C143" s="218">
        <f>ROUND((IF(MinBase2Day&gt;ROUND(((1-(TwoDayDiscount_21_Up+FedExExrpessEarnedDiscount))*'2Day Base'!C140),2),ROUND(MinBase2Day*(1+ExpressFuelSurcharge),2),ROUND(((1-(TwoDayDiscount_21_Up+FedExExrpessEarnedDiscount))*'2Day Base'!C140)*(1+ExpressFuelSurcharge),2)))*(1+FedEx_Markup),2)</f>
        <v>180.84</v>
      </c>
      <c r="D143" s="218">
        <f>ROUND((IF(MinBase2Day&gt;ROUND(((1-(TwoDayDiscount_21_Up+FedExExrpessEarnedDiscount))*'2Day Base'!D140),2),ROUND(MinBase2Day*(1+ExpressFuelSurcharge),2),ROUND(((1-(TwoDayDiscount_21_Up+FedExExrpessEarnedDiscount))*'2Day Base'!D140)*(1+ExpressFuelSurcharge),2)))*(1+FedEx_Markup),2)</f>
        <v>237.49</v>
      </c>
      <c r="E143" s="218">
        <f>ROUND((IF(MinBase2Day&gt;ROUND(((1-(TwoDayDiscount_21_Up+FedExExrpessEarnedDiscount))*'2Day Base'!E140),2),ROUND(MinBase2Day*(1+ExpressFuelSurcharge),2),ROUND(((1-(TwoDayDiscount_21_Up+FedExExrpessEarnedDiscount))*'2Day Base'!E140)*(1+ExpressFuelSurcharge),2)))*(1+FedEx_Markup),2)</f>
        <v>354.41</v>
      </c>
      <c r="F143" s="218">
        <f>ROUND((IF(MinBase2Day&gt;ROUND(((1-(TwoDayDiscount_21_Up+FedExExrpessEarnedDiscount))*'2Day Base'!F140),2),ROUND(MinBase2Day*(1+ExpressFuelSurcharge),2),ROUND(((1-(TwoDayDiscount_21_Up+FedExExrpessEarnedDiscount))*'2Day Base'!F140)*(1+ExpressFuelSurcharge),2)))*(1+FedEx_Markup),2)</f>
        <v>562.84</v>
      </c>
      <c r="G143" s="218">
        <f>ROUND((IF(MinBase2Day&gt;ROUND(((1-(TwoDayDiscount_21_Up+FedExExrpessEarnedDiscount))*'2Day Base'!G140),2),ROUND(MinBase2Day*(1+ExpressFuelSurcharge),2),ROUND(((1-(TwoDayDiscount_21_Up+FedExExrpessEarnedDiscount))*'2Day Base'!G140)*(1+ExpressFuelSurcharge),2)))*(1+FedEx_Markup),2)</f>
        <v>642.01</v>
      </c>
      <c r="H143" s="218">
        <f>ROUND((IF(MinBase2Day&gt;ROUND(((1-(TwoDayDiscount_21_Up+FedExExrpessEarnedDiscount))*'2Day Base'!H140),2),ROUND(MinBase2Day*(1+ExpressFuelSurcharge),2),ROUND(((1-(TwoDayDiscount_21_Up+FedExExrpessEarnedDiscount))*'2Day Base'!H140)*(1+ExpressFuelSurcharge),2)))*(1+FedEx_Markup),2)</f>
        <v>661.62</v>
      </c>
      <c r="I143" s="218">
        <f>ROUND((IF(MinBase2Day&gt;ROUND(((1-(TwoDayDiscount_21_Up+FedExExrpessEarnedDiscount))*'2Day Base'!I140),2),ROUND(MinBase2Day*(1+ExpressFuelSurcharge),2),ROUND(((1-(TwoDayDiscount_21_Up+FedExExrpessEarnedDiscount))*'2Day Base'!I140)*(1+ExpressFuelSurcharge),2)))*(1+FedEx_Markup),2)</f>
        <v>675.42</v>
      </c>
      <c r="J143" s="218">
        <f>ROUND((IF(MinBase2Day&gt;ROUND(((1-(TwoDayDiscount_21_Up+FedExExrpessEarnedDiscount))*'2Day Base'!J140),2),ROUND(MinBase2Day*(1+ExpressFuelSurcharge),2),ROUND(((1-(TwoDayDiscount_21_Up+FedExExrpessEarnedDiscount))*'2Day Base'!J140)*(1+ExpressFuelSurcharge),2)))*(1+FedEx_Markup),2)</f>
        <v>675.42</v>
      </c>
      <c r="K143" s="218">
        <f>ROUND((IF(MinBase2Day&gt;ROUND(((1-(TwoDayDiscount_21_Up+FedExExrpessEarnedDiscount))*'2Day Base'!K140),2),ROUND(MinBase2Day*(1+ExpressFuelSurcharge),2),ROUND(((1-(TwoDayDiscount_21_Up+FedExExrpessEarnedDiscount))*'2Day Base'!K140)*(1+ExpressFuelSurcharge),2)))*(1+FedEx_Markup),2)</f>
        <v>689.94</v>
      </c>
      <c r="L143" s="218">
        <f>ROUND((IF(MinBase2Day&gt;ROUND(((1-(TwoDayDiscount_21_Up+FedExExrpessEarnedDiscount))*'2Day Base'!L140),2),ROUND(MinBase2Day*(1+ExpressFuelSurcharge),2),ROUND(((1-(TwoDayDiscount_21_Up+FedExExrpessEarnedDiscount))*'2Day Base'!L140)*(1+ExpressFuelSurcharge),2)))*(1+FedEx_Markup),2)</f>
        <v>689.94</v>
      </c>
    </row>
    <row r="144" spans="1:12" ht="12.75" customHeight="1">
      <c r="A144" s="217">
        <v>139</v>
      </c>
      <c r="B144" s="218">
        <f>ROUND((IF(MinBase2Day&gt;ROUND(((1-(TwoDayDiscount_21_Up+FedExExrpessEarnedDiscount))*'2Day Base'!B141),2),ROUND(MinBase2Day*(1+ExpressFuelSurcharge),2),ROUND(((1-(TwoDayDiscount_21_Up+FedExExrpessEarnedDiscount))*'2Day Base'!B141)*(1+ExpressFuelSurcharge),2)))*(1+FedEx_Markup),2)</f>
        <v>145.57</v>
      </c>
      <c r="C144" s="218">
        <f>ROUND((IF(MinBase2Day&gt;ROUND(((1-(TwoDayDiscount_21_Up+FedExExrpessEarnedDiscount))*'2Day Base'!C141),2),ROUND(MinBase2Day*(1+ExpressFuelSurcharge),2),ROUND(((1-(TwoDayDiscount_21_Up+FedExExrpessEarnedDiscount))*'2Day Base'!C141)*(1+ExpressFuelSurcharge),2)))*(1+FedEx_Markup),2)</f>
        <v>182.15</v>
      </c>
      <c r="D144" s="218">
        <f>ROUND((IF(MinBase2Day&gt;ROUND(((1-(TwoDayDiscount_21_Up+FedExExrpessEarnedDiscount))*'2Day Base'!D141),2),ROUND(MinBase2Day*(1+ExpressFuelSurcharge),2),ROUND(((1-(TwoDayDiscount_21_Up+FedExExrpessEarnedDiscount))*'2Day Base'!D141)*(1+ExpressFuelSurcharge),2)))*(1+FedEx_Markup),2)</f>
        <v>239.2</v>
      </c>
      <c r="E144" s="218">
        <f>ROUND((IF(MinBase2Day&gt;ROUND(((1-(TwoDayDiscount_21_Up+FedExExrpessEarnedDiscount))*'2Day Base'!E141),2),ROUND(MinBase2Day*(1+ExpressFuelSurcharge),2),ROUND(((1-(TwoDayDiscount_21_Up+FedExExrpessEarnedDiscount))*'2Day Base'!E141)*(1+ExpressFuelSurcharge),2)))*(1+FedEx_Markup),2)</f>
        <v>356.98</v>
      </c>
      <c r="F144" s="218">
        <f>ROUND((IF(MinBase2Day&gt;ROUND(((1-(TwoDayDiscount_21_Up+FedExExrpessEarnedDiscount))*'2Day Base'!F141),2),ROUND(MinBase2Day*(1+ExpressFuelSurcharge),2),ROUND(((1-(TwoDayDiscount_21_Up+FedExExrpessEarnedDiscount))*'2Day Base'!F141)*(1+ExpressFuelSurcharge),2)))*(1+FedEx_Markup),2)</f>
        <v>566.92999999999995</v>
      </c>
      <c r="G144" s="218">
        <f>ROUND((IF(MinBase2Day&gt;ROUND(((1-(TwoDayDiscount_21_Up+FedExExrpessEarnedDiscount))*'2Day Base'!G141),2),ROUND(MinBase2Day*(1+ExpressFuelSurcharge),2),ROUND(((1-(TwoDayDiscount_21_Up+FedExExrpessEarnedDiscount))*'2Day Base'!G141)*(1+ExpressFuelSurcharge),2)))*(1+FedEx_Markup),2)</f>
        <v>646.66</v>
      </c>
      <c r="H144" s="218">
        <f>ROUND((IF(MinBase2Day&gt;ROUND(((1-(TwoDayDiscount_21_Up+FedExExrpessEarnedDiscount))*'2Day Base'!H141),2),ROUND(MinBase2Day*(1+ExpressFuelSurcharge),2),ROUND(((1-(TwoDayDiscount_21_Up+FedExExrpessEarnedDiscount))*'2Day Base'!H141)*(1+ExpressFuelSurcharge),2)))*(1+FedEx_Markup),2)</f>
        <v>666.41</v>
      </c>
      <c r="I144" s="218">
        <f>ROUND((IF(MinBase2Day&gt;ROUND(((1-(TwoDayDiscount_21_Up+FedExExrpessEarnedDiscount))*'2Day Base'!I141),2),ROUND(MinBase2Day*(1+ExpressFuelSurcharge),2),ROUND(((1-(TwoDayDiscount_21_Up+FedExExrpessEarnedDiscount))*'2Day Base'!I141)*(1+ExpressFuelSurcharge),2)))*(1+FedEx_Markup),2)</f>
        <v>680.31</v>
      </c>
      <c r="J144" s="218">
        <f>ROUND((IF(MinBase2Day&gt;ROUND(((1-(TwoDayDiscount_21_Up+FedExExrpessEarnedDiscount))*'2Day Base'!J141),2),ROUND(MinBase2Day*(1+ExpressFuelSurcharge),2),ROUND(((1-(TwoDayDiscount_21_Up+FedExExrpessEarnedDiscount))*'2Day Base'!J141)*(1+ExpressFuelSurcharge),2)))*(1+FedEx_Markup),2)</f>
        <v>680.31</v>
      </c>
      <c r="K144" s="218">
        <f>ROUND((IF(MinBase2Day&gt;ROUND(((1-(TwoDayDiscount_21_Up+FedExExrpessEarnedDiscount))*'2Day Base'!K141),2),ROUND(MinBase2Day*(1+ExpressFuelSurcharge),2),ROUND(((1-(TwoDayDiscount_21_Up+FedExExrpessEarnedDiscount))*'2Day Base'!K141)*(1+ExpressFuelSurcharge),2)))*(1+FedEx_Markup),2)</f>
        <v>694.93</v>
      </c>
      <c r="L144" s="218">
        <f>ROUND((IF(MinBase2Day&gt;ROUND(((1-(TwoDayDiscount_21_Up+FedExExrpessEarnedDiscount))*'2Day Base'!L141),2),ROUND(MinBase2Day*(1+ExpressFuelSurcharge),2),ROUND(((1-(TwoDayDiscount_21_Up+FedExExrpessEarnedDiscount))*'2Day Base'!L141)*(1+ExpressFuelSurcharge),2)))*(1+FedEx_Markup),2)</f>
        <v>694.93</v>
      </c>
    </row>
    <row r="145" spans="1:12" ht="12.75" customHeight="1">
      <c r="A145" s="217">
        <v>140</v>
      </c>
      <c r="B145" s="218">
        <f>ROUND((IF(MinBase2Day&gt;ROUND(((1-(TwoDayDiscount_21_Up+FedExExrpessEarnedDiscount))*'2Day Base'!B142),2),ROUND(MinBase2Day*(1+ExpressFuelSurcharge),2),ROUND(((1-(TwoDayDiscount_21_Up+FedExExrpessEarnedDiscount))*'2Day Base'!B142)*(1+ExpressFuelSurcharge),2)))*(1+FedEx_Markup),2)</f>
        <v>146.61000000000001</v>
      </c>
      <c r="C145" s="218">
        <f>ROUND((IF(MinBase2Day&gt;ROUND(((1-(TwoDayDiscount_21_Up+FedExExrpessEarnedDiscount))*'2Day Base'!C142),2),ROUND(MinBase2Day*(1+ExpressFuelSurcharge),2),ROUND(((1-(TwoDayDiscount_21_Up+FedExExrpessEarnedDiscount))*'2Day Base'!C142)*(1+ExpressFuelSurcharge),2)))*(1+FedEx_Markup),2)</f>
        <v>183.46</v>
      </c>
      <c r="D145" s="218">
        <f>ROUND((IF(MinBase2Day&gt;ROUND(((1-(TwoDayDiscount_21_Up+FedExExrpessEarnedDiscount))*'2Day Base'!D142),2),ROUND(MinBase2Day*(1+ExpressFuelSurcharge),2),ROUND(((1-(TwoDayDiscount_21_Up+FedExExrpessEarnedDiscount))*'2Day Base'!D142)*(1+ExpressFuelSurcharge),2)))*(1+FedEx_Markup),2)</f>
        <v>240.93</v>
      </c>
      <c r="E145" s="218">
        <f>ROUND((IF(MinBase2Day&gt;ROUND(((1-(TwoDayDiscount_21_Up+FedExExrpessEarnedDiscount))*'2Day Base'!E142),2),ROUND(MinBase2Day*(1+ExpressFuelSurcharge),2),ROUND(((1-(TwoDayDiscount_21_Up+FedExExrpessEarnedDiscount))*'2Day Base'!E142)*(1+ExpressFuelSurcharge),2)))*(1+FedEx_Markup),2)</f>
        <v>359.55</v>
      </c>
      <c r="F145" s="218">
        <f>ROUND((IF(MinBase2Day&gt;ROUND(((1-(TwoDayDiscount_21_Up+FedExExrpessEarnedDiscount))*'2Day Base'!F142),2),ROUND(MinBase2Day*(1+ExpressFuelSurcharge),2),ROUND(((1-(TwoDayDiscount_21_Up+FedExExrpessEarnedDiscount))*'2Day Base'!F142)*(1+ExpressFuelSurcharge),2)))*(1+FedEx_Markup),2)</f>
        <v>571</v>
      </c>
      <c r="G145" s="218">
        <f>ROUND((IF(MinBase2Day&gt;ROUND(((1-(TwoDayDiscount_21_Up+FedExExrpessEarnedDiscount))*'2Day Base'!G142),2),ROUND(MinBase2Day*(1+ExpressFuelSurcharge),2),ROUND(((1-(TwoDayDiscount_21_Up+FedExExrpessEarnedDiscount))*'2Day Base'!G142)*(1+ExpressFuelSurcharge),2)))*(1+FedEx_Markup),2)</f>
        <v>651.30999999999995</v>
      </c>
      <c r="H145" s="218">
        <f>ROUND((IF(MinBase2Day&gt;ROUND(((1-(TwoDayDiscount_21_Up+FedExExrpessEarnedDiscount))*'2Day Base'!H142),2),ROUND(MinBase2Day*(1+ExpressFuelSurcharge),2),ROUND(((1-(TwoDayDiscount_21_Up+FedExExrpessEarnedDiscount))*'2Day Base'!H142)*(1+ExpressFuelSurcharge),2)))*(1+FedEx_Markup),2)</f>
        <v>671.2</v>
      </c>
      <c r="I145" s="218">
        <f>ROUND((IF(MinBase2Day&gt;ROUND(((1-(TwoDayDiscount_21_Up+FedExExrpessEarnedDiscount))*'2Day Base'!I142),2),ROUND(MinBase2Day*(1+ExpressFuelSurcharge),2),ROUND(((1-(TwoDayDiscount_21_Up+FedExExrpessEarnedDiscount))*'2Day Base'!I142)*(1+ExpressFuelSurcharge),2)))*(1+FedEx_Markup),2)</f>
        <v>685.2</v>
      </c>
      <c r="J145" s="218">
        <f>ROUND((IF(MinBase2Day&gt;ROUND(((1-(TwoDayDiscount_21_Up+FedExExrpessEarnedDiscount))*'2Day Base'!J142),2),ROUND(MinBase2Day*(1+ExpressFuelSurcharge),2),ROUND(((1-(TwoDayDiscount_21_Up+FedExExrpessEarnedDiscount))*'2Day Base'!J142)*(1+ExpressFuelSurcharge),2)))*(1+FedEx_Markup),2)</f>
        <v>685.2</v>
      </c>
      <c r="K145" s="218">
        <f>ROUND((IF(MinBase2Day&gt;ROUND(((1-(TwoDayDiscount_21_Up+FedExExrpessEarnedDiscount))*'2Day Base'!K142),2),ROUND(MinBase2Day*(1+ExpressFuelSurcharge),2),ROUND(((1-(TwoDayDiscount_21_Up+FedExExrpessEarnedDiscount))*'2Day Base'!K142)*(1+ExpressFuelSurcharge),2)))*(1+FedEx_Markup),2)</f>
        <v>699.94</v>
      </c>
      <c r="L145" s="218">
        <f>ROUND((IF(MinBase2Day&gt;ROUND(((1-(TwoDayDiscount_21_Up+FedExExrpessEarnedDiscount))*'2Day Base'!L142),2),ROUND(MinBase2Day*(1+ExpressFuelSurcharge),2),ROUND(((1-(TwoDayDiscount_21_Up+FedExExrpessEarnedDiscount))*'2Day Base'!L142)*(1+ExpressFuelSurcharge),2)))*(1+FedEx_Markup),2)</f>
        <v>699.94</v>
      </c>
    </row>
    <row r="146" spans="1:12" ht="12.75" customHeight="1">
      <c r="A146" s="217">
        <v>141</v>
      </c>
      <c r="B146" s="218">
        <f>ROUND((IF(MinBase2Day&gt;ROUND(((1-(TwoDayDiscount_21_Up+FedExExrpessEarnedDiscount))*'2Day Base'!B143),2),ROUND(MinBase2Day*(1+ExpressFuelSurcharge),2),ROUND(((1-(TwoDayDiscount_21_Up+FedExExrpessEarnedDiscount))*'2Day Base'!B143)*(1+ExpressFuelSurcharge),2)))*(1+FedEx_Markup),2)</f>
        <v>147.66</v>
      </c>
      <c r="C146" s="218">
        <f>ROUND((IF(MinBase2Day&gt;ROUND(((1-(TwoDayDiscount_21_Up+FedExExrpessEarnedDiscount))*'2Day Base'!C143),2),ROUND(MinBase2Day*(1+ExpressFuelSurcharge),2),ROUND(((1-(TwoDayDiscount_21_Up+FedExExrpessEarnedDiscount))*'2Day Base'!C143)*(1+ExpressFuelSurcharge),2)))*(1+FedEx_Markup),2)</f>
        <v>184.77</v>
      </c>
      <c r="D146" s="218">
        <f>ROUND((IF(MinBase2Day&gt;ROUND(((1-(TwoDayDiscount_21_Up+FedExExrpessEarnedDiscount))*'2Day Base'!D143),2),ROUND(MinBase2Day*(1+ExpressFuelSurcharge),2),ROUND(((1-(TwoDayDiscount_21_Up+FedExExrpessEarnedDiscount))*'2Day Base'!D143)*(1+ExpressFuelSurcharge),2)))*(1+FedEx_Markup),2)</f>
        <v>242.65</v>
      </c>
      <c r="E146" s="218">
        <f>ROUND((IF(MinBase2Day&gt;ROUND(((1-(TwoDayDiscount_21_Up+FedExExrpessEarnedDiscount))*'2Day Base'!E143),2),ROUND(MinBase2Day*(1+ExpressFuelSurcharge),2),ROUND(((1-(TwoDayDiscount_21_Up+FedExExrpessEarnedDiscount))*'2Day Base'!E143)*(1+ExpressFuelSurcharge),2)))*(1+FedEx_Markup),2)</f>
        <v>362.11</v>
      </c>
      <c r="F146" s="218">
        <f>ROUND((IF(MinBase2Day&gt;ROUND(((1-(TwoDayDiscount_21_Up+FedExExrpessEarnedDiscount))*'2Day Base'!F143),2),ROUND(MinBase2Day*(1+ExpressFuelSurcharge),2),ROUND(((1-(TwoDayDiscount_21_Up+FedExExrpessEarnedDiscount))*'2Day Base'!F143)*(1+ExpressFuelSurcharge),2)))*(1+FedEx_Markup),2)</f>
        <v>575.08000000000004</v>
      </c>
      <c r="G146" s="218">
        <f>ROUND((IF(MinBase2Day&gt;ROUND(((1-(TwoDayDiscount_21_Up+FedExExrpessEarnedDiscount))*'2Day Base'!G143),2),ROUND(MinBase2Day*(1+ExpressFuelSurcharge),2),ROUND(((1-(TwoDayDiscount_21_Up+FedExExrpessEarnedDiscount))*'2Day Base'!G143)*(1+ExpressFuelSurcharge),2)))*(1+FedEx_Markup),2)</f>
        <v>655.96</v>
      </c>
      <c r="H146" s="218">
        <f>ROUND((IF(MinBase2Day&gt;ROUND(((1-(TwoDayDiscount_21_Up+FedExExrpessEarnedDiscount))*'2Day Base'!H143),2),ROUND(MinBase2Day*(1+ExpressFuelSurcharge),2),ROUND(((1-(TwoDayDiscount_21_Up+FedExExrpessEarnedDiscount))*'2Day Base'!H143)*(1+ExpressFuelSurcharge),2)))*(1+FedEx_Markup),2)</f>
        <v>675.99</v>
      </c>
      <c r="I146" s="218">
        <f>ROUND((IF(MinBase2Day&gt;ROUND(((1-(TwoDayDiscount_21_Up+FedExExrpessEarnedDiscount))*'2Day Base'!I143),2),ROUND(MinBase2Day*(1+ExpressFuelSurcharge),2),ROUND(((1-(TwoDayDiscount_21_Up+FedExExrpessEarnedDiscount))*'2Day Base'!I143)*(1+ExpressFuelSurcharge),2)))*(1+FedEx_Markup),2)</f>
        <v>690.09</v>
      </c>
      <c r="J146" s="218">
        <f>ROUND((IF(MinBase2Day&gt;ROUND(((1-(TwoDayDiscount_21_Up+FedExExrpessEarnedDiscount))*'2Day Base'!J143),2),ROUND(MinBase2Day*(1+ExpressFuelSurcharge),2),ROUND(((1-(TwoDayDiscount_21_Up+FedExExrpessEarnedDiscount))*'2Day Base'!J143)*(1+ExpressFuelSurcharge),2)))*(1+FedEx_Markup),2)</f>
        <v>690.09</v>
      </c>
      <c r="K146" s="218">
        <f>ROUND((IF(MinBase2Day&gt;ROUND(((1-(TwoDayDiscount_21_Up+FedExExrpessEarnedDiscount))*'2Day Base'!K143),2),ROUND(MinBase2Day*(1+ExpressFuelSurcharge),2),ROUND(((1-(TwoDayDiscount_21_Up+FedExExrpessEarnedDiscount))*'2Day Base'!K143)*(1+ExpressFuelSurcharge),2)))*(1+FedEx_Markup),2)</f>
        <v>704.94</v>
      </c>
      <c r="L146" s="218">
        <f>ROUND((IF(MinBase2Day&gt;ROUND(((1-(TwoDayDiscount_21_Up+FedExExrpessEarnedDiscount))*'2Day Base'!L143),2),ROUND(MinBase2Day*(1+ExpressFuelSurcharge),2),ROUND(((1-(TwoDayDiscount_21_Up+FedExExrpessEarnedDiscount))*'2Day Base'!L143)*(1+ExpressFuelSurcharge),2)))*(1+FedEx_Markup),2)</f>
        <v>704.94</v>
      </c>
    </row>
    <row r="147" spans="1:12" ht="12.75" customHeight="1">
      <c r="A147" s="217">
        <v>142</v>
      </c>
      <c r="B147" s="218">
        <f>ROUND((IF(MinBase2Day&gt;ROUND(((1-(TwoDayDiscount_21_Up+FedExExrpessEarnedDiscount))*'2Day Base'!B144),2),ROUND(MinBase2Day*(1+ExpressFuelSurcharge),2),ROUND(((1-(TwoDayDiscount_21_Up+FedExExrpessEarnedDiscount))*'2Day Base'!B144)*(1+ExpressFuelSurcharge),2)))*(1+FedEx_Markup),2)</f>
        <v>148.72</v>
      </c>
      <c r="C147" s="218">
        <f>ROUND((IF(MinBase2Day&gt;ROUND(((1-(TwoDayDiscount_21_Up+FedExExrpessEarnedDiscount))*'2Day Base'!C144),2),ROUND(MinBase2Day*(1+ExpressFuelSurcharge),2),ROUND(((1-(TwoDayDiscount_21_Up+FedExExrpessEarnedDiscount))*'2Day Base'!C144)*(1+ExpressFuelSurcharge),2)))*(1+FedEx_Markup),2)</f>
        <v>186.08</v>
      </c>
      <c r="D147" s="218">
        <f>ROUND((IF(MinBase2Day&gt;ROUND(((1-(TwoDayDiscount_21_Up+FedExExrpessEarnedDiscount))*'2Day Base'!D144),2),ROUND(MinBase2Day*(1+ExpressFuelSurcharge),2),ROUND(((1-(TwoDayDiscount_21_Up+FedExExrpessEarnedDiscount))*'2Day Base'!D144)*(1+ExpressFuelSurcharge),2)))*(1+FedEx_Markup),2)</f>
        <v>244.36</v>
      </c>
      <c r="E147" s="218">
        <f>ROUND((IF(MinBase2Day&gt;ROUND(((1-(TwoDayDiscount_21_Up+FedExExrpessEarnedDiscount))*'2Day Base'!E144),2),ROUND(MinBase2Day*(1+ExpressFuelSurcharge),2),ROUND(((1-(TwoDayDiscount_21_Up+FedExExrpessEarnedDiscount))*'2Day Base'!E144)*(1+ExpressFuelSurcharge),2)))*(1+FedEx_Markup),2)</f>
        <v>364.69</v>
      </c>
      <c r="F147" s="218">
        <f>ROUND((IF(MinBase2Day&gt;ROUND(((1-(TwoDayDiscount_21_Up+FedExExrpessEarnedDiscount))*'2Day Base'!F144),2),ROUND(MinBase2Day*(1+ExpressFuelSurcharge),2),ROUND(((1-(TwoDayDiscount_21_Up+FedExExrpessEarnedDiscount))*'2Day Base'!F144)*(1+ExpressFuelSurcharge),2)))*(1+FedEx_Markup),2)</f>
        <v>579.16</v>
      </c>
      <c r="G147" s="218">
        <f>ROUND((IF(MinBase2Day&gt;ROUND(((1-(TwoDayDiscount_21_Up+FedExExrpessEarnedDiscount))*'2Day Base'!G144),2),ROUND(MinBase2Day*(1+ExpressFuelSurcharge),2),ROUND(((1-(TwoDayDiscount_21_Up+FedExExrpessEarnedDiscount))*'2Day Base'!G144)*(1+ExpressFuelSurcharge),2)))*(1+FedEx_Markup),2)</f>
        <v>660.62</v>
      </c>
      <c r="H147" s="218">
        <f>ROUND((IF(MinBase2Day&gt;ROUND(((1-(TwoDayDiscount_21_Up+FedExExrpessEarnedDiscount))*'2Day Base'!H144),2),ROUND(MinBase2Day*(1+ExpressFuelSurcharge),2),ROUND(((1-(TwoDayDiscount_21_Up+FedExExrpessEarnedDiscount))*'2Day Base'!H144)*(1+ExpressFuelSurcharge),2)))*(1+FedEx_Markup),2)</f>
        <v>680.79</v>
      </c>
      <c r="I147" s="218">
        <f>ROUND((IF(MinBase2Day&gt;ROUND(((1-(TwoDayDiscount_21_Up+FedExExrpessEarnedDiscount))*'2Day Base'!I144),2),ROUND(MinBase2Day*(1+ExpressFuelSurcharge),2),ROUND(((1-(TwoDayDiscount_21_Up+FedExExrpessEarnedDiscount))*'2Day Base'!I144)*(1+ExpressFuelSurcharge),2)))*(1+FedEx_Markup),2)</f>
        <v>694.99</v>
      </c>
      <c r="J147" s="218">
        <f>ROUND((IF(MinBase2Day&gt;ROUND(((1-(TwoDayDiscount_21_Up+FedExExrpessEarnedDiscount))*'2Day Base'!J144),2),ROUND(MinBase2Day*(1+ExpressFuelSurcharge),2),ROUND(((1-(TwoDayDiscount_21_Up+FedExExrpessEarnedDiscount))*'2Day Base'!J144)*(1+ExpressFuelSurcharge),2)))*(1+FedEx_Markup),2)</f>
        <v>694.99</v>
      </c>
      <c r="K147" s="218">
        <f>ROUND((IF(MinBase2Day&gt;ROUND(((1-(TwoDayDiscount_21_Up+FedExExrpessEarnedDiscount))*'2Day Base'!K144),2),ROUND(MinBase2Day*(1+ExpressFuelSurcharge),2),ROUND(((1-(TwoDayDiscount_21_Up+FedExExrpessEarnedDiscount))*'2Day Base'!K144)*(1+ExpressFuelSurcharge),2)))*(1+FedEx_Markup),2)</f>
        <v>709.94</v>
      </c>
      <c r="L147" s="218">
        <f>ROUND((IF(MinBase2Day&gt;ROUND(((1-(TwoDayDiscount_21_Up+FedExExrpessEarnedDiscount))*'2Day Base'!L144),2),ROUND(MinBase2Day*(1+ExpressFuelSurcharge),2),ROUND(((1-(TwoDayDiscount_21_Up+FedExExrpessEarnedDiscount))*'2Day Base'!L144)*(1+ExpressFuelSurcharge),2)))*(1+FedEx_Markup),2)</f>
        <v>709.94</v>
      </c>
    </row>
    <row r="148" spans="1:12" ht="12.75" customHeight="1">
      <c r="A148" s="217">
        <v>143</v>
      </c>
      <c r="B148" s="218">
        <f>ROUND((IF(MinBase2Day&gt;ROUND(((1-(TwoDayDiscount_21_Up+FedExExrpessEarnedDiscount))*'2Day Base'!B145),2),ROUND(MinBase2Day*(1+ExpressFuelSurcharge),2),ROUND(((1-(TwoDayDiscount_21_Up+FedExExrpessEarnedDiscount))*'2Day Base'!B145)*(1+ExpressFuelSurcharge),2)))*(1+FedEx_Markup),2)</f>
        <v>149.76</v>
      </c>
      <c r="C148" s="218">
        <f>ROUND((IF(MinBase2Day&gt;ROUND(((1-(TwoDayDiscount_21_Up+FedExExrpessEarnedDiscount))*'2Day Base'!C145),2),ROUND(MinBase2Day*(1+ExpressFuelSurcharge),2),ROUND(((1-(TwoDayDiscount_21_Up+FedExExrpessEarnedDiscount))*'2Day Base'!C145)*(1+ExpressFuelSurcharge),2)))*(1+FedEx_Markup),2)</f>
        <v>187.39</v>
      </c>
      <c r="D148" s="218">
        <f>ROUND((IF(MinBase2Day&gt;ROUND(((1-(TwoDayDiscount_21_Up+FedExExrpessEarnedDiscount))*'2Day Base'!D145),2),ROUND(MinBase2Day*(1+ExpressFuelSurcharge),2),ROUND(((1-(TwoDayDiscount_21_Up+FedExExrpessEarnedDiscount))*'2Day Base'!D145)*(1+ExpressFuelSurcharge),2)))*(1+FedEx_Markup),2)</f>
        <v>246.09</v>
      </c>
      <c r="E148" s="218">
        <f>ROUND((IF(MinBase2Day&gt;ROUND(((1-(TwoDayDiscount_21_Up+FedExExrpessEarnedDiscount))*'2Day Base'!E145),2),ROUND(MinBase2Day*(1+ExpressFuelSurcharge),2),ROUND(((1-(TwoDayDiscount_21_Up+FedExExrpessEarnedDiscount))*'2Day Base'!E145)*(1+ExpressFuelSurcharge),2)))*(1+FedEx_Markup),2)</f>
        <v>367.25</v>
      </c>
      <c r="F148" s="218">
        <f>ROUND((IF(MinBase2Day&gt;ROUND(((1-(TwoDayDiscount_21_Up+FedExExrpessEarnedDiscount))*'2Day Base'!F145),2),ROUND(MinBase2Day*(1+ExpressFuelSurcharge),2),ROUND(((1-(TwoDayDiscount_21_Up+FedExExrpessEarnedDiscount))*'2Day Base'!F145)*(1+ExpressFuelSurcharge),2)))*(1+FedEx_Markup),2)</f>
        <v>583.23</v>
      </c>
      <c r="G148" s="218">
        <f>ROUND((IF(MinBase2Day&gt;ROUND(((1-(TwoDayDiscount_21_Up+FedExExrpessEarnedDiscount))*'2Day Base'!G145),2),ROUND(MinBase2Day*(1+ExpressFuelSurcharge),2),ROUND(((1-(TwoDayDiscount_21_Up+FedExExrpessEarnedDiscount))*'2Day Base'!G145)*(1+ExpressFuelSurcharge),2)))*(1+FedEx_Markup),2)</f>
        <v>665.26</v>
      </c>
      <c r="H148" s="218">
        <f>ROUND((IF(MinBase2Day&gt;ROUND(((1-(TwoDayDiscount_21_Up+FedExExrpessEarnedDiscount))*'2Day Base'!H145),2),ROUND(MinBase2Day*(1+ExpressFuelSurcharge),2),ROUND(((1-(TwoDayDiscount_21_Up+FedExExrpessEarnedDiscount))*'2Day Base'!H145)*(1+ExpressFuelSurcharge),2)))*(1+FedEx_Markup),2)</f>
        <v>685.58</v>
      </c>
      <c r="I148" s="218">
        <f>ROUND((IF(MinBase2Day&gt;ROUND(((1-(TwoDayDiscount_21_Up+FedExExrpessEarnedDiscount))*'2Day Base'!I145),2),ROUND(MinBase2Day*(1+ExpressFuelSurcharge),2),ROUND(((1-(TwoDayDiscount_21_Up+FedExExrpessEarnedDiscount))*'2Day Base'!I145)*(1+ExpressFuelSurcharge),2)))*(1+FedEx_Markup),2)</f>
        <v>699.89</v>
      </c>
      <c r="J148" s="218">
        <f>ROUND((IF(MinBase2Day&gt;ROUND(((1-(TwoDayDiscount_21_Up+FedExExrpessEarnedDiscount))*'2Day Base'!J145),2),ROUND(MinBase2Day*(1+ExpressFuelSurcharge),2),ROUND(((1-(TwoDayDiscount_21_Up+FedExExrpessEarnedDiscount))*'2Day Base'!J145)*(1+ExpressFuelSurcharge),2)))*(1+FedEx_Markup),2)</f>
        <v>699.89</v>
      </c>
      <c r="K148" s="218">
        <f>ROUND((IF(MinBase2Day&gt;ROUND(((1-(TwoDayDiscount_21_Up+FedExExrpessEarnedDiscount))*'2Day Base'!K145),2),ROUND(MinBase2Day*(1+ExpressFuelSurcharge),2),ROUND(((1-(TwoDayDiscount_21_Up+FedExExrpessEarnedDiscount))*'2Day Base'!K145)*(1+ExpressFuelSurcharge),2)))*(1+FedEx_Markup),2)</f>
        <v>714.93</v>
      </c>
      <c r="L148" s="218">
        <f>ROUND((IF(MinBase2Day&gt;ROUND(((1-(TwoDayDiscount_21_Up+FedExExrpessEarnedDiscount))*'2Day Base'!L145),2),ROUND(MinBase2Day*(1+ExpressFuelSurcharge),2),ROUND(((1-(TwoDayDiscount_21_Up+FedExExrpessEarnedDiscount))*'2Day Base'!L145)*(1+ExpressFuelSurcharge),2)))*(1+FedEx_Markup),2)</f>
        <v>714.93</v>
      </c>
    </row>
    <row r="149" spans="1:12" ht="12.75" customHeight="1">
      <c r="A149" s="217">
        <v>144</v>
      </c>
      <c r="B149" s="218">
        <f>ROUND((IF(MinBase2Day&gt;ROUND(((1-(TwoDayDiscount_21_Up+FedExExrpessEarnedDiscount))*'2Day Base'!B146),2),ROUND(MinBase2Day*(1+ExpressFuelSurcharge),2),ROUND(((1-(TwoDayDiscount_21_Up+FedExExrpessEarnedDiscount))*'2Day Base'!B146)*(1+ExpressFuelSurcharge),2)))*(1+FedEx_Markup),2)</f>
        <v>150.81</v>
      </c>
      <c r="C149" s="218">
        <f>ROUND((IF(MinBase2Day&gt;ROUND(((1-(TwoDayDiscount_21_Up+FedExExrpessEarnedDiscount))*'2Day Base'!C146),2),ROUND(MinBase2Day*(1+ExpressFuelSurcharge),2),ROUND(((1-(TwoDayDiscount_21_Up+FedExExrpessEarnedDiscount))*'2Day Base'!C146)*(1+ExpressFuelSurcharge),2)))*(1+FedEx_Markup),2)</f>
        <v>188.7</v>
      </c>
      <c r="D149" s="218">
        <f>ROUND((IF(MinBase2Day&gt;ROUND(((1-(TwoDayDiscount_21_Up+FedExExrpessEarnedDiscount))*'2Day Base'!D146),2),ROUND(MinBase2Day*(1+ExpressFuelSurcharge),2),ROUND(((1-(TwoDayDiscount_21_Up+FedExExrpessEarnedDiscount))*'2Day Base'!D146)*(1+ExpressFuelSurcharge),2)))*(1+FedEx_Markup),2)</f>
        <v>247.81</v>
      </c>
      <c r="E149" s="218">
        <f>ROUND((IF(MinBase2Day&gt;ROUND(((1-(TwoDayDiscount_21_Up+FedExExrpessEarnedDiscount))*'2Day Base'!E146),2),ROUND(MinBase2Day*(1+ExpressFuelSurcharge),2),ROUND(((1-(TwoDayDiscount_21_Up+FedExExrpessEarnedDiscount))*'2Day Base'!E146)*(1+ExpressFuelSurcharge),2)))*(1+FedEx_Markup),2)</f>
        <v>369.82</v>
      </c>
      <c r="F149" s="218">
        <f>ROUND((IF(MinBase2Day&gt;ROUND(((1-(TwoDayDiscount_21_Up+FedExExrpessEarnedDiscount))*'2Day Base'!F146),2),ROUND(MinBase2Day*(1+ExpressFuelSurcharge),2),ROUND(((1-(TwoDayDiscount_21_Up+FedExExrpessEarnedDiscount))*'2Day Base'!F146)*(1+ExpressFuelSurcharge),2)))*(1+FedEx_Markup),2)</f>
        <v>587.32000000000005</v>
      </c>
      <c r="G149" s="218">
        <f>ROUND((IF(MinBase2Day&gt;ROUND(((1-(TwoDayDiscount_21_Up+FedExExrpessEarnedDiscount))*'2Day Base'!G146),2),ROUND(MinBase2Day*(1+ExpressFuelSurcharge),2),ROUND(((1-(TwoDayDiscount_21_Up+FedExExrpessEarnedDiscount))*'2Day Base'!G146)*(1+ExpressFuelSurcharge),2)))*(1+FedEx_Markup),2)</f>
        <v>669.92</v>
      </c>
      <c r="H149" s="218">
        <f>ROUND((IF(MinBase2Day&gt;ROUND(((1-(TwoDayDiscount_21_Up+FedExExrpessEarnedDiscount))*'2Day Base'!H146),2),ROUND(MinBase2Day*(1+ExpressFuelSurcharge),2),ROUND(((1-(TwoDayDiscount_21_Up+FedExExrpessEarnedDiscount))*'2Day Base'!H146)*(1+ExpressFuelSurcharge),2)))*(1+FedEx_Markup),2)</f>
        <v>690.38</v>
      </c>
      <c r="I149" s="218">
        <f>ROUND((IF(MinBase2Day&gt;ROUND(((1-(TwoDayDiscount_21_Up+FedExExrpessEarnedDiscount))*'2Day Base'!I146),2),ROUND(MinBase2Day*(1+ExpressFuelSurcharge),2),ROUND(((1-(TwoDayDiscount_21_Up+FedExExrpessEarnedDiscount))*'2Day Base'!I146)*(1+ExpressFuelSurcharge),2)))*(1+FedEx_Markup),2)</f>
        <v>704.78</v>
      </c>
      <c r="J149" s="218">
        <f>ROUND((IF(MinBase2Day&gt;ROUND(((1-(TwoDayDiscount_21_Up+FedExExrpessEarnedDiscount))*'2Day Base'!J146),2),ROUND(MinBase2Day*(1+ExpressFuelSurcharge),2),ROUND(((1-(TwoDayDiscount_21_Up+FedExExrpessEarnedDiscount))*'2Day Base'!J146)*(1+ExpressFuelSurcharge),2)))*(1+FedEx_Markup),2)</f>
        <v>704.78</v>
      </c>
      <c r="K149" s="218">
        <f>ROUND((IF(MinBase2Day&gt;ROUND(((1-(TwoDayDiscount_21_Up+FedExExrpessEarnedDiscount))*'2Day Base'!K146),2),ROUND(MinBase2Day*(1+ExpressFuelSurcharge),2),ROUND(((1-(TwoDayDiscount_21_Up+FedExExrpessEarnedDiscount))*'2Day Base'!K146)*(1+ExpressFuelSurcharge),2)))*(1+FedEx_Markup),2)</f>
        <v>719.93</v>
      </c>
      <c r="L149" s="218">
        <f>ROUND((IF(MinBase2Day&gt;ROUND(((1-(TwoDayDiscount_21_Up+FedExExrpessEarnedDiscount))*'2Day Base'!L146),2),ROUND(MinBase2Day*(1+ExpressFuelSurcharge),2),ROUND(((1-(TwoDayDiscount_21_Up+FedExExrpessEarnedDiscount))*'2Day Base'!L146)*(1+ExpressFuelSurcharge),2)))*(1+FedEx_Markup),2)</f>
        <v>719.93</v>
      </c>
    </row>
    <row r="150" spans="1:12" ht="12.75" customHeight="1">
      <c r="A150" s="217">
        <v>145</v>
      </c>
      <c r="B150" s="218">
        <f>ROUND((IF(MinBase2Day&gt;ROUND(((1-(TwoDayDiscount_21_Up+FedExExrpessEarnedDiscount))*'2Day Base'!B147),2),ROUND(MinBase2Day*(1+ExpressFuelSurcharge),2),ROUND(((1-(TwoDayDiscount_21_Up+FedExExrpessEarnedDiscount))*'2Day Base'!B147)*(1+ExpressFuelSurcharge),2)))*(1+FedEx_Markup),2)</f>
        <v>151.86000000000001</v>
      </c>
      <c r="C150" s="218">
        <f>ROUND((IF(MinBase2Day&gt;ROUND(((1-(TwoDayDiscount_21_Up+FedExExrpessEarnedDiscount))*'2Day Base'!C147),2),ROUND(MinBase2Day*(1+ExpressFuelSurcharge),2),ROUND(((1-(TwoDayDiscount_21_Up+FedExExrpessEarnedDiscount))*'2Day Base'!C147)*(1+ExpressFuelSurcharge),2)))*(1+FedEx_Markup),2)</f>
        <v>190.01</v>
      </c>
      <c r="D150" s="218">
        <f>ROUND((IF(MinBase2Day&gt;ROUND(((1-(TwoDayDiscount_21_Up+FedExExrpessEarnedDiscount))*'2Day Base'!D147),2),ROUND(MinBase2Day*(1+ExpressFuelSurcharge),2),ROUND(((1-(TwoDayDiscount_21_Up+FedExExrpessEarnedDiscount))*'2Day Base'!D147)*(1+ExpressFuelSurcharge),2)))*(1+FedEx_Markup),2)</f>
        <v>249.53</v>
      </c>
      <c r="E150" s="218">
        <f>ROUND((IF(MinBase2Day&gt;ROUND(((1-(TwoDayDiscount_21_Up+FedExExrpessEarnedDiscount))*'2Day Base'!E147),2),ROUND(MinBase2Day*(1+ExpressFuelSurcharge),2),ROUND(((1-(TwoDayDiscount_21_Up+FedExExrpessEarnedDiscount))*'2Day Base'!E147)*(1+ExpressFuelSurcharge),2)))*(1+FedEx_Markup),2)</f>
        <v>372.39</v>
      </c>
      <c r="F150" s="218">
        <f>ROUND((IF(MinBase2Day&gt;ROUND(((1-(TwoDayDiscount_21_Up+FedExExrpessEarnedDiscount))*'2Day Base'!F147),2),ROUND(MinBase2Day*(1+ExpressFuelSurcharge),2),ROUND(((1-(TwoDayDiscount_21_Up+FedExExrpessEarnedDiscount))*'2Day Base'!F147)*(1+ExpressFuelSurcharge),2)))*(1+FedEx_Markup),2)</f>
        <v>591.4</v>
      </c>
      <c r="G150" s="218">
        <f>ROUND((IF(MinBase2Day&gt;ROUND(((1-(TwoDayDiscount_21_Up+FedExExrpessEarnedDiscount))*'2Day Base'!G147),2),ROUND(MinBase2Day*(1+ExpressFuelSurcharge),2),ROUND(((1-(TwoDayDiscount_21_Up+FedExExrpessEarnedDiscount))*'2Day Base'!G147)*(1+ExpressFuelSurcharge),2)))*(1+FedEx_Markup),2)</f>
        <v>674.57</v>
      </c>
      <c r="H150" s="218">
        <f>ROUND((IF(MinBase2Day&gt;ROUND(((1-(TwoDayDiscount_21_Up+FedExExrpessEarnedDiscount))*'2Day Base'!H147),2),ROUND(MinBase2Day*(1+ExpressFuelSurcharge),2),ROUND(((1-(TwoDayDiscount_21_Up+FedExExrpessEarnedDiscount))*'2Day Base'!H147)*(1+ExpressFuelSurcharge),2)))*(1+FedEx_Markup),2)</f>
        <v>695.18</v>
      </c>
      <c r="I150" s="218">
        <f>ROUND((IF(MinBase2Day&gt;ROUND(((1-(TwoDayDiscount_21_Up+FedExExrpessEarnedDiscount))*'2Day Base'!I147),2),ROUND(MinBase2Day*(1+ExpressFuelSurcharge),2),ROUND(((1-(TwoDayDiscount_21_Up+FedExExrpessEarnedDiscount))*'2Day Base'!I147)*(1+ExpressFuelSurcharge),2)))*(1+FedEx_Markup),2)</f>
        <v>709.68</v>
      </c>
      <c r="J150" s="218">
        <f>ROUND((IF(MinBase2Day&gt;ROUND(((1-(TwoDayDiscount_21_Up+FedExExrpessEarnedDiscount))*'2Day Base'!J147),2),ROUND(MinBase2Day*(1+ExpressFuelSurcharge),2),ROUND(((1-(TwoDayDiscount_21_Up+FedExExrpessEarnedDiscount))*'2Day Base'!J147)*(1+ExpressFuelSurcharge),2)))*(1+FedEx_Markup),2)</f>
        <v>709.68</v>
      </c>
      <c r="K150" s="218">
        <f>ROUND((IF(MinBase2Day&gt;ROUND(((1-(TwoDayDiscount_21_Up+FedExExrpessEarnedDiscount))*'2Day Base'!K147),2),ROUND(MinBase2Day*(1+ExpressFuelSurcharge),2),ROUND(((1-(TwoDayDiscount_21_Up+FedExExrpessEarnedDiscount))*'2Day Base'!K147)*(1+ExpressFuelSurcharge),2)))*(1+FedEx_Markup),2)</f>
        <v>724.94</v>
      </c>
      <c r="L150" s="218">
        <f>ROUND((IF(MinBase2Day&gt;ROUND(((1-(TwoDayDiscount_21_Up+FedExExrpessEarnedDiscount))*'2Day Base'!L147),2),ROUND(MinBase2Day*(1+ExpressFuelSurcharge),2),ROUND(((1-(TwoDayDiscount_21_Up+FedExExrpessEarnedDiscount))*'2Day Base'!L147)*(1+ExpressFuelSurcharge),2)))*(1+FedEx_Markup),2)</f>
        <v>724.94</v>
      </c>
    </row>
    <row r="151" spans="1:12" ht="12.75" customHeight="1">
      <c r="A151" s="217">
        <v>146</v>
      </c>
      <c r="B151" s="218">
        <f>ROUND((IF(MinBase2Day&gt;ROUND(((1-(TwoDayDiscount_21_Up+FedExExrpessEarnedDiscount))*'2Day Base'!B148),2),ROUND(MinBase2Day*(1+ExpressFuelSurcharge),2),ROUND(((1-(TwoDayDiscount_21_Up+FedExExrpessEarnedDiscount))*'2Day Base'!B148)*(1+ExpressFuelSurcharge),2)))*(1+FedEx_Markup),2)</f>
        <v>152.9</v>
      </c>
      <c r="C151" s="218">
        <f>ROUND((IF(MinBase2Day&gt;ROUND(((1-(TwoDayDiscount_21_Up+FedExExrpessEarnedDiscount))*'2Day Base'!C148),2),ROUND(MinBase2Day*(1+ExpressFuelSurcharge),2),ROUND(((1-(TwoDayDiscount_21_Up+FedExExrpessEarnedDiscount))*'2Day Base'!C148)*(1+ExpressFuelSurcharge),2)))*(1+FedEx_Markup),2)</f>
        <v>191.31</v>
      </c>
      <c r="D151" s="218">
        <f>ROUND((IF(MinBase2Day&gt;ROUND(((1-(TwoDayDiscount_21_Up+FedExExrpessEarnedDiscount))*'2Day Base'!D148),2),ROUND(MinBase2Day*(1+ExpressFuelSurcharge),2),ROUND(((1-(TwoDayDiscount_21_Up+FedExExrpessEarnedDiscount))*'2Day Base'!D148)*(1+ExpressFuelSurcharge),2)))*(1+FedEx_Markup),2)</f>
        <v>251.25</v>
      </c>
      <c r="E151" s="218">
        <f>ROUND((IF(MinBase2Day&gt;ROUND(((1-(TwoDayDiscount_21_Up+FedExExrpessEarnedDiscount))*'2Day Base'!E148),2),ROUND(MinBase2Day*(1+ExpressFuelSurcharge),2),ROUND(((1-(TwoDayDiscount_21_Up+FedExExrpessEarnedDiscount))*'2Day Base'!E148)*(1+ExpressFuelSurcharge),2)))*(1+FedEx_Markup),2)</f>
        <v>374.96</v>
      </c>
      <c r="F151" s="218">
        <f>ROUND((IF(MinBase2Day&gt;ROUND(((1-(TwoDayDiscount_21_Up+FedExExrpessEarnedDiscount))*'2Day Base'!F148),2),ROUND(MinBase2Day*(1+ExpressFuelSurcharge),2),ROUND(((1-(TwoDayDiscount_21_Up+FedExExrpessEarnedDiscount))*'2Day Base'!F148)*(1+ExpressFuelSurcharge),2)))*(1+FedEx_Markup),2)</f>
        <v>595.47</v>
      </c>
      <c r="G151" s="218">
        <f>ROUND((IF(MinBase2Day&gt;ROUND(((1-(TwoDayDiscount_21_Up+FedExExrpessEarnedDiscount))*'2Day Base'!G148),2),ROUND(MinBase2Day*(1+ExpressFuelSurcharge),2),ROUND(((1-(TwoDayDiscount_21_Up+FedExExrpessEarnedDiscount))*'2Day Base'!G148)*(1+ExpressFuelSurcharge),2)))*(1+FedEx_Markup),2)</f>
        <v>679.22</v>
      </c>
      <c r="H151" s="218">
        <f>ROUND((IF(MinBase2Day&gt;ROUND(((1-(TwoDayDiscount_21_Up+FedExExrpessEarnedDiscount))*'2Day Base'!H148),2),ROUND(MinBase2Day*(1+ExpressFuelSurcharge),2),ROUND(((1-(TwoDayDiscount_21_Up+FedExExrpessEarnedDiscount))*'2Day Base'!H148)*(1+ExpressFuelSurcharge),2)))*(1+FedEx_Markup),2)</f>
        <v>699.97</v>
      </c>
      <c r="I151" s="218">
        <f>ROUND((IF(MinBase2Day&gt;ROUND(((1-(TwoDayDiscount_21_Up+FedExExrpessEarnedDiscount))*'2Day Base'!I148),2),ROUND(MinBase2Day*(1+ExpressFuelSurcharge),2),ROUND(((1-(TwoDayDiscount_21_Up+FedExExrpessEarnedDiscount))*'2Day Base'!I148)*(1+ExpressFuelSurcharge),2)))*(1+FedEx_Markup),2)</f>
        <v>714.56</v>
      </c>
      <c r="J151" s="218">
        <f>ROUND((IF(MinBase2Day&gt;ROUND(((1-(TwoDayDiscount_21_Up+FedExExrpessEarnedDiscount))*'2Day Base'!J148),2),ROUND(MinBase2Day*(1+ExpressFuelSurcharge),2),ROUND(((1-(TwoDayDiscount_21_Up+FedExExrpessEarnedDiscount))*'2Day Base'!J148)*(1+ExpressFuelSurcharge),2)))*(1+FedEx_Markup),2)</f>
        <v>714.56</v>
      </c>
      <c r="K151" s="218">
        <f>ROUND((IF(MinBase2Day&gt;ROUND(((1-(TwoDayDiscount_21_Up+FedExExrpessEarnedDiscount))*'2Day Base'!K148),2),ROUND(MinBase2Day*(1+ExpressFuelSurcharge),2),ROUND(((1-(TwoDayDiscount_21_Up+FedExExrpessEarnedDiscount))*'2Day Base'!K148)*(1+ExpressFuelSurcharge),2)))*(1+FedEx_Markup),2)</f>
        <v>729.94</v>
      </c>
      <c r="L151" s="218">
        <f>ROUND((IF(MinBase2Day&gt;ROUND(((1-(TwoDayDiscount_21_Up+FedExExrpessEarnedDiscount))*'2Day Base'!L148),2),ROUND(MinBase2Day*(1+ExpressFuelSurcharge),2),ROUND(((1-(TwoDayDiscount_21_Up+FedExExrpessEarnedDiscount))*'2Day Base'!L148)*(1+ExpressFuelSurcharge),2)))*(1+FedEx_Markup),2)</f>
        <v>729.94</v>
      </c>
    </row>
    <row r="152" spans="1:12" ht="12.75" customHeight="1">
      <c r="A152" s="217">
        <v>147</v>
      </c>
      <c r="B152" s="218">
        <f>ROUND((IF(MinBase2Day&gt;ROUND(((1-(TwoDayDiscount_21_Up+FedExExrpessEarnedDiscount))*'2Day Base'!B149),2),ROUND(MinBase2Day*(1+ExpressFuelSurcharge),2),ROUND(((1-(TwoDayDiscount_21_Up+FedExExrpessEarnedDiscount))*'2Day Base'!B149)*(1+ExpressFuelSurcharge),2)))*(1+FedEx_Markup),2)</f>
        <v>153.94999999999999</v>
      </c>
      <c r="C152" s="218">
        <f>ROUND((IF(MinBase2Day&gt;ROUND(((1-(TwoDayDiscount_21_Up+FedExExrpessEarnedDiscount))*'2Day Base'!C149),2),ROUND(MinBase2Day*(1+ExpressFuelSurcharge),2),ROUND(((1-(TwoDayDiscount_21_Up+FedExExrpessEarnedDiscount))*'2Day Base'!C149)*(1+ExpressFuelSurcharge),2)))*(1+FedEx_Markup),2)</f>
        <v>192.63</v>
      </c>
      <c r="D152" s="218">
        <f>ROUND((IF(MinBase2Day&gt;ROUND(((1-(TwoDayDiscount_21_Up+FedExExrpessEarnedDiscount))*'2Day Base'!D149),2),ROUND(MinBase2Day*(1+ExpressFuelSurcharge),2),ROUND(((1-(TwoDayDiscount_21_Up+FedExExrpessEarnedDiscount))*'2Day Base'!D149)*(1+ExpressFuelSurcharge),2)))*(1+FedEx_Markup),2)</f>
        <v>252.98</v>
      </c>
      <c r="E152" s="218">
        <f>ROUND((IF(MinBase2Day&gt;ROUND(((1-(TwoDayDiscount_21_Up+FedExExrpessEarnedDiscount))*'2Day Base'!E149),2),ROUND(MinBase2Day*(1+ExpressFuelSurcharge),2),ROUND(((1-(TwoDayDiscount_21_Up+FedExExrpessEarnedDiscount))*'2Day Base'!E149)*(1+ExpressFuelSurcharge),2)))*(1+FedEx_Markup),2)</f>
        <v>377.52</v>
      </c>
      <c r="F152" s="218">
        <f>ROUND((IF(MinBase2Day&gt;ROUND(((1-(TwoDayDiscount_21_Up+FedExExrpessEarnedDiscount))*'2Day Base'!F149),2),ROUND(MinBase2Day*(1+ExpressFuelSurcharge),2),ROUND(((1-(TwoDayDiscount_21_Up+FedExExrpessEarnedDiscount))*'2Day Base'!F149)*(1+ExpressFuelSurcharge),2)))*(1+FedEx_Markup),2)</f>
        <v>599.54999999999995</v>
      </c>
      <c r="G152" s="218">
        <f>ROUND((IF(MinBase2Day&gt;ROUND(((1-(TwoDayDiscount_21_Up+FedExExrpessEarnedDiscount))*'2Day Base'!G149),2),ROUND(MinBase2Day*(1+ExpressFuelSurcharge),2),ROUND(((1-(TwoDayDiscount_21_Up+FedExExrpessEarnedDiscount))*'2Day Base'!G149)*(1+ExpressFuelSurcharge),2)))*(1+FedEx_Markup),2)</f>
        <v>683.87</v>
      </c>
      <c r="H152" s="218">
        <f>ROUND((IF(MinBase2Day&gt;ROUND(((1-(TwoDayDiscount_21_Up+FedExExrpessEarnedDiscount))*'2Day Base'!H149),2),ROUND(MinBase2Day*(1+ExpressFuelSurcharge),2),ROUND(((1-(TwoDayDiscount_21_Up+FedExExrpessEarnedDiscount))*'2Day Base'!H149)*(1+ExpressFuelSurcharge),2)))*(1+FedEx_Markup),2)</f>
        <v>704.77</v>
      </c>
      <c r="I152" s="218">
        <f>ROUND((IF(MinBase2Day&gt;ROUND(((1-(TwoDayDiscount_21_Up+FedExExrpessEarnedDiscount))*'2Day Base'!I149),2),ROUND(MinBase2Day*(1+ExpressFuelSurcharge),2),ROUND(((1-(TwoDayDiscount_21_Up+FedExExrpessEarnedDiscount))*'2Day Base'!I149)*(1+ExpressFuelSurcharge),2)))*(1+FedEx_Markup),2)</f>
        <v>719.46</v>
      </c>
      <c r="J152" s="218">
        <f>ROUND((IF(MinBase2Day&gt;ROUND(((1-(TwoDayDiscount_21_Up+FedExExrpessEarnedDiscount))*'2Day Base'!J149),2),ROUND(MinBase2Day*(1+ExpressFuelSurcharge),2),ROUND(((1-(TwoDayDiscount_21_Up+FedExExrpessEarnedDiscount))*'2Day Base'!J149)*(1+ExpressFuelSurcharge),2)))*(1+FedEx_Markup),2)</f>
        <v>719.46</v>
      </c>
      <c r="K152" s="218">
        <f>ROUND((IF(MinBase2Day&gt;ROUND(((1-(TwoDayDiscount_21_Up+FedExExrpessEarnedDiscount))*'2Day Base'!K149),2),ROUND(MinBase2Day*(1+ExpressFuelSurcharge),2),ROUND(((1-(TwoDayDiscount_21_Up+FedExExrpessEarnedDiscount))*'2Day Base'!K149)*(1+ExpressFuelSurcharge),2)))*(1+FedEx_Markup),2)</f>
        <v>734.93</v>
      </c>
      <c r="L152" s="218">
        <f>ROUND((IF(MinBase2Day&gt;ROUND(((1-(TwoDayDiscount_21_Up+FedExExrpessEarnedDiscount))*'2Day Base'!L149),2),ROUND(MinBase2Day*(1+ExpressFuelSurcharge),2),ROUND(((1-(TwoDayDiscount_21_Up+FedExExrpessEarnedDiscount))*'2Day Base'!L149)*(1+ExpressFuelSurcharge),2)))*(1+FedEx_Markup),2)</f>
        <v>734.93</v>
      </c>
    </row>
    <row r="153" spans="1:12" ht="12.75" customHeight="1">
      <c r="A153" s="217">
        <v>148</v>
      </c>
      <c r="B153" s="218">
        <f>ROUND((IF(MinBase2Day&gt;ROUND(((1-(TwoDayDiscount_21_Up+FedExExrpessEarnedDiscount))*'2Day Base'!B150),2),ROUND(MinBase2Day*(1+ExpressFuelSurcharge),2),ROUND(((1-(TwoDayDiscount_21_Up+FedExExrpessEarnedDiscount))*'2Day Base'!B150)*(1+ExpressFuelSurcharge),2)))*(1+FedEx_Markup),2)</f>
        <v>155</v>
      </c>
      <c r="C153" s="218">
        <f>ROUND((IF(MinBase2Day&gt;ROUND(((1-(TwoDayDiscount_21_Up+FedExExrpessEarnedDiscount))*'2Day Base'!C150),2),ROUND(MinBase2Day*(1+ExpressFuelSurcharge),2),ROUND(((1-(TwoDayDiscount_21_Up+FedExExrpessEarnedDiscount))*'2Day Base'!C150)*(1+ExpressFuelSurcharge),2)))*(1+FedEx_Markup),2)</f>
        <v>193.94</v>
      </c>
      <c r="D153" s="218">
        <f>ROUND((IF(MinBase2Day&gt;ROUND(((1-(TwoDayDiscount_21_Up+FedExExrpessEarnedDiscount))*'2Day Base'!D150),2),ROUND(MinBase2Day*(1+ExpressFuelSurcharge),2),ROUND(((1-(TwoDayDiscount_21_Up+FedExExrpessEarnedDiscount))*'2Day Base'!D150)*(1+ExpressFuelSurcharge),2)))*(1+FedEx_Markup),2)</f>
        <v>254.69</v>
      </c>
      <c r="E153" s="218">
        <f>ROUND((IF(MinBase2Day&gt;ROUND(((1-(TwoDayDiscount_21_Up+FedExExrpessEarnedDiscount))*'2Day Base'!E150),2),ROUND(MinBase2Day*(1+ExpressFuelSurcharge),2),ROUND(((1-(TwoDayDiscount_21_Up+FedExExrpessEarnedDiscount))*'2Day Base'!E150)*(1+ExpressFuelSurcharge),2)))*(1+FedEx_Markup),2)</f>
        <v>380.1</v>
      </c>
      <c r="F153" s="218">
        <f>ROUND((IF(MinBase2Day&gt;ROUND(((1-(TwoDayDiscount_21_Up+FedExExrpessEarnedDiscount))*'2Day Base'!F150),2),ROUND(MinBase2Day*(1+ExpressFuelSurcharge),2),ROUND(((1-(TwoDayDiscount_21_Up+FedExExrpessEarnedDiscount))*'2Day Base'!F150)*(1+ExpressFuelSurcharge),2)))*(1+FedEx_Markup),2)</f>
        <v>603.64</v>
      </c>
      <c r="G153" s="218">
        <f>ROUND((IF(MinBase2Day&gt;ROUND(((1-(TwoDayDiscount_21_Up+FedExExrpessEarnedDiscount))*'2Day Base'!G150),2),ROUND(MinBase2Day*(1+ExpressFuelSurcharge),2),ROUND(((1-(TwoDayDiscount_21_Up+FedExExrpessEarnedDiscount))*'2Day Base'!G150)*(1+ExpressFuelSurcharge),2)))*(1+FedEx_Markup),2)</f>
        <v>688.53</v>
      </c>
      <c r="H153" s="218">
        <f>ROUND((IF(MinBase2Day&gt;ROUND(((1-(TwoDayDiscount_21_Up+FedExExrpessEarnedDiscount))*'2Day Base'!H150),2),ROUND(MinBase2Day*(1+ExpressFuelSurcharge),2),ROUND(((1-(TwoDayDiscount_21_Up+FedExExrpessEarnedDiscount))*'2Day Base'!H150)*(1+ExpressFuelSurcharge),2)))*(1+FedEx_Markup),2)</f>
        <v>709.56</v>
      </c>
      <c r="I153" s="218">
        <f>ROUND((IF(MinBase2Day&gt;ROUND(((1-(TwoDayDiscount_21_Up+FedExExrpessEarnedDiscount))*'2Day Base'!I150),2),ROUND(MinBase2Day*(1+ExpressFuelSurcharge),2),ROUND(((1-(TwoDayDiscount_21_Up+FedExExrpessEarnedDiscount))*'2Day Base'!I150)*(1+ExpressFuelSurcharge),2)))*(1+FedEx_Markup),2)</f>
        <v>724.36</v>
      </c>
      <c r="J153" s="218">
        <f>ROUND((IF(MinBase2Day&gt;ROUND(((1-(TwoDayDiscount_21_Up+FedExExrpessEarnedDiscount))*'2Day Base'!J150),2),ROUND(MinBase2Day*(1+ExpressFuelSurcharge),2),ROUND(((1-(TwoDayDiscount_21_Up+FedExExrpessEarnedDiscount))*'2Day Base'!J150)*(1+ExpressFuelSurcharge),2)))*(1+FedEx_Markup),2)</f>
        <v>724.36</v>
      </c>
      <c r="K153" s="218">
        <f>ROUND((IF(MinBase2Day&gt;ROUND(((1-(TwoDayDiscount_21_Up+FedExExrpessEarnedDiscount))*'2Day Base'!K150),2),ROUND(MinBase2Day*(1+ExpressFuelSurcharge),2),ROUND(((1-(TwoDayDiscount_21_Up+FedExExrpessEarnedDiscount))*'2Day Base'!K150)*(1+ExpressFuelSurcharge),2)))*(1+FedEx_Markup),2)</f>
        <v>739.93</v>
      </c>
      <c r="L153" s="218">
        <f>ROUND((IF(MinBase2Day&gt;ROUND(((1-(TwoDayDiscount_21_Up+FedExExrpessEarnedDiscount))*'2Day Base'!L150),2),ROUND(MinBase2Day*(1+ExpressFuelSurcharge),2),ROUND(((1-(TwoDayDiscount_21_Up+FedExExrpessEarnedDiscount))*'2Day Base'!L150)*(1+ExpressFuelSurcharge),2)))*(1+FedEx_Markup),2)</f>
        <v>739.93</v>
      </c>
    </row>
    <row r="154" spans="1:12" ht="12.75" customHeight="1">
      <c r="A154" s="217">
        <v>149</v>
      </c>
      <c r="B154" s="218">
        <f>ROUND((IF(MinBase2Day&gt;ROUND(((1-(TwoDayDiscount_21_Up+FedExExrpessEarnedDiscount))*'2Day Base'!B151),2),ROUND(MinBase2Day*(1+ExpressFuelSurcharge),2),ROUND(((1-(TwoDayDiscount_21_Up+FedExExrpessEarnedDiscount))*'2Day Base'!B151)*(1+ExpressFuelSurcharge),2)))*(1+FedEx_Markup),2)</f>
        <v>156.04</v>
      </c>
      <c r="C154" s="218">
        <f>ROUND((IF(MinBase2Day&gt;ROUND(((1-(TwoDayDiscount_21_Up+FedExExrpessEarnedDiscount))*'2Day Base'!C151),2),ROUND(MinBase2Day*(1+ExpressFuelSurcharge),2),ROUND(((1-(TwoDayDiscount_21_Up+FedExExrpessEarnedDiscount))*'2Day Base'!C151)*(1+ExpressFuelSurcharge),2)))*(1+FedEx_Markup),2)</f>
        <v>195.25</v>
      </c>
      <c r="D154" s="218">
        <f>ROUND((IF(MinBase2Day&gt;ROUND(((1-(TwoDayDiscount_21_Up+FedExExrpessEarnedDiscount))*'2Day Base'!D151),2),ROUND(MinBase2Day*(1+ExpressFuelSurcharge),2),ROUND(((1-(TwoDayDiscount_21_Up+FedExExrpessEarnedDiscount))*'2Day Base'!D151)*(1+ExpressFuelSurcharge),2)))*(1+FedEx_Markup),2)</f>
        <v>256.42</v>
      </c>
      <c r="E154" s="218">
        <f>ROUND((IF(MinBase2Day&gt;ROUND(((1-(TwoDayDiscount_21_Up+FedExExrpessEarnedDiscount))*'2Day Base'!E151),2),ROUND(MinBase2Day*(1+ExpressFuelSurcharge),2),ROUND(((1-(TwoDayDiscount_21_Up+FedExExrpessEarnedDiscount))*'2Day Base'!E151)*(1+ExpressFuelSurcharge),2)))*(1+FedEx_Markup),2)</f>
        <v>382.66</v>
      </c>
      <c r="F154" s="218">
        <f>ROUND((IF(MinBase2Day&gt;ROUND(((1-(TwoDayDiscount_21_Up+FedExExrpessEarnedDiscount))*'2Day Base'!F151),2),ROUND(MinBase2Day*(1+ExpressFuelSurcharge),2),ROUND(((1-(TwoDayDiscount_21_Up+FedExExrpessEarnedDiscount))*'2Day Base'!F151)*(1+ExpressFuelSurcharge),2)))*(1+FedEx_Markup),2)</f>
        <v>607.71</v>
      </c>
      <c r="G154" s="218">
        <f>ROUND((IF(MinBase2Day&gt;ROUND(((1-(TwoDayDiscount_21_Up+FedExExrpessEarnedDiscount))*'2Day Base'!G151),2),ROUND(MinBase2Day*(1+ExpressFuelSurcharge),2),ROUND(((1-(TwoDayDiscount_21_Up+FedExExrpessEarnedDiscount))*'2Day Base'!G151)*(1+ExpressFuelSurcharge),2)))*(1+FedEx_Markup),2)</f>
        <v>693.19</v>
      </c>
      <c r="H154" s="218">
        <f>ROUND((IF(MinBase2Day&gt;ROUND(((1-(TwoDayDiscount_21_Up+FedExExrpessEarnedDiscount))*'2Day Base'!H151),2),ROUND(MinBase2Day*(1+ExpressFuelSurcharge),2),ROUND(((1-(TwoDayDiscount_21_Up+FedExExrpessEarnedDiscount))*'2Day Base'!H151)*(1+ExpressFuelSurcharge),2)))*(1+FedEx_Markup),2)</f>
        <v>714.36</v>
      </c>
      <c r="I154" s="218">
        <f>ROUND((IF(MinBase2Day&gt;ROUND(((1-(TwoDayDiscount_21_Up+FedExExrpessEarnedDiscount))*'2Day Base'!I151),2),ROUND(MinBase2Day*(1+ExpressFuelSurcharge),2),ROUND(((1-(TwoDayDiscount_21_Up+FedExExrpessEarnedDiscount))*'2Day Base'!I151)*(1+ExpressFuelSurcharge),2)))*(1+FedEx_Markup),2)</f>
        <v>729.25</v>
      </c>
      <c r="J154" s="218">
        <f>ROUND((IF(MinBase2Day&gt;ROUND(((1-(TwoDayDiscount_21_Up+FedExExrpessEarnedDiscount))*'2Day Base'!J151),2),ROUND(MinBase2Day*(1+ExpressFuelSurcharge),2),ROUND(((1-(TwoDayDiscount_21_Up+FedExExrpessEarnedDiscount))*'2Day Base'!J151)*(1+ExpressFuelSurcharge),2)))*(1+FedEx_Markup),2)</f>
        <v>729.25</v>
      </c>
      <c r="K154" s="218">
        <f>ROUND((IF(MinBase2Day&gt;ROUND(((1-(TwoDayDiscount_21_Up+FedExExrpessEarnedDiscount))*'2Day Base'!K151),2),ROUND(MinBase2Day*(1+ExpressFuelSurcharge),2),ROUND(((1-(TwoDayDiscount_21_Up+FedExExrpessEarnedDiscount))*'2Day Base'!K151)*(1+ExpressFuelSurcharge),2)))*(1+FedEx_Markup),2)</f>
        <v>744.94</v>
      </c>
      <c r="L154" s="218">
        <f>ROUND((IF(MinBase2Day&gt;ROUND(((1-(TwoDayDiscount_21_Up+FedExExrpessEarnedDiscount))*'2Day Base'!L151),2),ROUND(MinBase2Day*(1+ExpressFuelSurcharge),2),ROUND(((1-(TwoDayDiscount_21_Up+FedExExrpessEarnedDiscount))*'2Day Base'!L151)*(1+ExpressFuelSurcharge),2)))*(1+FedEx_Markup),2)</f>
        <v>744.94</v>
      </c>
    </row>
    <row r="155" spans="1:12" ht="12.75" customHeight="1">
      <c r="A155" s="217">
        <v>150</v>
      </c>
      <c r="B155" s="218">
        <f>ROUND((IF(MinBase2Day&gt;ROUND(((1-(TwoDayDiscount_21_Up+FedExExrpessEarnedDiscount))*'2Day Base'!B152),2),ROUND(MinBase2Day*(1+ExpressFuelSurcharge),2),ROUND(((1-(TwoDayDiscount_21_Up+FedExExrpessEarnedDiscount))*'2Day Base'!B152)*(1+ExpressFuelSurcharge),2)))*(1+FedEx_Markup),2)</f>
        <v>157.09</v>
      </c>
      <c r="C155" s="218">
        <f>ROUND((IF(MinBase2Day&gt;ROUND(((1-(TwoDayDiscount_21_Up+FedExExrpessEarnedDiscount))*'2Day Base'!C152),2),ROUND(MinBase2Day*(1+ExpressFuelSurcharge),2),ROUND(((1-(TwoDayDiscount_21_Up+FedExExrpessEarnedDiscount))*'2Day Base'!C152)*(1+ExpressFuelSurcharge),2)))*(1+FedEx_Markup),2)</f>
        <v>196.56</v>
      </c>
      <c r="D155" s="218">
        <f>ROUND((IF(MinBase2Day&gt;ROUND(((1-(TwoDayDiscount_21_Up+FedExExrpessEarnedDiscount))*'2Day Base'!D152),2),ROUND(MinBase2Day*(1+ExpressFuelSurcharge),2),ROUND(((1-(TwoDayDiscount_21_Up+FedExExrpessEarnedDiscount))*'2Day Base'!D152)*(1+ExpressFuelSurcharge),2)))*(1+FedEx_Markup),2)</f>
        <v>258.14</v>
      </c>
      <c r="E155" s="218">
        <f>ROUND((IF(MinBase2Day&gt;ROUND(((1-(TwoDayDiscount_21_Up+FedExExrpessEarnedDiscount))*'2Day Base'!E152),2),ROUND(MinBase2Day*(1+ExpressFuelSurcharge),2),ROUND(((1-(TwoDayDiscount_21_Up+FedExExrpessEarnedDiscount))*'2Day Base'!E152)*(1+ExpressFuelSurcharge),2)))*(1+FedEx_Markup),2)</f>
        <v>385.23</v>
      </c>
      <c r="F155" s="218">
        <f>ROUND((IF(MinBase2Day&gt;ROUND(((1-(TwoDayDiscount_21_Up+FedExExrpessEarnedDiscount))*'2Day Base'!F152),2),ROUND(MinBase2Day*(1+ExpressFuelSurcharge),2),ROUND(((1-(TwoDayDiscount_21_Up+FedExExrpessEarnedDiscount))*'2Day Base'!F152)*(1+ExpressFuelSurcharge),2)))*(1+FedEx_Markup),2)</f>
        <v>611.79</v>
      </c>
      <c r="G155" s="218">
        <f>ROUND((IF(MinBase2Day&gt;ROUND(((1-(TwoDayDiscount_21_Up+FedExExrpessEarnedDiscount))*'2Day Base'!G152),2),ROUND(MinBase2Day*(1+ExpressFuelSurcharge),2),ROUND(((1-(TwoDayDiscount_21_Up+FedExExrpessEarnedDiscount))*'2Day Base'!G152)*(1+ExpressFuelSurcharge),2)))*(1+FedEx_Markup),2)</f>
        <v>697.83</v>
      </c>
      <c r="H155" s="218">
        <f>ROUND((IF(MinBase2Day&gt;ROUND(((1-(TwoDayDiscount_21_Up+FedExExrpessEarnedDiscount))*'2Day Base'!H152),2),ROUND(MinBase2Day*(1+ExpressFuelSurcharge),2),ROUND(((1-(TwoDayDiscount_21_Up+FedExExrpessEarnedDiscount))*'2Day Base'!H152)*(1+ExpressFuelSurcharge),2)))*(1+FedEx_Markup),2)</f>
        <v>719.14</v>
      </c>
      <c r="I155" s="218">
        <f>ROUND((IF(MinBase2Day&gt;ROUND(((1-(TwoDayDiscount_21_Up+FedExExrpessEarnedDiscount))*'2Day Base'!I152),2),ROUND(MinBase2Day*(1+ExpressFuelSurcharge),2),ROUND(((1-(TwoDayDiscount_21_Up+FedExExrpessEarnedDiscount))*'2Day Base'!I152)*(1+ExpressFuelSurcharge),2)))*(1+FedEx_Markup),2)</f>
        <v>734.15</v>
      </c>
      <c r="J155" s="218">
        <f>ROUND((IF(MinBase2Day&gt;ROUND(((1-(TwoDayDiscount_21_Up+FedExExrpessEarnedDiscount))*'2Day Base'!J152),2),ROUND(MinBase2Day*(1+ExpressFuelSurcharge),2),ROUND(((1-(TwoDayDiscount_21_Up+FedExExrpessEarnedDiscount))*'2Day Base'!J152)*(1+ExpressFuelSurcharge),2)))*(1+FedEx_Markup),2)</f>
        <v>734.15</v>
      </c>
      <c r="K155" s="218">
        <f>ROUND((IF(MinBase2Day&gt;ROUND(((1-(TwoDayDiscount_21_Up+FedExExrpessEarnedDiscount))*'2Day Base'!K152),2),ROUND(MinBase2Day*(1+ExpressFuelSurcharge),2),ROUND(((1-(TwoDayDiscount_21_Up+FedExExrpessEarnedDiscount))*'2Day Base'!K152)*(1+ExpressFuelSurcharge),2)))*(1+FedEx_Markup),2)</f>
        <v>749.94</v>
      </c>
      <c r="L155" s="218">
        <f>ROUND((IF(MinBase2Day&gt;ROUND(((1-(TwoDayDiscount_21_Up+FedExExrpessEarnedDiscount))*'2Day Base'!L152),2),ROUND(MinBase2Day*(1+ExpressFuelSurcharge),2),ROUND(((1-(TwoDayDiscount_21_Up+FedExExrpessEarnedDiscount))*'2Day Base'!L152)*(1+ExpressFuelSurcharge),2)))*(1+FedEx_Markup),2)</f>
        <v>749.94</v>
      </c>
    </row>
    <row r="156" spans="1:12" ht="12.75" customHeight="1"/>
    <row r="157" spans="1:12" ht="12.75" customHeight="1"/>
    <row r="158" spans="1:12" ht="12.75" customHeight="1"/>
    <row r="159" spans="1:12" ht="12.75" customHeight="1"/>
    <row r="160" spans="1:12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L155">
    <cfRule type="expression" dxfId="16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1" width="6.5703125" customWidth="1"/>
    <col min="2" max="9" width="7.5703125" customWidth="1"/>
    <col min="10" max="10" width="25.42578125" customWidth="1"/>
    <col min="11" max="11" width="7.5703125" customWidth="1"/>
    <col min="12" max="12" width="3.5703125" customWidth="1"/>
    <col min="13" max="26" width="8.5703125" customWidth="1"/>
  </cols>
  <sheetData>
    <row r="1" spans="1:26" ht="12.75" customHeight="1">
      <c r="B1" s="224" t="s">
        <v>83</v>
      </c>
      <c r="C1" s="209"/>
      <c r="D1" s="209"/>
      <c r="E1" s="211">
        <f>ExpressResWithFS</f>
        <v>4.55</v>
      </c>
      <c r="H1" s="212" t="s">
        <v>84</v>
      </c>
    </row>
    <row r="2" spans="1:26" ht="12.75" customHeight="1">
      <c r="B2" s="213" t="s">
        <v>85</v>
      </c>
      <c r="H2" s="212" t="s">
        <v>89</v>
      </c>
    </row>
    <row r="3" spans="1:26" ht="12.75" customHeight="1">
      <c r="B3" s="213" t="s">
        <v>95</v>
      </c>
    </row>
    <row r="4" spans="1:26" ht="12.75" customHeight="1">
      <c r="A4" s="215" t="s">
        <v>5</v>
      </c>
      <c r="B4" s="214" t="s">
        <v>0</v>
      </c>
      <c r="C4" s="214" t="s">
        <v>0</v>
      </c>
      <c r="D4" s="214" t="s">
        <v>0</v>
      </c>
      <c r="E4" s="214" t="s">
        <v>0</v>
      </c>
      <c r="F4" s="214" t="s">
        <v>0</v>
      </c>
      <c r="G4" s="214" t="s">
        <v>0</v>
      </c>
      <c r="H4" s="214" t="s">
        <v>0</v>
      </c>
    </row>
    <row r="5" spans="1:26" ht="12.75" customHeight="1">
      <c r="A5" s="215" t="s">
        <v>49</v>
      </c>
      <c r="B5" s="216">
        <v>2</v>
      </c>
      <c r="C5" s="216">
        <v>3</v>
      </c>
      <c r="D5" s="216">
        <v>4</v>
      </c>
      <c r="E5" s="216">
        <v>5</v>
      </c>
      <c r="F5" s="216">
        <v>6</v>
      </c>
      <c r="G5" s="216">
        <v>7</v>
      </c>
      <c r="H5" s="216">
        <v>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217" t="s">
        <v>96</v>
      </c>
      <c r="B6" s="218">
        <f>ROUND(IF(MinBase3Day&gt;ROUND(((1-(ThreeDayDiscount_1_10+FedExExrpessEarnedDiscount))*'3Day Base'!B3),2),ROUND(MinBase3Day*(1+ExpressFuelSurcharge),2),ROUND(((1-ThreeDayDiscount)*'3Day Base'!B3)*(1+ExpressFuelSurcharge),2))*(1+FedEx_Markup),2)</f>
        <v>23.17</v>
      </c>
      <c r="C6" s="218">
        <f>ROUND(IF(MinBase3Day&gt;ROUND(((1-(ThreeDayDiscount_1_10+FedExExrpessEarnedDiscount))*'3Day Base'!C3),2),ROUND(MinBase3Day*(1+ExpressFuelSurcharge),2),ROUND(((1-ThreeDayDiscount)*'3Day Base'!C3)*(1+ExpressFuelSurcharge),2))*(1+FedEx_Markup),2)</f>
        <v>23.17</v>
      </c>
      <c r="D6" s="218">
        <f>ROUND(IF(MinBase3Day&gt;ROUND(((1-(ThreeDayDiscount_1_10+FedExExrpessEarnedDiscount))*'3Day Base'!D3),2),ROUND(MinBase3Day*(1+ExpressFuelSurcharge),2),ROUND(((1-ThreeDayDiscount)*'3Day Base'!D3)*(1+ExpressFuelSurcharge),2))*(1+FedEx_Markup),2)</f>
        <v>23.17</v>
      </c>
      <c r="E6" s="218">
        <f>ROUND(IF(MinBase3Day&gt;ROUND(((1-(ThreeDayDiscount_1_10+FedExExrpessEarnedDiscount))*'3Day Base'!E3),2),ROUND(MinBase3Day*(1+ExpressFuelSurcharge),2),ROUND(((1-ThreeDayDiscount)*'3Day Base'!E3)*(1+ExpressFuelSurcharge),2))*(1+FedEx_Markup),2)</f>
        <v>23.17</v>
      </c>
      <c r="F6" s="218">
        <f>ROUND(IF(MinBase3Day&gt;ROUND(((1-(ThreeDayDiscount_1_10+FedExExrpessEarnedDiscount))*'3Day Base'!F3),2),ROUND(MinBase3Day*(1+ExpressFuelSurcharge),2),ROUND(((1-ThreeDayDiscount)*'3Day Base'!F3)*(1+ExpressFuelSurcharge),2))*(1+FedEx_Markup),2)</f>
        <v>23.17</v>
      </c>
      <c r="G6" s="218">
        <f>ROUND(IF(MinBase3Day&gt;ROUND(((1-(ThreeDayDiscount_1_10+FedExExrpessEarnedDiscount))*'3Day Base'!G3),2),ROUND(MinBase3Day*(1+ExpressFuelSurcharge),2),ROUND(((1-ThreeDayDiscount)*'3Day Base'!G3)*(1+ExpressFuelSurcharge),2))*(1+FedEx_Markup),2)</f>
        <v>28.2</v>
      </c>
      <c r="H6" s="218">
        <f>ROUND(IF(MinBase3Day&gt;ROUND(((1-(ThreeDayDiscount_1_10+FedExExrpessEarnedDiscount))*'3Day Base'!H3),2),ROUND(MinBase3Day*(1+ExpressFuelSurcharge),2),ROUND(((1-ThreeDayDiscount)*'3Day Base'!H3)*(1+ExpressFuelSurcharge),2))*(1+FedEx_Markup),2)</f>
        <v>31.13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217">
        <v>2</v>
      </c>
      <c r="B7" s="218">
        <f>ROUND(IF(MinBase3Day&gt;ROUND(((1-(ThreeDayDiscount_1_10+FedExExrpessEarnedDiscount))*'3Day Base'!B4),2),ROUND(MinBase3Day*(1+ExpressFuelSurcharge),2),ROUND(((1-ThreeDayDiscount)*'3Day Base'!B4)*(1+ExpressFuelSurcharge),2))*(1+FedEx_Markup),2)</f>
        <v>23.17</v>
      </c>
      <c r="C7" s="218">
        <f>ROUND(IF(MinBase3Day&gt;ROUND(((1-(ThreeDayDiscount_1_10+FedExExrpessEarnedDiscount))*'3Day Base'!C4),2),ROUND(MinBase3Day*(1+ExpressFuelSurcharge),2),ROUND(((1-ThreeDayDiscount)*'3Day Base'!C4)*(1+ExpressFuelSurcharge),2))*(1+FedEx_Markup),2)</f>
        <v>23.17</v>
      </c>
      <c r="D7" s="218">
        <f>ROUND(IF(MinBase3Day&gt;ROUND(((1-(ThreeDayDiscount_1_10+FedExExrpessEarnedDiscount))*'3Day Base'!D4),2),ROUND(MinBase3Day*(1+ExpressFuelSurcharge),2),ROUND(((1-ThreeDayDiscount)*'3Day Base'!D4)*(1+ExpressFuelSurcharge),2))*(1+FedEx_Markup),2)</f>
        <v>23.17</v>
      </c>
      <c r="E7" s="218">
        <f>ROUND(IF(MinBase3Day&gt;ROUND(((1-(ThreeDayDiscount_1_10+FedExExrpessEarnedDiscount))*'3Day Base'!E4),2),ROUND(MinBase3Day*(1+ExpressFuelSurcharge),2),ROUND(((1-ThreeDayDiscount)*'3Day Base'!E4)*(1+ExpressFuelSurcharge),2))*(1+FedEx_Markup),2)</f>
        <v>23.17</v>
      </c>
      <c r="F7" s="218">
        <f>ROUND(IF(MinBase3Day&gt;ROUND(((1-(ThreeDayDiscount_1_10+FedExExrpessEarnedDiscount))*'3Day Base'!F4),2),ROUND(MinBase3Day*(1+ExpressFuelSurcharge),2),ROUND(((1-ThreeDayDiscount)*'3Day Base'!F4)*(1+ExpressFuelSurcharge),2))*(1+FedEx_Markup),2)</f>
        <v>28.61</v>
      </c>
      <c r="G7" s="218">
        <f>ROUND(IF(MinBase3Day&gt;ROUND(((1-(ThreeDayDiscount_1_10+FedExExrpessEarnedDiscount))*'3Day Base'!G4),2),ROUND(MinBase3Day*(1+ExpressFuelSurcharge),2),ROUND(((1-ThreeDayDiscount)*'3Day Base'!G4)*(1+ExpressFuelSurcharge),2))*(1+FedEx_Markup),2)</f>
        <v>31.43</v>
      </c>
      <c r="H7" s="218">
        <f>ROUND(IF(MinBase3Day&gt;ROUND(((1-(ThreeDayDiscount_1_10+FedExExrpessEarnedDiscount))*'3Day Base'!H4),2),ROUND(MinBase3Day*(1+ExpressFuelSurcharge),2),ROUND(((1-ThreeDayDiscount)*'3Day Base'!H4)*(1+ExpressFuelSurcharge),2))*(1+FedEx_Markup),2)</f>
        <v>36.17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217">
        <v>3</v>
      </c>
      <c r="B8" s="218">
        <f>ROUND(IF(MinBase3Day&gt;ROUND(((1-(ThreeDayDiscount_1_10+FedExExrpessEarnedDiscount))*'3Day Base'!B5),2),ROUND(MinBase3Day*(1+ExpressFuelSurcharge),2),ROUND(((1-ThreeDayDiscount)*'3Day Base'!B5)*(1+ExpressFuelSurcharge),2))*(1+FedEx_Markup),2)</f>
        <v>23.17</v>
      </c>
      <c r="C8" s="218">
        <f>ROUND(IF(MinBase3Day&gt;ROUND(((1-(ThreeDayDiscount_1_10+FedExExrpessEarnedDiscount))*'3Day Base'!C5),2),ROUND(MinBase3Day*(1+ExpressFuelSurcharge),2),ROUND(((1-ThreeDayDiscount)*'3Day Base'!C5)*(1+ExpressFuelSurcharge),2))*(1+FedEx_Markup),2)</f>
        <v>23.17</v>
      </c>
      <c r="D8" s="218">
        <f>ROUND(IF(MinBase3Day&gt;ROUND(((1-(ThreeDayDiscount_1_10+FedExExrpessEarnedDiscount))*'3Day Base'!D5),2),ROUND(MinBase3Day*(1+ExpressFuelSurcharge),2),ROUND(((1-ThreeDayDiscount)*'3Day Base'!D5)*(1+ExpressFuelSurcharge),2))*(1+FedEx_Markup),2)</f>
        <v>23.17</v>
      </c>
      <c r="E8" s="218">
        <f>ROUND(IF(MinBase3Day&gt;ROUND(((1-(ThreeDayDiscount_1_10+FedExExrpessEarnedDiscount))*'3Day Base'!E5),2),ROUND(MinBase3Day*(1+ExpressFuelSurcharge),2),ROUND(((1-ThreeDayDiscount)*'3Day Base'!E5)*(1+ExpressFuelSurcharge),2))*(1+FedEx_Markup),2)</f>
        <v>23.17</v>
      </c>
      <c r="F8" s="218">
        <f>ROUND(IF(MinBase3Day&gt;ROUND(((1-(ThreeDayDiscount_1_10+FedExExrpessEarnedDiscount))*'3Day Base'!F5),2),ROUND(MinBase3Day*(1+ExpressFuelSurcharge),2),ROUND(((1-ThreeDayDiscount)*'3Day Base'!F5)*(1+ExpressFuelSurcharge),2))*(1+FedEx_Markup),2)</f>
        <v>33.270000000000003</v>
      </c>
      <c r="G8" s="218">
        <f>ROUND(IF(MinBase3Day&gt;ROUND(((1-(ThreeDayDiscount_1_10+FedExExrpessEarnedDiscount))*'3Day Base'!G5),2),ROUND(MinBase3Day*(1+ExpressFuelSurcharge),2),ROUND(((1-ThreeDayDiscount)*'3Day Base'!G5)*(1+ExpressFuelSurcharge),2))*(1+FedEx_Markup),2)</f>
        <v>35.17</v>
      </c>
      <c r="H8" s="218">
        <f>ROUND(IF(MinBase3Day&gt;ROUND(((1-(ThreeDayDiscount_1_10+FedExExrpessEarnedDiscount))*'3Day Base'!H5),2),ROUND(MinBase3Day*(1+ExpressFuelSurcharge),2),ROUND(((1-ThreeDayDiscount)*'3Day Base'!H5)*(1+ExpressFuelSurcharge),2))*(1+FedEx_Markup),2)</f>
        <v>40.840000000000003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17">
        <v>4</v>
      </c>
      <c r="B9" s="218">
        <f>ROUND(IF(MinBase3Day&gt;ROUND(((1-(ThreeDayDiscount_1_10+FedExExrpessEarnedDiscount))*'3Day Base'!B6),2),ROUND(MinBase3Day*(1+ExpressFuelSurcharge),2),ROUND(((1-ThreeDayDiscount)*'3Day Base'!B6)*(1+ExpressFuelSurcharge),2))*(1+FedEx_Markup),2)</f>
        <v>23.17</v>
      </c>
      <c r="C9" s="218">
        <f>ROUND(IF(MinBase3Day&gt;ROUND(((1-(ThreeDayDiscount_1_10+FedExExrpessEarnedDiscount))*'3Day Base'!C6),2),ROUND(MinBase3Day*(1+ExpressFuelSurcharge),2),ROUND(((1-ThreeDayDiscount)*'3Day Base'!C6)*(1+ExpressFuelSurcharge),2))*(1+FedEx_Markup),2)</f>
        <v>23.17</v>
      </c>
      <c r="D9" s="218">
        <f>ROUND(IF(MinBase3Day&gt;ROUND(((1-(ThreeDayDiscount_1_10+FedExExrpessEarnedDiscount))*'3Day Base'!D6),2),ROUND(MinBase3Day*(1+ExpressFuelSurcharge),2),ROUND(((1-ThreeDayDiscount)*'3Day Base'!D6)*(1+ExpressFuelSurcharge),2))*(1+FedEx_Markup),2)</f>
        <v>23.17</v>
      </c>
      <c r="E9" s="218">
        <f>ROUND(IF(MinBase3Day&gt;ROUND(((1-(ThreeDayDiscount_1_10+FedExExrpessEarnedDiscount))*'3Day Base'!E6),2),ROUND(MinBase3Day*(1+ExpressFuelSurcharge),2),ROUND(((1-ThreeDayDiscount)*'3Day Base'!E6)*(1+ExpressFuelSurcharge),2))*(1+FedEx_Markup),2)</f>
        <v>29.6</v>
      </c>
      <c r="F9" s="218">
        <f>ROUND(IF(MinBase3Day&gt;ROUND(((1-(ThreeDayDiscount_1_10+FedExExrpessEarnedDiscount))*'3Day Base'!F6),2),ROUND(MinBase3Day*(1+ExpressFuelSurcharge),2),ROUND(((1-ThreeDayDiscount)*'3Day Base'!F6)*(1+ExpressFuelSurcharge),2))*(1+FedEx_Markup),2)</f>
        <v>34.99</v>
      </c>
      <c r="G9" s="218">
        <f>ROUND(IF(MinBase3Day&gt;ROUND(((1-(ThreeDayDiscount_1_10+FedExExrpessEarnedDiscount))*'3Day Base'!G6),2),ROUND(MinBase3Day*(1+ExpressFuelSurcharge),2),ROUND(((1-ThreeDayDiscount)*'3Day Base'!G6)*(1+ExpressFuelSurcharge),2))*(1+FedEx_Markup),2)</f>
        <v>40.200000000000003</v>
      </c>
      <c r="H9" s="218">
        <f>ROUND(IF(MinBase3Day&gt;ROUND(((1-(ThreeDayDiscount_1_10+FedExExrpessEarnedDiscount))*'3Day Base'!H6),2),ROUND(MinBase3Day*(1+ExpressFuelSurcharge),2),ROUND(((1-ThreeDayDiscount)*'3Day Base'!H6)*(1+ExpressFuelSurcharge),2))*(1+FedEx_Markup),2)</f>
        <v>46.72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5</v>
      </c>
      <c r="B10" s="218">
        <f>ROUND(IF(MinBase3Day&gt;ROUND(((1-(ThreeDayDiscount_1_10+FedExExrpessEarnedDiscount))*'3Day Base'!B7),2),ROUND(MinBase3Day*(1+ExpressFuelSurcharge),2),ROUND(((1-ThreeDayDiscount)*'3Day Base'!B7)*(1+ExpressFuelSurcharge),2))*(1+FedEx_Markup),2)</f>
        <v>23.17</v>
      </c>
      <c r="C10" s="218">
        <f>ROUND(IF(MinBase3Day&gt;ROUND(((1-(ThreeDayDiscount_1_10+FedExExrpessEarnedDiscount))*'3Day Base'!C7),2),ROUND(MinBase3Day*(1+ExpressFuelSurcharge),2),ROUND(((1-ThreeDayDiscount)*'3Day Base'!C7)*(1+ExpressFuelSurcharge),2))*(1+FedEx_Markup),2)</f>
        <v>23.17</v>
      </c>
      <c r="D10" s="218">
        <f>ROUND(IF(MinBase3Day&gt;ROUND(((1-(ThreeDayDiscount_1_10+FedExExrpessEarnedDiscount))*'3Day Base'!D7),2),ROUND(MinBase3Day*(1+ExpressFuelSurcharge),2),ROUND(((1-ThreeDayDiscount)*'3Day Base'!D7)*(1+ExpressFuelSurcharge),2))*(1+FedEx_Markup),2)</f>
        <v>23.17</v>
      </c>
      <c r="E10" s="218">
        <f>ROUND(IF(MinBase3Day&gt;ROUND(((1-(ThreeDayDiscount_1_10+FedExExrpessEarnedDiscount))*'3Day Base'!E7),2),ROUND(MinBase3Day*(1+ExpressFuelSurcharge),2),ROUND(((1-ThreeDayDiscount)*'3Day Base'!E7)*(1+ExpressFuelSurcharge),2))*(1+FedEx_Markup),2)</f>
        <v>30.82</v>
      </c>
      <c r="F10" s="218">
        <f>ROUND(IF(MinBase3Day&gt;ROUND(((1-(ThreeDayDiscount_1_10+FedExExrpessEarnedDiscount))*'3Day Base'!F7),2),ROUND(MinBase3Day*(1+ExpressFuelSurcharge),2),ROUND(((1-ThreeDayDiscount)*'3Day Base'!F7)*(1+ExpressFuelSurcharge),2))*(1+FedEx_Markup),2)</f>
        <v>39.72</v>
      </c>
      <c r="G10" s="218">
        <f>ROUND(IF(MinBase3Day&gt;ROUND(((1-(ThreeDayDiscount_1_10+FedExExrpessEarnedDiscount))*'3Day Base'!G7),2),ROUND(MinBase3Day*(1+ExpressFuelSurcharge),2),ROUND(((1-ThreeDayDiscount)*'3Day Base'!G7)*(1+ExpressFuelSurcharge),2))*(1+FedEx_Markup),2)</f>
        <v>44.38</v>
      </c>
      <c r="H10" s="218">
        <f>ROUND(IF(MinBase3Day&gt;ROUND(((1-(ThreeDayDiscount_1_10+FedExExrpessEarnedDiscount))*'3Day Base'!H7),2),ROUND(MinBase3Day*(1+ExpressFuelSurcharge),2),ROUND(((1-ThreeDayDiscount)*'3Day Base'!H7)*(1+ExpressFuelSurcharge),2))*(1+FedEx_Markup),2)</f>
        <v>52.41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6</v>
      </c>
      <c r="B11" s="218">
        <f>ROUND(IF(MinBase3Day&gt;ROUND(((1-(ThreeDayDiscount_1_10+FedExExrpessEarnedDiscount))*'3Day Base'!B8),2),ROUND(MinBase3Day*(1+ExpressFuelSurcharge),2),ROUND(((1-ThreeDayDiscount)*'3Day Base'!B8)*(1+ExpressFuelSurcharge),2))*(1+FedEx_Markup),2)</f>
        <v>23.17</v>
      </c>
      <c r="C11" s="218">
        <f>ROUND(IF(MinBase3Day&gt;ROUND(((1-(ThreeDayDiscount_1_10+FedExExrpessEarnedDiscount))*'3Day Base'!C8),2),ROUND(MinBase3Day*(1+ExpressFuelSurcharge),2),ROUND(((1-ThreeDayDiscount)*'3Day Base'!C8)*(1+ExpressFuelSurcharge),2))*(1+FedEx_Markup),2)</f>
        <v>23.17</v>
      </c>
      <c r="D11" s="218">
        <f>ROUND(IF(MinBase3Day&gt;ROUND(((1-(ThreeDayDiscount_1_10+FedExExrpessEarnedDiscount))*'3Day Base'!D8),2),ROUND(MinBase3Day*(1+ExpressFuelSurcharge),2),ROUND(((1-ThreeDayDiscount)*'3Day Base'!D8)*(1+ExpressFuelSurcharge),2))*(1+FedEx_Markup),2)</f>
        <v>27.65</v>
      </c>
      <c r="E11" s="218">
        <f>ROUND(IF(MinBase3Day&gt;ROUND(((1-(ThreeDayDiscount_1_10+FedExExrpessEarnedDiscount))*'3Day Base'!E8),2),ROUND(MinBase3Day*(1+ExpressFuelSurcharge),2),ROUND(((1-ThreeDayDiscount)*'3Day Base'!E8)*(1+ExpressFuelSurcharge),2))*(1+FedEx_Markup),2)</f>
        <v>36.32</v>
      </c>
      <c r="F11" s="218">
        <f>ROUND(IF(MinBase3Day&gt;ROUND(((1-(ThreeDayDiscount_1_10+FedExExrpessEarnedDiscount))*'3Day Base'!F8),2),ROUND(MinBase3Day*(1+ExpressFuelSurcharge),2),ROUND(((1-ThreeDayDiscount)*'3Day Base'!F8)*(1+ExpressFuelSurcharge),2))*(1+FedEx_Markup),2)</f>
        <v>46.66</v>
      </c>
      <c r="G11" s="218">
        <f>ROUND(IF(MinBase3Day&gt;ROUND(((1-(ThreeDayDiscount_1_10+FedExExrpessEarnedDiscount))*'3Day Base'!G8),2),ROUND(MinBase3Day*(1+ExpressFuelSurcharge),2),ROUND(((1-ThreeDayDiscount)*'3Day Base'!G8)*(1+ExpressFuelSurcharge),2))*(1+FedEx_Markup),2)</f>
        <v>49.3</v>
      </c>
      <c r="H11" s="218">
        <f>ROUND(IF(MinBase3Day&gt;ROUND(((1-(ThreeDayDiscount_1_10+FedExExrpessEarnedDiscount))*'3Day Base'!H8),2),ROUND(MinBase3Day*(1+ExpressFuelSurcharge),2),ROUND(((1-ThreeDayDiscount)*'3Day Base'!H8)*(1+ExpressFuelSurcharge),2))*(1+FedEx_Markup),2)</f>
        <v>59.6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7</v>
      </c>
      <c r="B12" s="218">
        <f>ROUND(IF(MinBase3Day&gt;ROUND(((1-(ThreeDayDiscount_1_10+FedExExrpessEarnedDiscount))*'3Day Base'!B9),2),ROUND(MinBase3Day*(1+ExpressFuelSurcharge),2),ROUND(((1-ThreeDayDiscount)*'3Day Base'!B9)*(1+ExpressFuelSurcharge),2))*(1+FedEx_Markup),2)</f>
        <v>23.17</v>
      </c>
      <c r="C12" s="218">
        <f>ROUND(IF(MinBase3Day&gt;ROUND(((1-(ThreeDayDiscount_1_10+FedExExrpessEarnedDiscount))*'3Day Base'!C9),2),ROUND(MinBase3Day*(1+ExpressFuelSurcharge),2),ROUND(((1-ThreeDayDiscount)*'3Day Base'!C9)*(1+ExpressFuelSurcharge),2))*(1+FedEx_Markup),2)</f>
        <v>23.17</v>
      </c>
      <c r="D12" s="218">
        <f>ROUND(IF(MinBase3Day&gt;ROUND(((1-(ThreeDayDiscount_1_10+FedExExrpessEarnedDiscount))*'3Day Base'!D9),2),ROUND(MinBase3Day*(1+ExpressFuelSurcharge),2),ROUND(((1-ThreeDayDiscount)*'3Day Base'!D9)*(1+ExpressFuelSurcharge),2))*(1+FedEx_Markup),2)</f>
        <v>29.89</v>
      </c>
      <c r="E12" s="218">
        <f>ROUND(IF(MinBase3Day&gt;ROUND(((1-(ThreeDayDiscount_1_10+FedExExrpessEarnedDiscount))*'3Day Base'!E9),2),ROUND(MinBase3Day*(1+ExpressFuelSurcharge),2),ROUND(((1-ThreeDayDiscount)*'3Day Base'!E9)*(1+ExpressFuelSurcharge),2))*(1+FedEx_Markup),2)</f>
        <v>37.020000000000003</v>
      </c>
      <c r="F12" s="218">
        <f>ROUND(IF(MinBase3Day&gt;ROUND(((1-(ThreeDayDiscount_1_10+FedExExrpessEarnedDiscount))*'3Day Base'!F9),2),ROUND(MinBase3Day*(1+ExpressFuelSurcharge),2),ROUND(((1-ThreeDayDiscount)*'3Day Base'!F9)*(1+ExpressFuelSurcharge),2))*(1+FedEx_Markup),2)</f>
        <v>49.23</v>
      </c>
      <c r="G12" s="218">
        <f>ROUND(IF(MinBase3Day&gt;ROUND(((1-(ThreeDayDiscount_1_10+FedExExrpessEarnedDiscount))*'3Day Base'!G9),2),ROUND(MinBase3Day*(1+ExpressFuelSurcharge),2),ROUND(((1-ThreeDayDiscount)*'3Day Base'!G9)*(1+ExpressFuelSurcharge),2))*(1+FedEx_Markup),2)</f>
        <v>55.78</v>
      </c>
      <c r="H12" s="218">
        <f>ROUND(IF(MinBase3Day&gt;ROUND(((1-(ThreeDayDiscount_1_10+FedExExrpessEarnedDiscount))*'3Day Base'!H9),2),ROUND(MinBase3Day*(1+ExpressFuelSurcharge),2),ROUND(((1-ThreeDayDiscount)*'3Day Base'!H9)*(1+ExpressFuelSurcharge),2))*(1+FedEx_Markup),2)</f>
        <v>62.08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8</v>
      </c>
      <c r="B13" s="218">
        <f>ROUND(IF(MinBase3Day&gt;ROUND(((1-(ThreeDayDiscount_1_10+FedExExrpessEarnedDiscount))*'3Day Base'!B10),2),ROUND(MinBase3Day*(1+ExpressFuelSurcharge),2),ROUND(((1-ThreeDayDiscount)*'3Day Base'!B10)*(1+ExpressFuelSurcharge),2))*(1+FedEx_Markup),2)</f>
        <v>23.17</v>
      </c>
      <c r="C13" s="218">
        <f>ROUND(IF(MinBase3Day&gt;ROUND(((1-(ThreeDayDiscount_1_10+FedExExrpessEarnedDiscount))*'3Day Base'!C10),2),ROUND(MinBase3Day*(1+ExpressFuelSurcharge),2),ROUND(((1-ThreeDayDiscount)*'3Day Base'!C10)*(1+ExpressFuelSurcharge),2))*(1+FedEx_Markup),2)</f>
        <v>27.44</v>
      </c>
      <c r="D13" s="218">
        <f>ROUND(IF(MinBase3Day&gt;ROUND(((1-(ThreeDayDiscount_1_10+FedExExrpessEarnedDiscount))*'3Day Base'!D10),2),ROUND(MinBase3Day*(1+ExpressFuelSurcharge),2),ROUND(((1-ThreeDayDiscount)*'3Day Base'!D10)*(1+ExpressFuelSurcharge),2))*(1+FedEx_Markup),2)</f>
        <v>30.91</v>
      </c>
      <c r="E13" s="218">
        <f>ROUND(IF(MinBase3Day&gt;ROUND(((1-(ThreeDayDiscount_1_10+FedExExrpessEarnedDiscount))*'3Day Base'!E10),2),ROUND(MinBase3Day*(1+ExpressFuelSurcharge),2),ROUND(((1-ThreeDayDiscount)*'3Day Base'!E10)*(1+ExpressFuelSurcharge),2))*(1+FedEx_Markup),2)</f>
        <v>39.799999999999997</v>
      </c>
      <c r="F13" s="218">
        <f>ROUND(IF(MinBase3Day&gt;ROUND(((1-(ThreeDayDiscount_1_10+FedExExrpessEarnedDiscount))*'3Day Base'!F10),2),ROUND(MinBase3Day*(1+ExpressFuelSurcharge),2),ROUND(((1-ThreeDayDiscount)*'3Day Base'!F10)*(1+ExpressFuelSurcharge),2))*(1+FedEx_Markup),2)</f>
        <v>54.05</v>
      </c>
      <c r="G13" s="218">
        <f>ROUND(IF(MinBase3Day&gt;ROUND(((1-(ThreeDayDiscount_1_10+FedExExrpessEarnedDiscount))*'3Day Base'!G10),2),ROUND(MinBase3Day*(1+ExpressFuelSurcharge),2),ROUND(((1-ThreeDayDiscount)*'3Day Base'!G10)*(1+ExpressFuelSurcharge),2))*(1+FedEx_Markup),2)</f>
        <v>61.05</v>
      </c>
      <c r="H13" s="218">
        <f>ROUND(IF(MinBase3Day&gt;ROUND(((1-(ThreeDayDiscount_1_10+FedExExrpessEarnedDiscount))*'3Day Base'!H10),2),ROUND(MinBase3Day*(1+ExpressFuelSurcharge),2),ROUND(((1-ThreeDayDiscount)*'3Day Base'!H10)*(1+ExpressFuelSurcharge),2))*(1+FedEx_Markup),2)</f>
        <v>67.790000000000006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9</v>
      </c>
      <c r="B14" s="218">
        <f>ROUND(IF(MinBase3Day&gt;ROUND(((1-(ThreeDayDiscount_1_10+FedExExrpessEarnedDiscount))*'3Day Base'!B11),2),ROUND(MinBase3Day*(1+ExpressFuelSurcharge),2),ROUND(((1-ThreeDayDiscount)*'3Day Base'!B11)*(1+ExpressFuelSurcharge),2))*(1+FedEx_Markup),2)</f>
        <v>23.17</v>
      </c>
      <c r="C14" s="218">
        <f>ROUND(IF(MinBase3Day&gt;ROUND(((1-(ThreeDayDiscount_1_10+FedExExrpessEarnedDiscount))*'3Day Base'!C11),2),ROUND(MinBase3Day*(1+ExpressFuelSurcharge),2),ROUND(((1-ThreeDayDiscount)*'3Day Base'!C11)*(1+ExpressFuelSurcharge),2))*(1+FedEx_Markup),2)</f>
        <v>27.65</v>
      </c>
      <c r="D14" s="218">
        <f>ROUND(IF(MinBase3Day&gt;ROUND(((1-(ThreeDayDiscount_1_10+FedExExrpessEarnedDiscount))*'3Day Base'!D11),2),ROUND(MinBase3Day*(1+ExpressFuelSurcharge),2),ROUND(((1-ThreeDayDiscount)*'3Day Base'!D11)*(1+ExpressFuelSurcharge),2))*(1+FedEx_Markup),2)</f>
        <v>32.979999999999997</v>
      </c>
      <c r="E14" s="218">
        <f>ROUND(IF(MinBase3Day&gt;ROUND(((1-(ThreeDayDiscount_1_10+FedExExrpessEarnedDiscount))*'3Day Base'!E11),2),ROUND(MinBase3Day*(1+ExpressFuelSurcharge),2),ROUND(((1-ThreeDayDiscount)*'3Day Base'!E11)*(1+ExpressFuelSurcharge),2))*(1+FedEx_Markup),2)</f>
        <v>41.41</v>
      </c>
      <c r="F14" s="218">
        <f>ROUND(IF(MinBase3Day&gt;ROUND(((1-(ThreeDayDiscount_1_10+FedExExrpessEarnedDiscount))*'3Day Base'!F11),2),ROUND(MinBase3Day*(1+ExpressFuelSurcharge),2),ROUND(((1-ThreeDayDiscount)*'3Day Base'!F11)*(1+ExpressFuelSurcharge),2))*(1+FedEx_Markup),2)</f>
        <v>55.81</v>
      </c>
      <c r="G14" s="218">
        <f>ROUND(IF(MinBase3Day&gt;ROUND(((1-(ThreeDayDiscount_1_10+FedExExrpessEarnedDiscount))*'3Day Base'!G11),2),ROUND(MinBase3Day*(1+ExpressFuelSurcharge),2),ROUND(((1-ThreeDayDiscount)*'3Day Base'!G11)*(1+ExpressFuelSurcharge),2))*(1+FedEx_Markup),2)</f>
        <v>67</v>
      </c>
      <c r="H14" s="218">
        <f>ROUND(IF(MinBase3Day&gt;ROUND(((1-(ThreeDayDiscount_1_10+FedExExrpessEarnedDiscount))*'3Day Base'!H11),2),ROUND(MinBase3Day*(1+ExpressFuelSurcharge),2),ROUND(((1-ThreeDayDiscount)*'3Day Base'!H11)*(1+ExpressFuelSurcharge),2))*(1+FedEx_Markup),2)</f>
        <v>76.989999999999995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10</v>
      </c>
      <c r="B15" s="218">
        <f>ROUND(IF(MinBase3Day&gt;ROUND(((1-(ThreeDayDiscount_1_10+FedExExrpessEarnedDiscount))*'3Day Base'!B12),2),ROUND(MinBase3Day*(1+ExpressFuelSurcharge),2),ROUND(((1-ThreeDayDiscount)*'3Day Base'!B12)*(1+ExpressFuelSurcharge),2))*(1+FedEx_Markup),2)</f>
        <v>23.17</v>
      </c>
      <c r="C15" s="218">
        <f>ROUND(IF(MinBase3Day&gt;ROUND(((1-(ThreeDayDiscount_1_10+FedExExrpessEarnedDiscount))*'3Day Base'!C12),2),ROUND(MinBase3Day*(1+ExpressFuelSurcharge),2),ROUND(((1-ThreeDayDiscount)*'3Day Base'!C12)*(1+ExpressFuelSurcharge),2))*(1+FedEx_Markup),2)</f>
        <v>27.83</v>
      </c>
      <c r="D15" s="218">
        <f>ROUND(IF(MinBase3Day&gt;ROUND(((1-(ThreeDayDiscount_1_10+FedExExrpessEarnedDiscount))*'3Day Base'!D12),2),ROUND(MinBase3Day*(1+ExpressFuelSurcharge),2),ROUND(((1-ThreeDayDiscount)*'3Day Base'!D12)*(1+ExpressFuelSurcharge),2))*(1+FedEx_Markup),2)</f>
        <v>33.840000000000003</v>
      </c>
      <c r="E15" s="218">
        <f>ROUND(IF(MinBase3Day&gt;ROUND(((1-(ThreeDayDiscount_1_10+FedExExrpessEarnedDiscount))*'3Day Base'!E12),2),ROUND(MinBase3Day*(1+ExpressFuelSurcharge),2),ROUND(((1-ThreeDayDiscount)*'3Day Base'!E12)*(1+ExpressFuelSurcharge),2))*(1+FedEx_Markup),2)</f>
        <v>44.52</v>
      </c>
      <c r="F15" s="218">
        <f>ROUND(IF(MinBase3Day&gt;ROUND(((1-(ThreeDayDiscount_1_10+FedExExrpessEarnedDiscount))*'3Day Base'!F12),2),ROUND(MinBase3Day*(1+ExpressFuelSurcharge),2),ROUND(((1-ThreeDayDiscount)*'3Day Base'!F12)*(1+ExpressFuelSurcharge),2))*(1+FedEx_Markup),2)</f>
        <v>59.27</v>
      </c>
      <c r="G15" s="218">
        <f>ROUND(IF(MinBase3Day&gt;ROUND(((1-(ThreeDayDiscount_1_10+FedExExrpessEarnedDiscount))*'3Day Base'!G12),2),ROUND(MinBase3Day*(1+ExpressFuelSurcharge),2),ROUND(((1-ThreeDayDiscount)*'3Day Base'!G12)*(1+ExpressFuelSurcharge),2))*(1+FedEx_Markup),2)</f>
        <v>72.11</v>
      </c>
      <c r="H15" s="218">
        <f>ROUND(IF(MinBase3Day&gt;ROUND(((1-(ThreeDayDiscount_1_10+FedExExrpessEarnedDiscount))*'3Day Base'!H12),2),ROUND(MinBase3Day*(1+ExpressFuelSurcharge),2),ROUND(((1-ThreeDayDiscount)*'3Day Base'!H12)*(1+ExpressFuelSurcharge),2))*(1+FedEx_Markup),2)</f>
        <v>83.01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11</v>
      </c>
      <c r="B16" s="218">
        <f>ROUND(IF(MinBase3Day&gt;ROUND(((1-(ThreeDayDiscount_11_to_20+FedExExrpessEarnedDiscount))*'3Day Base'!B13),2),ROUND(MinBase3Day*(1+ExpressFuelSurcharge),2),ROUND(((1-(ThreeDayDiscount_11_to_20+FedExExrpessEarnedDiscount))*'3Day Base'!B13)*(1+ExpressFuelSurcharge),2))*(1+FedEx_Markup),2)</f>
        <v>23.17</v>
      </c>
      <c r="C16" s="218">
        <f>ROUND(IF(MinBase3Day&gt;ROUND(((1-(ThreeDayDiscount_11_to_20+FedExExrpessEarnedDiscount))*'3Day Base'!C13),2),ROUND(MinBase3Day*(1+ExpressFuelSurcharge),2),ROUND(((1-(ThreeDayDiscount_11_to_20+FedExExrpessEarnedDiscount))*'3Day Base'!C13)*(1+ExpressFuelSurcharge),2))*(1+FedEx_Markup),2)</f>
        <v>23.98</v>
      </c>
      <c r="D16" s="218">
        <f>ROUND(IF(MinBase3Day&gt;ROUND(((1-(ThreeDayDiscount_11_to_20+FedExExrpessEarnedDiscount))*'3Day Base'!D13),2),ROUND(MinBase3Day*(1+ExpressFuelSurcharge),2),ROUND(((1-(ThreeDayDiscount_11_to_20+FedExExrpessEarnedDiscount))*'3Day Base'!D13)*(1+ExpressFuelSurcharge),2))*(1+FedEx_Markup),2)</f>
        <v>29.85</v>
      </c>
      <c r="E16" s="218">
        <f>ROUND(IF(MinBase3Day&gt;ROUND(((1-(ThreeDayDiscount_11_to_20+FedExExrpessEarnedDiscount))*'3Day Base'!E13),2),ROUND(MinBase3Day*(1+ExpressFuelSurcharge),2),ROUND(((1-(ThreeDayDiscount_11_to_20+FedExExrpessEarnedDiscount))*'3Day Base'!E13)*(1+ExpressFuelSurcharge),2))*(1+FedEx_Markup),2)</f>
        <v>37.64</v>
      </c>
      <c r="F16" s="218">
        <f>ROUND(IF(MinBase3Day&gt;ROUND(((1-(ThreeDayDiscount_11_to_20+FedExExrpessEarnedDiscount))*'3Day Base'!F13),2),ROUND(MinBase3Day*(1+ExpressFuelSurcharge),2),ROUND(((1-(ThreeDayDiscount_11_to_20+FedExExrpessEarnedDiscount))*'3Day Base'!F13)*(1+ExpressFuelSurcharge),2))*(1+FedEx_Markup),2)</f>
        <v>52.58</v>
      </c>
      <c r="G16" s="218">
        <f>ROUND(IF(MinBase3Day&gt;ROUND(((1-(ThreeDayDiscount_11_to_20+FedExExrpessEarnedDiscount))*'3Day Base'!G13),2),ROUND(MinBase3Day*(1+ExpressFuelSurcharge),2),ROUND(((1-(ThreeDayDiscount_11_to_20+FedExExrpessEarnedDiscount))*'3Day Base'!G13)*(1+ExpressFuelSurcharge),2))*(1+FedEx_Markup),2)</f>
        <v>61.86</v>
      </c>
      <c r="H16" s="218">
        <f>ROUND(IF(MinBase3Day&gt;ROUND(((1-(ThreeDayDiscount_11_to_20+FedExExrpessEarnedDiscount))*'3Day Base'!H13),2),ROUND(MinBase3Day*(1+ExpressFuelSurcharge),2),ROUND(((1-(ThreeDayDiscount_11_to_20+FedExExrpessEarnedDiscount))*'3Day Base'!H13)*(1+ExpressFuelSurcharge),2))*(1+FedEx_Markup),2)</f>
        <v>70.48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12</v>
      </c>
      <c r="B17" s="218">
        <f>ROUND(IF(MinBase3Day&gt;ROUND(((1-(ThreeDayDiscount_11_to_20+FedExExrpessEarnedDiscount))*'3Day Base'!B14),2),ROUND(MinBase3Day*(1+ExpressFuelSurcharge),2),ROUND(((1-(ThreeDayDiscount_11_to_20+FedExExrpessEarnedDiscount))*'3Day Base'!B14)*(1+ExpressFuelSurcharge),2))*(1+FedEx_Markup),2)</f>
        <v>23.17</v>
      </c>
      <c r="C17" s="218">
        <f>ROUND(IF(MinBase3Day&gt;ROUND(((1-(ThreeDayDiscount_11_to_20+FedExExrpessEarnedDiscount))*'3Day Base'!C14),2),ROUND(MinBase3Day*(1+ExpressFuelSurcharge),2),ROUND(((1-(ThreeDayDiscount_11_to_20+FedExExrpessEarnedDiscount))*'3Day Base'!C14)*(1+ExpressFuelSurcharge),2))*(1+FedEx_Markup),2)</f>
        <v>28.09</v>
      </c>
      <c r="D17" s="218">
        <f>ROUND(IF(MinBase3Day&gt;ROUND(((1-(ThreeDayDiscount_11_to_20+FedExExrpessEarnedDiscount))*'3Day Base'!D14),2),ROUND(MinBase3Day*(1+ExpressFuelSurcharge),2),ROUND(((1-(ThreeDayDiscount_11_to_20+FedExExrpessEarnedDiscount))*'3Day Base'!D14)*(1+ExpressFuelSurcharge),2))*(1+FedEx_Markup),2)</f>
        <v>32.58</v>
      </c>
      <c r="E17" s="218">
        <f>ROUND(IF(MinBase3Day&gt;ROUND(((1-(ThreeDayDiscount_11_to_20+FedExExrpessEarnedDiscount))*'3Day Base'!E14),2),ROUND(MinBase3Day*(1+ExpressFuelSurcharge),2),ROUND(((1-(ThreeDayDiscount_11_to_20+FedExExrpessEarnedDiscount))*'3Day Base'!E14)*(1+ExpressFuelSurcharge),2))*(1+FedEx_Markup),2)</f>
        <v>43.61</v>
      </c>
      <c r="F17" s="218">
        <f>ROUND(IF(MinBase3Day&gt;ROUND(((1-(ThreeDayDiscount_11_to_20+FedExExrpessEarnedDiscount))*'3Day Base'!F14),2),ROUND(MinBase3Day*(1+ExpressFuelSurcharge),2),ROUND(((1-(ThreeDayDiscount_11_to_20+FedExExrpessEarnedDiscount))*'3Day Base'!F14)*(1+ExpressFuelSurcharge),2))*(1+FedEx_Markup),2)</f>
        <v>55.83</v>
      </c>
      <c r="G17" s="218">
        <f>ROUND(IF(MinBase3Day&gt;ROUND(((1-(ThreeDayDiscount_11_to_20+FedExExrpessEarnedDiscount))*'3Day Base'!G14),2),ROUND(MinBase3Day*(1+ExpressFuelSurcharge),2),ROUND(((1-(ThreeDayDiscount_11_to_20+FedExExrpessEarnedDiscount))*'3Day Base'!G14)*(1+ExpressFuelSurcharge),2))*(1+FedEx_Markup),2)</f>
        <v>65.77</v>
      </c>
      <c r="H17" s="218">
        <f>ROUND(IF(MinBase3Day&gt;ROUND(((1-(ThreeDayDiscount_11_to_20+FedExExrpessEarnedDiscount))*'3Day Base'!H14),2),ROUND(MinBase3Day*(1+ExpressFuelSurcharge),2),ROUND(((1-(ThreeDayDiscount_11_to_20+FedExExrpessEarnedDiscount))*'3Day Base'!H14)*(1+ExpressFuelSurcharge),2))*(1+FedEx_Markup),2)</f>
        <v>74.47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13</v>
      </c>
      <c r="B18" s="218">
        <f>ROUND(IF(MinBase3Day&gt;ROUND(((1-(ThreeDayDiscount_11_to_20+FedExExrpessEarnedDiscount))*'3Day Base'!B15),2),ROUND(MinBase3Day*(1+ExpressFuelSurcharge),2),ROUND(((1-(ThreeDayDiscount_11_to_20+FedExExrpessEarnedDiscount))*'3Day Base'!B15)*(1+ExpressFuelSurcharge),2))*(1+FedEx_Markup),2)</f>
        <v>24.7</v>
      </c>
      <c r="C18" s="218">
        <f>ROUND(IF(MinBase3Day&gt;ROUND(((1-(ThreeDayDiscount_11_to_20+FedExExrpessEarnedDiscount))*'3Day Base'!C15),2),ROUND(MinBase3Day*(1+ExpressFuelSurcharge),2),ROUND(((1-(ThreeDayDiscount_11_to_20+FedExExrpessEarnedDiscount))*'3Day Base'!C15)*(1+ExpressFuelSurcharge),2))*(1+FedEx_Markup),2)</f>
        <v>29.54</v>
      </c>
      <c r="D18" s="218">
        <f>ROUND(IF(MinBase3Day&gt;ROUND(((1-(ThreeDayDiscount_11_to_20+FedExExrpessEarnedDiscount))*'3Day Base'!D15),2),ROUND(MinBase3Day*(1+ExpressFuelSurcharge),2),ROUND(((1-(ThreeDayDiscount_11_to_20+FedExExrpessEarnedDiscount))*'3Day Base'!D15)*(1+ExpressFuelSurcharge),2))*(1+FedEx_Markup),2)</f>
        <v>33.270000000000003</v>
      </c>
      <c r="E18" s="218">
        <f>ROUND(IF(MinBase3Day&gt;ROUND(((1-(ThreeDayDiscount_11_to_20+FedExExrpessEarnedDiscount))*'3Day Base'!E15),2),ROUND(MinBase3Day*(1+ExpressFuelSurcharge),2),ROUND(((1-(ThreeDayDiscount_11_to_20+FedExExrpessEarnedDiscount))*'3Day Base'!E15)*(1+ExpressFuelSurcharge),2))*(1+FedEx_Markup),2)</f>
        <v>44.44</v>
      </c>
      <c r="F18" s="218">
        <f>ROUND(IF(MinBase3Day&gt;ROUND(((1-(ThreeDayDiscount_11_to_20+FedExExrpessEarnedDiscount))*'3Day Base'!F15),2),ROUND(MinBase3Day*(1+ExpressFuelSurcharge),2),ROUND(((1-(ThreeDayDiscount_11_to_20+FedExExrpessEarnedDiscount))*'3Day Base'!F15)*(1+ExpressFuelSurcharge),2))*(1+FedEx_Markup),2)</f>
        <v>57.07</v>
      </c>
      <c r="G18" s="218">
        <f>ROUND(IF(MinBase3Day&gt;ROUND(((1-(ThreeDayDiscount_11_to_20+FedExExrpessEarnedDiscount))*'3Day Base'!G15),2),ROUND(MinBase3Day*(1+ExpressFuelSurcharge),2),ROUND(((1-(ThreeDayDiscount_11_to_20+FedExExrpessEarnedDiscount))*'3Day Base'!G15)*(1+ExpressFuelSurcharge),2))*(1+FedEx_Markup),2)</f>
        <v>66.17</v>
      </c>
      <c r="H18" s="218">
        <f>ROUND(IF(MinBase3Day&gt;ROUND(((1-(ThreeDayDiscount_11_to_20+FedExExrpessEarnedDiscount))*'3Day Base'!H15),2),ROUND(MinBase3Day*(1+ExpressFuelSurcharge),2),ROUND(((1-(ThreeDayDiscount_11_to_20+FedExExrpessEarnedDiscount))*'3Day Base'!H15)*(1+ExpressFuelSurcharge),2))*(1+FedEx_Markup),2)</f>
        <v>79.760000000000005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14</v>
      </c>
      <c r="B19" s="218">
        <f>ROUND(IF(MinBase3Day&gt;ROUND(((1-(ThreeDayDiscount_11_to_20+FedExExrpessEarnedDiscount))*'3Day Base'!B16),2),ROUND(MinBase3Day*(1+ExpressFuelSurcharge),2),ROUND(((1-(ThreeDayDiscount_11_to_20+FedExExrpessEarnedDiscount))*'3Day Base'!B16)*(1+ExpressFuelSurcharge),2))*(1+FedEx_Markup),2)</f>
        <v>24.97</v>
      </c>
      <c r="C19" s="218">
        <f>ROUND(IF(MinBase3Day&gt;ROUND(((1-(ThreeDayDiscount_11_to_20+FedExExrpessEarnedDiscount))*'3Day Base'!C16),2),ROUND(MinBase3Day*(1+ExpressFuelSurcharge),2),ROUND(((1-(ThreeDayDiscount_11_to_20+FedExExrpessEarnedDiscount))*'3Day Base'!C16)*(1+ExpressFuelSurcharge),2))*(1+FedEx_Markup),2)</f>
        <v>29.99</v>
      </c>
      <c r="D19" s="218">
        <f>ROUND(IF(MinBase3Day&gt;ROUND(((1-(ThreeDayDiscount_11_to_20+FedExExrpessEarnedDiscount))*'3Day Base'!D16),2),ROUND(MinBase3Day*(1+ExpressFuelSurcharge),2),ROUND(((1-(ThreeDayDiscount_11_to_20+FedExExrpessEarnedDiscount))*'3Day Base'!D16)*(1+ExpressFuelSurcharge),2))*(1+FedEx_Markup),2)</f>
        <v>36.1</v>
      </c>
      <c r="E19" s="218">
        <f>ROUND(IF(MinBase3Day&gt;ROUND(((1-(ThreeDayDiscount_11_to_20+FedExExrpessEarnedDiscount))*'3Day Base'!E16),2),ROUND(MinBase3Day*(1+ExpressFuelSurcharge),2),ROUND(((1-(ThreeDayDiscount_11_to_20+FedExExrpessEarnedDiscount))*'3Day Base'!E16)*(1+ExpressFuelSurcharge),2))*(1+FedEx_Markup),2)</f>
        <v>47.09</v>
      </c>
      <c r="F19" s="218">
        <f>ROUND(IF(MinBase3Day&gt;ROUND(((1-(ThreeDayDiscount_11_to_20+FedExExrpessEarnedDiscount))*'3Day Base'!F16),2),ROUND(MinBase3Day*(1+ExpressFuelSurcharge),2),ROUND(((1-(ThreeDayDiscount_11_to_20+FedExExrpessEarnedDiscount))*'3Day Base'!F16)*(1+ExpressFuelSurcharge),2))*(1+FedEx_Markup),2)</f>
        <v>59.98</v>
      </c>
      <c r="G19" s="218">
        <f>ROUND(IF(MinBase3Day&gt;ROUND(((1-(ThreeDayDiscount_11_to_20+FedExExrpessEarnedDiscount))*'3Day Base'!G16),2),ROUND(MinBase3Day*(1+ExpressFuelSurcharge),2),ROUND(((1-(ThreeDayDiscount_11_to_20+FedExExrpessEarnedDiscount))*'3Day Base'!G16)*(1+ExpressFuelSurcharge),2))*(1+FedEx_Markup),2)</f>
        <v>69.56</v>
      </c>
      <c r="H19" s="218">
        <f>ROUND(IF(MinBase3Day&gt;ROUND(((1-(ThreeDayDiscount_11_to_20+FedExExrpessEarnedDiscount))*'3Day Base'!H16),2),ROUND(MinBase3Day*(1+ExpressFuelSurcharge),2),ROUND(((1-(ThreeDayDiscount_11_to_20+FedExExrpessEarnedDiscount))*'3Day Base'!H16)*(1+ExpressFuelSurcharge),2))*(1+FedEx_Markup),2)</f>
        <v>83.89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15</v>
      </c>
      <c r="B20" s="218">
        <f>ROUND(IF(MinBase3Day&gt;ROUND(((1-(ThreeDayDiscount_11_to_20+FedExExrpessEarnedDiscount))*'3Day Base'!B17),2),ROUND(MinBase3Day*(1+ExpressFuelSurcharge),2),ROUND(((1-(ThreeDayDiscount_11_to_20+FedExExrpessEarnedDiscount))*'3Day Base'!B17)*(1+ExpressFuelSurcharge),2))*(1+FedEx_Markup),2)</f>
        <v>25.13</v>
      </c>
      <c r="C20" s="218">
        <f>ROUND(IF(MinBase3Day&gt;ROUND(((1-(ThreeDayDiscount_11_to_20+FedExExrpessEarnedDiscount))*'3Day Base'!C17),2),ROUND(MinBase3Day*(1+ExpressFuelSurcharge),2),ROUND(((1-(ThreeDayDiscount_11_to_20+FedExExrpessEarnedDiscount))*'3Day Base'!C17)*(1+ExpressFuelSurcharge),2))*(1+FedEx_Markup),2)</f>
        <v>31.84</v>
      </c>
      <c r="D20" s="218">
        <f>ROUND(IF(MinBase3Day&gt;ROUND(((1-(ThreeDayDiscount_11_to_20+FedExExrpessEarnedDiscount))*'3Day Base'!D17),2),ROUND(MinBase3Day*(1+ExpressFuelSurcharge),2),ROUND(((1-(ThreeDayDiscount_11_to_20+FedExExrpessEarnedDiscount))*'3Day Base'!D17)*(1+ExpressFuelSurcharge),2))*(1+FedEx_Markup),2)</f>
        <v>37.71</v>
      </c>
      <c r="E20" s="218">
        <f>ROUND(IF(MinBase3Day&gt;ROUND(((1-(ThreeDayDiscount_11_to_20+FedExExrpessEarnedDiscount))*'3Day Base'!E17),2),ROUND(MinBase3Day*(1+ExpressFuelSurcharge),2),ROUND(((1-(ThreeDayDiscount_11_to_20+FedExExrpessEarnedDiscount))*'3Day Base'!E17)*(1+ExpressFuelSurcharge),2))*(1+FedEx_Markup),2)</f>
        <v>49.13</v>
      </c>
      <c r="F20" s="218">
        <f>ROUND(IF(MinBase3Day&gt;ROUND(((1-(ThreeDayDiscount_11_to_20+FedExExrpessEarnedDiscount))*'3Day Base'!F17),2),ROUND(MinBase3Day*(1+ExpressFuelSurcharge),2),ROUND(((1-(ThreeDayDiscount_11_to_20+FedExExrpessEarnedDiscount))*'3Day Base'!F17)*(1+ExpressFuelSurcharge),2))*(1+FedEx_Markup),2)</f>
        <v>63.24</v>
      </c>
      <c r="G20" s="218">
        <f>ROUND(IF(MinBase3Day&gt;ROUND(((1-(ThreeDayDiscount_11_to_20+FedExExrpessEarnedDiscount))*'3Day Base'!G17),2),ROUND(MinBase3Day*(1+ExpressFuelSurcharge),2),ROUND(((1-(ThreeDayDiscount_11_to_20+FedExExrpessEarnedDiscount))*'3Day Base'!G17)*(1+ExpressFuelSurcharge),2))*(1+FedEx_Markup),2)</f>
        <v>76</v>
      </c>
      <c r="H20" s="218">
        <f>ROUND(IF(MinBase3Day&gt;ROUND(((1-(ThreeDayDiscount_11_to_20+FedExExrpessEarnedDiscount))*'3Day Base'!H17),2),ROUND(MinBase3Day*(1+ExpressFuelSurcharge),2),ROUND(((1-(ThreeDayDiscount_11_to_20+FedExExrpessEarnedDiscount))*'3Day Base'!H17)*(1+ExpressFuelSurcharge),2))*(1+FedEx_Markup),2)</f>
        <v>88.63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16</v>
      </c>
      <c r="B21" s="218">
        <f>ROUND(IF(MinBase3Day&gt;ROUND(((1-(ThreeDayDiscount_11_to_20+FedExExrpessEarnedDiscount))*'3Day Base'!B18),2),ROUND(MinBase3Day*(1+ExpressFuelSurcharge),2),ROUND(((1-(ThreeDayDiscount_11_to_20+FedExExrpessEarnedDiscount))*'3Day Base'!B18)*(1+ExpressFuelSurcharge),2))*(1+FedEx_Markup),2)</f>
        <v>26.65</v>
      </c>
      <c r="C21" s="218">
        <f>ROUND(IF(MinBase3Day&gt;ROUND(((1-(ThreeDayDiscount_11_to_20+FedExExrpessEarnedDiscount))*'3Day Base'!C18),2),ROUND(MinBase3Day*(1+ExpressFuelSurcharge),2),ROUND(((1-(ThreeDayDiscount_11_to_20+FedExExrpessEarnedDiscount))*'3Day Base'!C18)*(1+ExpressFuelSurcharge),2))*(1+FedEx_Markup),2)</f>
        <v>32.86</v>
      </c>
      <c r="D21" s="218">
        <f>ROUND(IF(MinBase3Day&gt;ROUND(((1-(ThreeDayDiscount_11_to_20+FedExExrpessEarnedDiscount))*'3Day Base'!D18),2),ROUND(MinBase3Day*(1+ExpressFuelSurcharge),2),ROUND(((1-(ThreeDayDiscount_11_to_20+FedExExrpessEarnedDiscount))*'3Day Base'!D18)*(1+ExpressFuelSurcharge),2))*(1+FedEx_Markup),2)</f>
        <v>39.020000000000003</v>
      </c>
      <c r="E21" s="218">
        <f>ROUND(IF(MinBase3Day&gt;ROUND(((1-(ThreeDayDiscount_11_to_20+FedExExrpessEarnedDiscount))*'3Day Base'!E18),2),ROUND(MinBase3Day*(1+ExpressFuelSurcharge),2),ROUND(((1-(ThreeDayDiscount_11_to_20+FedExExrpessEarnedDiscount))*'3Day Base'!E18)*(1+ExpressFuelSurcharge),2))*(1+FedEx_Markup),2)</f>
        <v>52.67</v>
      </c>
      <c r="F21" s="218">
        <f>ROUND(IF(MinBase3Day&gt;ROUND(((1-(ThreeDayDiscount_11_to_20+FedExExrpessEarnedDiscount))*'3Day Base'!F18),2),ROUND(MinBase3Day*(1+ExpressFuelSurcharge),2),ROUND(((1-(ThreeDayDiscount_11_to_20+FedExExrpessEarnedDiscount))*'3Day Base'!F18)*(1+ExpressFuelSurcharge),2))*(1+FedEx_Markup),2)</f>
        <v>65.900000000000006</v>
      </c>
      <c r="G21" s="218">
        <f>ROUND(IF(MinBase3Day&gt;ROUND(((1-(ThreeDayDiscount_11_to_20+FedExExrpessEarnedDiscount))*'3Day Base'!G18),2),ROUND(MinBase3Day*(1+ExpressFuelSurcharge),2),ROUND(((1-(ThreeDayDiscount_11_to_20+FedExExrpessEarnedDiscount))*'3Day Base'!G18)*(1+ExpressFuelSurcharge),2))*(1+FedEx_Markup),2)</f>
        <v>79.959999999999994</v>
      </c>
      <c r="H21" s="218">
        <f>ROUND(IF(MinBase3Day&gt;ROUND(((1-(ThreeDayDiscount_11_to_20+FedExExrpessEarnedDiscount))*'3Day Base'!H18),2),ROUND(MinBase3Day*(1+ExpressFuelSurcharge),2),ROUND(((1-(ThreeDayDiscount_11_to_20+FedExExrpessEarnedDiscount))*'3Day Base'!H18)*(1+ExpressFuelSurcharge),2))*(1+FedEx_Markup),2)</f>
        <v>91.69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17</v>
      </c>
      <c r="B22" s="218">
        <f>ROUND(IF(MinBase3Day&gt;ROUND(((1-(ThreeDayDiscount_11_to_20+FedExExrpessEarnedDiscount))*'3Day Base'!B19),2),ROUND(MinBase3Day*(1+ExpressFuelSurcharge),2),ROUND(((1-(ThreeDayDiscount_11_to_20+FedExExrpessEarnedDiscount))*'3Day Base'!B19)*(1+ExpressFuelSurcharge),2))*(1+FedEx_Markup),2)</f>
        <v>26.81</v>
      </c>
      <c r="C22" s="218">
        <f>ROUND(IF(MinBase3Day&gt;ROUND(((1-(ThreeDayDiscount_11_to_20+FedExExrpessEarnedDiscount))*'3Day Base'!C19),2),ROUND(MinBase3Day*(1+ExpressFuelSurcharge),2),ROUND(((1-(ThreeDayDiscount_11_to_20+FedExExrpessEarnedDiscount))*'3Day Base'!C19)*(1+ExpressFuelSurcharge),2))*(1+FedEx_Markup),2)</f>
        <v>33.89</v>
      </c>
      <c r="D22" s="218">
        <f>ROUND(IF(MinBase3Day&gt;ROUND(((1-(ThreeDayDiscount_11_to_20+FedExExrpessEarnedDiscount))*'3Day Base'!D19),2),ROUND(MinBase3Day*(1+ExpressFuelSurcharge),2),ROUND(((1-(ThreeDayDiscount_11_to_20+FedExExrpessEarnedDiscount))*'3Day Base'!D19)*(1+ExpressFuelSurcharge),2))*(1+FedEx_Markup),2)</f>
        <v>40.64</v>
      </c>
      <c r="E22" s="218">
        <f>ROUND(IF(MinBase3Day&gt;ROUND(((1-(ThreeDayDiscount_11_to_20+FedExExrpessEarnedDiscount))*'3Day Base'!E19),2),ROUND(MinBase3Day*(1+ExpressFuelSurcharge),2),ROUND(((1-(ThreeDayDiscount_11_to_20+FedExExrpessEarnedDiscount))*'3Day Base'!E19)*(1+ExpressFuelSurcharge),2))*(1+FedEx_Markup),2)</f>
        <v>53.16</v>
      </c>
      <c r="F22" s="218">
        <f>ROUND(IF(MinBase3Day&gt;ROUND(((1-(ThreeDayDiscount_11_to_20+FedExExrpessEarnedDiscount))*'3Day Base'!F19),2),ROUND(MinBase3Day*(1+ExpressFuelSurcharge),2),ROUND(((1-(ThreeDayDiscount_11_to_20+FedExExrpessEarnedDiscount))*'3Day Base'!F19)*(1+ExpressFuelSurcharge),2))*(1+FedEx_Markup),2)</f>
        <v>68.540000000000006</v>
      </c>
      <c r="G22" s="218">
        <f>ROUND(IF(MinBase3Day&gt;ROUND(((1-(ThreeDayDiscount_11_to_20+FedExExrpessEarnedDiscount))*'3Day Base'!G19),2),ROUND(MinBase3Day*(1+ExpressFuelSurcharge),2),ROUND(((1-(ThreeDayDiscount_11_to_20+FedExExrpessEarnedDiscount))*'3Day Base'!G19)*(1+ExpressFuelSurcharge),2))*(1+FedEx_Markup),2)</f>
        <v>80.36</v>
      </c>
      <c r="H22" s="218">
        <f>ROUND(IF(MinBase3Day&gt;ROUND(((1-(ThreeDayDiscount_11_to_20+FedExExrpessEarnedDiscount))*'3Day Base'!H19),2),ROUND(MinBase3Day*(1+ExpressFuelSurcharge),2),ROUND(((1-(ThreeDayDiscount_11_to_20+FedExExrpessEarnedDiscount))*'3Day Base'!H19)*(1+ExpressFuelSurcharge),2))*(1+FedEx_Markup),2)</f>
        <v>96.73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18</v>
      </c>
      <c r="B23" s="218">
        <f>ROUND(IF(MinBase3Day&gt;ROUND(((1-(ThreeDayDiscount_11_to_20+FedExExrpessEarnedDiscount))*'3Day Base'!B20),2),ROUND(MinBase3Day*(1+ExpressFuelSurcharge),2),ROUND(((1-(ThreeDayDiscount_11_to_20+FedExExrpessEarnedDiscount))*'3Day Base'!B20)*(1+ExpressFuelSurcharge),2))*(1+FedEx_Markup),2)</f>
        <v>29.24</v>
      </c>
      <c r="C23" s="218">
        <f>ROUND(IF(MinBase3Day&gt;ROUND(((1-(ThreeDayDiscount_11_to_20+FedExExrpessEarnedDiscount))*'3Day Base'!C20),2),ROUND(MinBase3Day*(1+ExpressFuelSurcharge),2),ROUND(((1-(ThreeDayDiscount_11_to_20+FedExExrpessEarnedDiscount))*'3Day Base'!C20)*(1+ExpressFuelSurcharge),2))*(1+FedEx_Markup),2)</f>
        <v>34.96</v>
      </c>
      <c r="D23" s="218">
        <f>ROUND(IF(MinBase3Day&gt;ROUND(((1-(ThreeDayDiscount_11_to_20+FedExExrpessEarnedDiscount))*'3Day Base'!D20),2),ROUND(MinBase3Day*(1+ExpressFuelSurcharge),2),ROUND(((1-(ThreeDayDiscount_11_to_20+FedExExrpessEarnedDiscount))*'3Day Base'!D20)*(1+ExpressFuelSurcharge),2))*(1+FedEx_Markup),2)</f>
        <v>42.19</v>
      </c>
      <c r="E23" s="218">
        <f>ROUND(IF(MinBase3Day&gt;ROUND(((1-(ThreeDayDiscount_11_to_20+FedExExrpessEarnedDiscount))*'3Day Base'!E20),2),ROUND(MinBase3Day*(1+ExpressFuelSurcharge),2),ROUND(((1-(ThreeDayDiscount_11_to_20+FedExExrpessEarnedDiscount))*'3Day Base'!E20)*(1+ExpressFuelSurcharge),2))*(1+FedEx_Markup),2)</f>
        <v>55.15</v>
      </c>
      <c r="F23" s="218">
        <f>ROUND(IF(MinBase3Day&gt;ROUND(((1-(ThreeDayDiscount_11_to_20+FedExExrpessEarnedDiscount))*'3Day Base'!F20),2),ROUND(MinBase3Day*(1+ExpressFuelSurcharge),2),ROUND(((1-(ThreeDayDiscount_11_to_20+FedExExrpessEarnedDiscount))*'3Day Base'!F20)*(1+ExpressFuelSurcharge),2))*(1+FedEx_Markup),2)</f>
        <v>71</v>
      </c>
      <c r="G23" s="218">
        <f>ROUND(IF(MinBase3Day&gt;ROUND(((1-(ThreeDayDiscount_11_to_20+FedExExrpessEarnedDiscount))*'3Day Base'!G20),2),ROUND(MinBase3Day*(1+ExpressFuelSurcharge),2),ROUND(((1-(ThreeDayDiscount_11_to_20+FedExExrpessEarnedDiscount))*'3Day Base'!G20)*(1+ExpressFuelSurcharge),2))*(1+FedEx_Markup),2)</f>
        <v>87.78</v>
      </c>
      <c r="H23" s="218">
        <f>ROUND(IF(MinBase3Day&gt;ROUND(((1-(ThreeDayDiscount_11_to_20+FedExExrpessEarnedDiscount))*'3Day Base'!H20),2),ROUND(MinBase3Day*(1+ExpressFuelSurcharge),2),ROUND(((1-(ThreeDayDiscount_11_to_20+FedExExrpessEarnedDiscount))*'3Day Base'!H20)*(1+ExpressFuelSurcharge),2))*(1+FedEx_Markup),2)</f>
        <v>100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19</v>
      </c>
      <c r="B24" s="218">
        <f>ROUND(IF(MinBase3Day&gt;ROUND(((1-(ThreeDayDiscount_11_to_20+FedExExrpessEarnedDiscount))*'3Day Base'!B21),2),ROUND(MinBase3Day*(1+ExpressFuelSurcharge),2),ROUND(((1-(ThreeDayDiscount_11_to_20+FedExExrpessEarnedDiscount))*'3Day Base'!B21)*(1+ExpressFuelSurcharge),2))*(1+FedEx_Markup),2)</f>
        <v>29.99</v>
      </c>
      <c r="C24" s="218">
        <f>ROUND(IF(MinBase3Day&gt;ROUND(((1-(ThreeDayDiscount_11_to_20+FedExExrpessEarnedDiscount))*'3Day Base'!C21),2),ROUND(MinBase3Day*(1+ExpressFuelSurcharge),2),ROUND(((1-(ThreeDayDiscount_11_to_20+FedExExrpessEarnedDiscount))*'3Day Base'!C21)*(1+ExpressFuelSurcharge),2))*(1+FedEx_Markup),2)</f>
        <v>35.96</v>
      </c>
      <c r="D24" s="218">
        <f>ROUND(IF(MinBase3Day&gt;ROUND(((1-(ThreeDayDiscount_11_to_20+FedExExrpessEarnedDiscount))*'3Day Base'!D21),2),ROUND(MinBase3Day*(1+ExpressFuelSurcharge),2),ROUND(((1-(ThreeDayDiscount_11_to_20+FedExExrpessEarnedDiscount))*'3Day Base'!D21)*(1+ExpressFuelSurcharge),2))*(1+FedEx_Markup),2)</f>
        <v>43.67</v>
      </c>
      <c r="E24" s="218">
        <f>ROUND(IF(MinBase3Day&gt;ROUND(((1-(ThreeDayDiscount_11_to_20+FedExExrpessEarnedDiscount))*'3Day Base'!E21),2),ROUND(MinBase3Day*(1+ExpressFuelSurcharge),2),ROUND(((1-(ThreeDayDiscount_11_to_20+FedExExrpessEarnedDiscount))*'3Day Base'!E21)*(1+ExpressFuelSurcharge),2))*(1+FedEx_Markup),2)</f>
        <v>57.17</v>
      </c>
      <c r="F24" s="218">
        <f>ROUND(IF(MinBase3Day&gt;ROUND(((1-(ThreeDayDiscount_11_to_20+FedExExrpessEarnedDiscount))*'3Day Base'!F21),2),ROUND(MinBase3Day*(1+ExpressFuelSurcharge),2),ROUND(((1-(ThreeDayDiscount_11_to_20+FedExExrpessEarnedDiscount))*'3Day Base'!F21)*(1+ExpressFuelSurcharge),2))*(1+FedEx_Markup),2)</f>
        <v>73.39</v>
      </c>
      <c r="G24" s="218">
        <f>ROUND(IF(MinBase3Day&gt;ROUND(((1-(ThreeDayDiscount_11_to_20+FedExExrpessEarnedDiscount))*'3Day Base'!G21),2),ROUND(MinBase3Day*(1+ExpressFuelSurcharge),2),ROUND(((1-(ThreeDayDiscount_11_to_20+FedExExrpessEarnedDiscount))*'3Day Base'!G21)*(1+ExpressFuelSurcharge),2))*(1+FedEx_Markup),2)</f>
        <v>90.16</v>
      </c>
      <c r="H24" s="218">
        <f>ROUND(IF(MinBase3Day&gt;ROUND(((1-(ThreeDayDiscount_11_to_20+FedExExrpessEarnedDiscount))*'3Day Base'!H21),2),ROUND(MinBase3Day*(1+ExpressFuelSurcharge),2),ROUND(((1-(ThreeDayDiscount_11_to_20+FedExExrpessEarnedDiscount))*'3Day Base'!H21)*(1+ExpressFuelSurcharge),2))*(1+FedEx_Markup),2)</f>
        <v>103.64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20</v>
      </c>
      <c r="B25" s="218">
        <f>ROUND(IF(MinBase3Day&gt;ROUND(((1-(ThreeDayDiscount_11_to_20+FedExExrpessEarnedDiscount))*'3Day Base'!B22),2),ROUND(MinBase3Day*(1+ExpressFuelSurcharge),2),ROUND(((1-(ThreeDayDiscount_11_to_20+FedExExrpessEarnedDiscount))*'3Day Base'!B22)*(1+ExpressFuelSurcharge),2))*(1+FedEx_Markup),2)</f>
        <v>30.15</v>
      </c>
      <c r="C25" s="218">
        <f>ROUND(IF(MinBase3Day&gt;ROUND(((1-(ThreeDayDiscount_11_to_20+FedExExrpessEarnedDiscount))*'3Day Base'!C22),2),ROUND(MinBase3Day*(1+ExpressFuelSurcharge),2),ROUND(((1-(ThreeDayDiscount_11_to_20+FedExExrpessEarnedDiscount))*'3Day Base'!C22)*(1+ExpressFuelSurcharge),2))*(1+FedEx_Markup),2)</f>
        <v>36.42</v>
      </c>
      <c r="D25" s="218">
        <f>ROUND(IF(MinBase3Day&gt;ROUND(((1-(ThreeDayDiscount_11_to_20+FedExExrpessEarnedDiscount))*'3Day Base'!D22),2),ROUND(MinBase3Day*(1+ExpressFuelSurcharge),2),ROUND(((1-(ThreeDayDiscount_11_to_20+FedExExrpessEarnedDiscount))*'3Day Base'!D22)*(1+ExpressFuelSurcharge),2))*(1+FedEx_Markup),2)</f>
        <v>44.51</v>
      </c>
      <c r="E25" s="218">
        <f>ROUND(IF(MinBase3Day&gt;ROUND(((1-(ThreeDayDiscount_11_to_20+FedExExrpessEarnedDiscount))*'3Day Base'!E22),2),ROUND(MinBase3Day*(1+ExpressFuelSurcharge),2),ROUND(((1-(ThreeDayDiscount_11_to_20+FedExExrpessEarnedDiscount))*'3Day Base'!E22)*(1+ExpressFuelSurcharge),2))*(1+FedEx_Markup),2)</f>
        <v>59.55</v>
      </c>
      <c r="F25" s="218">
        <f>ROUND(IF(MinBase3Day&gt;ROUND(((1-(ThreeDayDiscount_11_to_20+FedExExrpessEarnedDiscount))*'3Day Base'!F22),2),ROUND(MinBase3Day*(1+ExpressFuelSurcharge),2),ROUND(((1-(ThreeDayDiscount_11_to_20+FedExExrpessEarnedDiscount))*'3Day Base'!F22)*(1+ExpressFuelSurcharge),2))*(1+FedEx_Markup),2)</f>
        <v>76.13</v>
      </c>
      <c r="G25" s="218">
        <f>ROUND(IF(MinBase3Day&gt;ROUND(((1-(ThreeDayDiscount_11_to_20+FedExExrpessEarnedDiscount))*'3Day Base'!G22),2),ROUND(MinBase3Day*(1+ExpressFuelSurcharge),2),ROUND(((1-(ThreeDayDiscount_11_to_20+FedExExrpessEarnedDiscount))*'3Day Base'!G22)*(1+ExpressFuelSurcharge),2))*(1+FedEx_Markup),2)</f>
        <v>90.47</v>
      </c>
      <c r="H25" s="218">
        <f>ROUND(IF(MinBase3Day&gt;ROUND(((1-(ThreeDayDiscount_11_to_20+FedExExrpessEarnedDiscount))*'3Day Base'!H22),2),ROUND(MinBase3Day*(1+ExpressFuelSurcharge),2),ROUND(((1-(ThreeDayDiscount_11_to_20+FedExExrpessEarnedDiscount))*'3Day Base'!H22)*(1+ExpressFuelSurcharge),2))*(1+FedEx_Markup),2)</f>
        <v>107.03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21</v>
      </c>
      <c r="B26" s="218">
        <f>ROUND(IF(MinBase3Day&gt;ROUND(((1-(ThreeDayDiscount_21_Up+FedExExrpessEarnedDiscount))*'3Day Base'!B23),2),ROUND(MinBase3Day*(1+ExpressFuelSurcharge),2),ROUND(((1-(ThreeDayDiscount_21_Up+FedExExrpessEarnedDiscount))*'3Day Base'!B23)*(1+ExpressFuelSurcharge),2))*(1+FedEx_Markup),2)</f>
        <v>27.14</v>
      </c>
      <c r="C26" s="218">
        <f>ROUND(IF(MinBase3Day&gt;ROUND(((1-(ThreeDayDiscount_21_Up+FedExExrpessEarnedDiscount))*'3Day Base'!C23),2),ROUND(MinBase3Day*(1+ExpressFuelSurcharge),2),ROUND(((1-(ThreeDayDiscount_21_Up+FedExExrpessEarnedDiscount))*'3Day Base'!C23)*(1+ExpressFuelSurcharge),2))*(1+FedEx_Markup),2)</f>
        <v>32.909999999999997</v>
      </c>
      <c r="D26" s="218">
        <f>ROUND(IF(MinBase3Day&gt;ROUND(((1-(ThreeDayDiscount_21_Up+FedExExrpessEarnedDiscount))*'3Day Base'!D23),2),ROUND(MinBase3Day*(1+ExpressFuelSurcharge),2),ROUND(((1-(ThreeDayDiscount_21_Up+FedExExrpessEarnedDiscount))*'3Day Base'!D23)*(1+ExpressFuelSurcharge),2))*(1+FedEx_Markup),2)</f>
        <v>40.229999999999997</v>
      </c>
      <c r="E26" s="218">
        <f>ROUND(IF(MinBase3Day&gt;ROUND(((1-(ThreeDayDiscount_21_Up+FedExExrpessEarnedDiscount))*'3Day Base'!E23),2),ROUND(MinBase3Day*(1+ExpressFuelSurcharge),2),ROUND(((1-(ThreeDayDiscount_21_Up+FedExExrpessEarnedDiscount))*'3Day Base'!E23)*(1+ExpressFuelSurcharge),2))*(1+FedEx_Markup),2)</f>
        <v>52.31</v>
      </c>
      <c r="F26" s="218">
        <f>ROUND(IF(MinBase3Day&gt;ROUND(((1-(ThreeDayDiscount_21_Up+FedExExrpessEarnedDiscount))*'3Day Base'!F23),2),ROUND(MinBase3Day*(1+ExpressFuelSurcharge),2),ROUND(((1-(ThreeDayDiscount_21_Up+FedExExrpessEarnedDiscount))*'3Day Base'!F23)*(1+ExpressFuelSurcharge),2))*(1+FedEx_Markup),2)</f>
        <v>69.78</v>
      </c>
      <c r="G26" s="218">
        <f>ROUND(IF(MinBase3Day&gt;ROUND(((1-(ThreeDayDiscount_21_Up+FedExExrpessEarnedDiscount))*'3Day Base'!G23),2),ROUND(MinBase3Day*(1+ExpressFuelSurcharge),2),ROUND(((1-(ThreeDayDiscount_21_Up+FedExExrpessEarnedDiscount))*'3Day Base'!G23)*(1+ExpressFuelSurcharge),2))*(1+FedEx_Markup),2)</f>
        <v>84.38</v>
      </c>
      <c r="H26" s="218">
        <f>ROUND(IF(MinBase3Day&gt;ROUND(((1-(ThreeDayDiscount_21_Up+FedExExrpessEarnedDiscount))*'3Day Base'!H23),2),ROUND(MinBase3Day*(1+ExpressFuelSurcharge),2),ROUND(((1-(ThreeDayDiscount_21_Up+FedExExrpessEarnedDiscount))*'3Day Base'!H23)*(1+ExpressFuelSurcharge),2))*(1+FedEx_Markup),2)</f>
        <v>96.72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22</v>
      </c>
      <c r="B27" s="218">
        <f>ROUND(IF(MinBase3Day&gt;ROUND(((1-(ThreeDayDiscount_21_Up+FedExExrpessEarnedDiscount))*'3Day Base'!B24),2),ROUND(MinBase3Day*(1+ExpressFuelSurcharge),2),ROUND(((1-(ThreeDayDiscount_21_Up+FedExExrpessEarnedDiscount))*'3Day Base'!B24)*(1+ExpressFuelSurcharge),2))*(1+FedEx_Markup),2)</f>
        <v>29.11</v>
      </c>
      <c r="C27" s="218">
        <f>ROUND(IF(MinBase3Day&gt;ROUND(((1-(ThreeDayDiscount_21_Up+FedExExrpessEarnedDiscount))*'3Day Base'!C24),2),ROUND(MinBase3Day*(1+ExpressFuelSurcharge),2),ROUND(((1-(ThreeDayDiscount_21_Up+FedExExrpessEarnedDiscount))*'3Day Base'!C24)*(1+ExpressFuelSurcharge),2))*(1+FedEx_Markup),2)</f>
        <v>34.96</v>
      </c>
      <c r="D27" s="218">
        <f>ROUND(IF(MinBase3Day&gt;ROUND(((1-(ThreeDayDiscount_21_Up+FedExExrpessEarnedDiscount))*'3Day Base'!D24),2),ROUND(MinBase3Day*(1+ExpressFuelSurcharge),2),ROUND(((1-(ThreeDayDiscount_21_Up+FedExExrpessEarnedDiscount))*'3Day Base'!D24)*(1+ExpressFuelSurcharge),2))*(1+FedEx_Markup),2)</f>
        <v>41.99</v>
      </c>
      <c r="E27" s="218">
        <f>ROUND(IF(MinBase3Day&gt;ROUND(((1-(ThreeDayDiscount_21_Up+FedExExrpessEarnedDiscount))*'3Day Base'!E24),2),ROUND(MinBase3Day*(1+ExpressFuelSurcharge),2),ROUND(((1-(ThreeDayDiscount_21_Up+FedExExrpessEarnedDiscount))*'3Day Base'!E24)*(1+ExpressFuelSurcharge),2))*(1+FedEx_Markup),2)</f>
        <v>55.61</v>
      </c>
      <c r="F27" s="218">
        <f>ROUND(IF(MinBase3Day&gt;ROUND(((1-(ThreeDayDiscount_21_Up+FedExExrpessEarnedDiscount))*'3Day Base'!F24),2),ROUND(MinBase3Day*(1+ExpressFuelSurcharge),2),ROUND(((1-(ThreeDayDiscount_21_Up+FedExExrpessEarnedDiscount))*'3Day Base'!F24)*(1+ExpressFuelSurcharge),2))*(1+FedEx_Markup),2)</f>
        <v>72.22</v>
      </c>
      <c r="G27" s="218">
        <f>ROUND(IF(MinBase3Day&gt;ROUND(((1-(ThreeDayDiscount_21_Up+FedExExrpessEarnedDiscount))*'3Day Base'!G24),2),ROUND(MinBase3Day*(1+ExpressFuelSurcharge),2),ROUND(((1-(ThreeDayDiscount_21_Up+FedExExrpessEarnedDiscount))*'3Day Base'!G24)*(1+ExpressFuelSurcharge),2))*(1+FedEx_Markup),2)</f>
        <v>84.9</v>
      </c>
      <c r="H27" s="218">
        <f>ROUND(IF(MinBase3Day&gt;ROUND(((1-(ThreeDayDiscount_21_Up+FedExExrpessEarnedDiscount))*'3Day Base'!H24),2),ROUND(MinBase3Day*(1+ExpressFuelSurcharge),2),ROUND(((1-(ThreeDayDiscount_21_Up+FedExExrpessEarnedDiscount))*'3Day Base'!H24)*(1+ExpressFuelSurcharge),2))*(1+FedEx_Markup),2)</f>
        <v>100.34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23</v>
      </c>
      <c r="B28" s="218">
        <f>ROUND(IF(MinBase3Day&gt;ROUND(((1-(ThreeDayDiscount_21_Up+FedExExrpessEarnedDiscount))*'3Day Base'!B25),2),ROUND(MinBase3Day*(1+ExpressFuelSurcharge),2),ROUND(((1-(ThreeDayDiscount_21_Up+FedExExrpessEarnedDiscount))*'3Day Base'!B25)*(1+ExpressFuelSurcharge),2))*(1+FedEx_Markup),2)</f>
        <v>30.22</v>
      </c>
      <c r="C28" s="218">
        <f>ROUND(IF(MinBase3Day&gt;ROUND(((1-(ThreeDayDiscount_21_Up+FedExExrpessEarnedDiscount))*'3Day Base'!C25),2),ROUND(MinBase3Day*(1+ExpressFuelSurcharge),2),ROUND(((1-(ThreeDayDiscount_21_Up+FedExExrpessEarnedDiscount))*'3Day Base'!C25)*(1+ExpressFuelSurcharge),2))*(1+FedEx_Markup),2)</f>
        <v>35.74</v>
      </c>
      <c r="D28" s="218">
        <f>ROUND(IF(MinBase3Day&gt;ROUND(((1-(ThreeDayDiscount_21_Up+FedExExrpessEarnedDiscount))*'3Day Base'!D25),2),ROUND(MinBase3Day*(1+ExpressFuelSurcharge),2),ROUND(((1-(ThreeDayDiscount_21_Up+FedExExrpessEarnedDiscount))*'3Day Base'!D25)*(1+ExpressFuelSurcharge),2))*(1+FedEx_Markup),2)</f>
        <v>44.78</v>
      </c>
      <c r="E28" s="218">
        <f>ROUND(IF(MinBase3Day&gt;ROUND(((1-(ThreeDayDiscount_21_Up+FedExExrpessEarnedDiscount))*'3Day Base'!E25),2),ROUND(MinBase3Day*(1+ExpressFuelSurcharge),2),ROUND(((1-(ThreeDayDiscount_21_Up+FedExExrpessEarnedDiscount))*'3Day Base'!E25)*(1+ExpressFuelSurcharge),2))*(1+FedEx_Markup),2)</f>
        <v>57.24</v>
      </c>
      <c r="F28" s="218">
        <f>ROUND(IF(MinBase3Day&gt;ROUND(((1-(ThreeDayDiscount_21_Up+FedExExrpessEarnedDiscount))*'3Day Base'!F25),2),ROUND(MinBase3Day*(1+ExpressFuelSurcharge),2),ROUND(((1-(ThreeDayDiscount_21_Up+FedExExrpessEarnedDiscount))*'3Day Base'!F25)*(1+ExpressFuelSurcharge),2))*(1+FedEx_Markup),2)</f>
        <v>75.19</v>
      </c>
      <c r="G28" s="218">
        <f>ROUND(IF(MinBase3Day&gt;ROUND(((1-(ThreeDayDiscount_21_Up+FedExExrpessEarnedDiscount))*'3Day Base'!G25),2),ROUND(MinBase3Day*(1+ExpressFuelSurcharge),2),ROUND(((1-(ThreeDayDiscount_21_Up+FedExExrpessEarnedDiscount))*'3Day Base'!G25)*(1+ExpressFuelSurcharge),2))*(1+FedEx_Markup),2)</f>
        <v>90.53</v>
      </c>
      <c r="H28" s="218">
        <f>ROUND(IF(MinBase3Day&gt;ROUND(((1-(ThreeDayDiscount_21_Up+FedExExrpessEarnedDiscount))*'3Day Base'!H25),2),ROUND(MinBase3Day*(1+ExpressFuelSurcharge),2),ROUND(((1-(ThreeDayDiscount_21_Up+FedExExrpessEarnedDiscount))*'3Day Base'!H25)*(1+ExpressFuelSurcharge),2))*(1+FedEx_Markup),2)</f>
        <v>101.25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24</v>
      </c>
      <c r="B29" s="218">
        <f>ROUND(IF(MinBase3Day&gt;ROUND(((1-(ThreeDayDiscount_21_Up+FedExExrpessEarnedDiscount))*'3Day Base'!B26),2),ROUND(MinBase3Day*(1+ExpressFuelSurcharge),2),ROUND(((1-(ThreeDayDiscount_21_Up+FedExExrpessEarnedDiscount))*'3Day Base'!B26)*(1+ExpressFuelSurcharge),2))*(1+FedEx_Markup),2)</f>
        <v>30.36</v>
      </c>
      <c r="C29" s="218">
        <f>ROUND(IF(MinBase3Day&gt;ROUND(((1-(ThreeDayDiscount_21_Up+FedExExrpessEarnedDiscount))*'3Day Base'!C26),2),ROUND(MinBase3Day*(1+ExpressFuelSurcharge),2),ROUND(((1-(ThreeDayDiscount_21_Up+FedExExrpessEarnedDiscount))*'3Day Base'!C26)*(1+ExpressFuelSurcharge),2))*(1+FedEx_Markup),2)</f>
        <v>37.979999999999997</v>
      </c>
      <c r="D29" s="218">
        <f>ROUND(IF(MinBase3Day&gt;ROUND(((1-(ThreeDayDiscount_21_Up+FedExExrpessEarnedDiscount))*'3Day Base'!D26),2),ROUND(MinBase3Day*(1+ExpressFuelSurcharge),2),ROUND(((1-(ThreeDayDiscount_21_Up+FedExExrpessEarnedDiscount))*'3Day Base'!D26)*(1+ExpressFuelSurcharge),2))*(1+FedEx_Markup),2)</f>
        <v>45.91</v>
      </c>
      <c r="E29" s="218">
        <f>ROUND(IF(MinBase3Day&gt;ROUND(((1-(ThreeDayDiscount_21_Up+FedExExrpessEarnedDiscount))*'3Day Base'!E26),2),ROUND(MinBase3Day*(1+ExpressFuelSurcharge),2),ROUND(((1-(ThreeDayDiscount_21_Up+FedExExrpessEarnedDiscount))*'3Day Base'!E26)*(1+ExpressFuelSurcharge),2))*(1+FedEx_Markup),2)</f>
        <v>59.37</v>
      </c>
      <c r="F29" s="218">
        <f>ROUND(IF(MinBase3Day&gt;ROUND(((1-(ThreeDayDiscount_21_Up+FedExExrpessEarnedDiscount))*'3Day Base'!F26),2),ROUND(MinBase3Day*(1+ExpressFuelSurcharge),2),ROUND(((1-(ThreeDayDiscount_21_Up+FedExExrpessEarnedDiscount))*'3Day Base'!F26)*(1+ExpressFuelSurcharge),2))*(1+FedEx_Markup),2)</f>
        <v>76.48</v>
      </c>
      <c r="G29" s="218">
        <f>ROUND(IF(MinBase3Day&gt;ROUND(((1-(ThreeDayDiscount_21_Up+FedExExrpessEarnedDiscount))*'3Day Base'!G26),2),ROUND(MinBase3Day*(1+ExpressFuelSurcharge),2),ROUND(((1-(ThreeDayDiscount_21_Up+FedExExrpessEarnedDiscount))*'3Day Base'!G26)*(1+ExpressFuelSurcharge),2))*(1+FedEx_Markup),2)</f>
        <v>91.23</v>
      </c>
      <c r="H29" s="218">
        <f>ROUND(IF(MinBase3Day&gt;ROUND(((1-(ThreeDayDiscount_21_Up+FedExExrpessEarnedDiscount))*'3Day Base'!H26),2),ROUND(MinBase3Day*(1+ExpressFuelSurcharge),2),ROUND(((1-(ThreeDayDiscount_21_Up+FedExExrpessEarnedDiscount))*'3Day Base'!H26)*(1+ExpressFuelSurcharge),2))*(1+FedEx_Markup),2)</f>
        <v>101.72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25</v>
      </c>
      <c r="B30" s="218">
        <f>ROUND(IF(MinBase3Day&gt;ROUND(((1-(ThreeDayDiscount_21_Up+FedExExrpessEarnedDiscount))*'3Day Base'!B27),2),ROUND(MinBase3Day*(1+ExpressFuelSurcharge),2),ROUND(((1-(ThreeDayDiscount_21_Up+FedExExrpessEarnedDiscount))*'3Day Base'!B27)*(1+ExpressFuelSurcharge),2))*(1+FedEx_Markup),2)</f>
        <v>30.5</v>
      </c>
      <c r="C30" s="218">
        <f>ROUND(IF(MinBase3Day&gt;ROUND(((1-(ThreeDayDiscount_21_Up+FedExExrpessEarnedDiscount))*'3Day Base'!C27),2),ROUND(MinBase3Day*(1+ExpressFuelSurcharge),2),ROUND(((1-(ThreeDayDiscount_21_Up+FedExExrpessEarnedDiscount))*'3Day Base'!C27)*(1+ExpressFuelSurcharge),2))*(1+FedEx_Markup),2)</f>
        <v>38.229999999999997</v>
      </c>
      <c r="D30" s="218">
        <f>ROUND(IF(MinBase3Day&gt;ROUND(((1-(ThreeDayDiscount_21_Up+FedExExrpessEarnedDiscount))*'3Day Base'!D27),2),ROUND(MinBase3Day*(1+ExpressFuelSurcharge),2),ROUND(((1-(ThreeDayDiscount_21_Up+FedExExrpessEarnedDiscount))*'3Day Base'!D27)*(1+ExpressFuelSurcharge),2))*(1+FedEx_Markup),2)</f>
        <v>47.44</v>
      </c>
      <c r="E30" s="218">
        <f>ROUND(IF(MinBase3Day&gt;ROUND(((1-(ThreeDayDiscount_21_Up+FedExExrpessEarnedDiscount))*'3Day Base'!E27),2),ROUND(MinBase3Day*(1+ExpressFuelSurcharge),2),ROUND(((1-(ThreeDayDiscount_21_Up+FedExExrpessEarnedDiscount))*'3Day Base'!E27)*(1+ExpressFuelSurcharge),2))*(1+FedEx_Markup),2)</f>
        <v>61.42</v>
      </c>
      <c r="F30" s="218">
        <f>ROUND(IF(MinBase3Day&gt;ROUND(((1-(ThreeDayDiscount_21_Up+FedExExrpessEarnedDiscount))*'3Day Base'!F27),2),ROUND(MinBase3Day*(1+ExpressFuelSurcharge),2),ROUND(((1-(ThreeDayDiscount_21_Up+FedExExrpessEarnedDiscount))*'3Day Base'!F27)*(1+ExpressFuelSurcharge),2))*(1+FedEx_Markup),2)</f>
        <v>79.86</v>
      </c>
      <c r="G30" s="218">
        <f>ROUND(IF(MinBase3Day&gt;ROUND(((1-(ThreeDayDiscount_21_Up+FedExExrpessEarnedDiscount))*'3Day Base'!G27),2),ROUND(MinBase3Day*(1+ExpressFuelSurcharge),2),ROUND(((1-(ThreeDayDiscount_21_Up+FedExExrpessEarnedDiscount))*'3Day Base'!G27)*(1+ExpressFuelSurcharge),2))*(1+FedEx_Markup),2)</f>
        <v>96.81</v>
      </c>
      <c r="H30" s="218">
        <f>ROUND(IF(MinBase3Day&gt;ROUND(((1-(ThreeDayDiscount_21_Up+FedExExrpessEarnedDiscount))*'3Day Base'!H27),2),ROUND(MinBase3Day*(1+ExpressFuelSurcharge),2),ROUND(((1-(ThreeDayDiscount_21_Up+FedExExrpessEarnedDiscount))*'3Day Base'!H27)*(1+ExpressFuelSurcharge),2))*(1+FedEx_Markup),2)</f>
        <v>110.72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26</v>
      </c>
      <c r="B31" s="218">
        <f>ROUND(IF(MinBase3Day&gt;ROUND(((1-(ThreeDayDiscount_21_Up+FedExExrpessEarnedDiscount))*'3Day Base'!B28),2),ROUND(MinBase3Day*(1+ExpressFuelSurcharge),2),ROUND(((1-(ThreeDayDiscount_21_Up+FedExExrpessEarnedDiscount))*'3Day Base'!B28)*(1+ExpressFuelSurcharge),2))*(1+FedEx_Markup),2)</f>
        <v>33.35</v>
      </c>
      <c r="C31" s="218">
        <f>ROUND(IF(MinBase3Day&gt;ROUND(((1-(ThreeDayDiscount_21_Up+FedExExrpessEarnedDiscount))*'3Day Base'!C28),2),ROUND(MinBase3Day*(1+ExpressFuelSurcharge),2),ROUND(((1-(ThreeDayDiscount_21_Up+FedExExrpessEarnedDiscount))*'3Day Base'!C28)*(1+ExpressFuelSurcharge),2))*(1+FedEx_Markup),2)</f>
        <v>39.630000000000003</v>
      </c>
      <c r="D31" s="218">
        <f>ROUND(IF(MinBase3Day&gt;ROUND(((1-(ThreeDayDiscount_21_Up+FedExExrpessEarnedDiscount))*'3Day Base'!D28),2),ROUND(MinBase3Day*(1+ExpressFuelSurcharge),2),ROUND(((1-(ThreeDayDiscount_21_Up+FedExExrpessEarnedDiscount))*'3Day Base'!D28)*(1+ExpressFuelSurcharge),2))*(1+FedEx_Markup),2)</f>
        <v>48.99</v>
      </c>
      <c r="E31" s="218">
        <f>ROUND(IF(MinBase3Day&gt;ROUND(((1-(ThreeDayDiscount_21_Up+FedExExrpessEarnedDiscount))*'3Day Base'!E28),2),ROUND(MinBase3Day*(1+ExpressFuelSurcharge),2),ROUND(((1-(ThreeDayDiscount_21_Up+FedExExrpessEarnedDiscount))*'3Day Base'!E28)*(1+ExpressFuelSurcharge),2))*(1+FedEx_Markup),2)</f>
        <v>63.42</v>
      </c>
      <c r="F31" s="218">
        <f>ROUND(IF(MinBase3Day&gt;ROUND(((1-(ThreeDayDiscount_21_Up+FedExExrpessEarnedDiscount))*'3Day Base'!F28),2),ROUND(MinBase3Day*(1+ExpressFuelSurcharge),2),ROUND(((1-(ThreeDayDiscount_21_Up+FedExExrpessEarnedDiscount))*'3Day Base'!F28)*(1+ExpressFuelSurcharge),2))*(1+FedEx_Markup),2)</f>
        <v>81.09</v>
      </c>
      <c r="G31" s="218">
        <f>ROUND(IF(MinBase3Day&gt;ROUND(((1-(ThreeDayDiscount_21_Up+FedExExrpessEarnedDiscount))*'3Day Base'!G28),2),ROUND(MinBase3Day*(1+ExpressFuelSurcharge),2),ROUND(((1-(ThreeDayDiscount_21_Up+FedExExrpessEarnedDiscount))*'3Day Base'!G28)*(1+ExpressFuelSurcharge),2))*(1+FedEx_Markup),2)</f>
        <v>100.15</v>
      </c>
      <c r="H31" s="218">
        <f>ROUND(IF(MinBase3Day&gt;ROUND(((1-(ThreeDayDiscount_21_Up+FedExExrpessEarnedDiscount))*'3Day Base'!H28),2),ROUND(MinBase3Day*(1+ExpressFuelSurcharge),2),ROUND(((1-(ThreeDayDiscount_21_Up+FedExExrpessEarnedDiscount))*'3Day Base'!H28)*(1+ExpressFuelSurcharge),2))*(1+FedEx_Markup),2)</f>
        <v>114.1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27</v>
      </c>
      <c r="B32" s="218">
        <f>ROUND(IF(MinBase3Day&gt;ROUND(((1-(ThreeDayDiscount_21_Up+FedExExrpessEarnedDiscount))*'3Day Base'!B29),2),ROUND(MinBase3Day*(1+ExpressFuelSurcharge),2),ROUND(((1-(ThreeDayDiscount_21_Up+FedExExrpessEarnedDiscount))*'3Day Base'!B29)*(1+ExpressFuelSurcharge),2))*(1+FedEx_Markup),2)</f>
        <v>34.43</v>
      </c>
      <c r="C32" s="218">
        <f>ROUND(IF(MinBase3Day&gt;ROUND(((1-(ThreeDayDiscount_21_Up+FedExExrpessEarnedDiscount))*'3Day Base'!C29),2),ROUND(MinBase3Day*(1+ExpressFuelSurcharge),2),ROUND(((1-(ThreeDayDiscount_21_Up+FedExExrpessEarnedDiscount))*'3Day Base'!C29)*(1+ExpressFuelSurcharge),2))*(1+FedEx_Markup),2)</f>
        <v>41.32</v>
      </c>
      <c r="D32" s="218">
        <f>ROUND(IF(MinBase3Day&gt;ROUND(((1-(ThreeDayDiscount_21_Up+FedExExrpessEarnedDiscount))*'3Day Base'!D29),2),ROUND(MinBase3Day*(1+ExpressFuelSurcharge),2),ROUND(((1-(ThreeDayDiscount_21_Up+FedExExrpessEarnedDiscount))*'3Day Base'!D29)*(1+ExpressFuelSurcharge),2))*(1+FedEx_Markup),2)</f>
        <v>50.84</v>
      </c>
      <c r="E32" s="218">
        <f>ROUND(IF(MinBase3Day&gt;ROUND(((1-(ThreeDayDiscount_21_Up+FedExExrpessEarnedDiscount))*'3Day Base'!E29),2),ROUND(MinBase3Day*(1+ExpressFuelSurcharge),2),ROUND(((1-(ThreeDayDiscount_21_Up+FedExExrpessEarnedDiscount))*'3Day Base'!E29)*(1+ExpressFuelSurcharge),2))*(1+FedEx_Markup),2)</f>
        <v>66.84</v>
      </c>
      <c r="F32" s="218">
        <f>ROUND(IF(MinBase3Day&gt;ROUND(((1-(ThreeDayDiscount_21_Up+FedExExrpessEarnedDiscount))*'3Day Base'!F29),2),ROUND(MinBase3Day*(1+ExpressFuelSurcharge),2),ROUND(((1-(ThreeDayDiscount_21_Up+FedExExrpessEarnedDiscount))*'3Day Base'!F29)*(1+ExpressFuelSurcharge),2))*(1+FedEx_Markup),2)</f>
        <v>83.21</v>
      </c>
      <c r="G32" s="218">
        <f>ROUND(IF(MinBase3Day&gt;ROUND(((1-(ThreeDayDiscount_21_Up+FedExExrpessEarnedDiscount))*'3Day Base'!G29),2),ROUND(MinBase3Day*(1+ExpressFuelSurcharge),2),ROUND(((1-(ThreeDayDiscount_21_Up+FedExExrpessEarnedDiscount))*'3Day Base'!G29)*(1+ExpressFuelSurcharge),2))*(1+FedEx_Markup),2)</f>
        <v>103.67</v>
      </c>
      <c r="H32" s="218">
        <f>ROUND(IF(MinBase3Day&gt;ROUND(((1-(ThreeDayDiscount_21_Up+FedExExrpessEarnedDiscount))*'3Day Base'!H29),2),ROUND(MinBase3Day*(1+ExpressFuelSurcharge),2),ROUND(((1-(ThreeDayDiscount_21_Up+FedExExrpessEarnedDiscount))*'3Day Base'!H29)*(1+ExpressFuelSurcharge),2))*(1+FedEx_Markup),2)</f>
        <v>117.65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28</v>
      </c>
      <c r="B33" s="218">
        <f>ROUND(IF(MinBase3Day&gt;ROUND(((1-(ThreeDayDiscount_21_Up+FedExExrpessEarnedDiscount))*'3Day Base'!B30),2),ROUND(MinBase3Day*(1+ExpressFuelSurcharge),2),ROUND(((1-(ThreeDayDiscount_21_Up+FedExExrpessEarnedDiscount))*'3Day Base'!B30)*(1+ExpressFuelSurcharge),2))*(1+FedEx_Markup),2)</f>
        <v>35.47</v>
      </c>
      <c r="C33" s="218">
        <f>ROUND(IF(MinBase3Day&gt;ROUND(((1-(ThreeDayDiscount_21_Up+FedExExrpessEarnedDiscount))*'3Day Base'!C30),2),ROUND(MinBase3Day*(1+ExpressFuelSurcharge),2),ROUND(((1-(ThreeDayDiscount_21_Up+FedExExrpessEarnedDiscount))*'3Day Base'!C30)*(1+ExpressFuelSurcharge),2))*(1+FedEx_Markup),2)</f>
        <v>41.48</v>
      </c>
      <c r="D33" s="218">
        <f>ROUND(IF(MinBase3Day&gt;ROUND(((1-(ThreeDayDiscount_21_Up+FedExExrpessEarnedDiscount))*'3Day Base'!D30),2),ROUND(MinBase3Day*(1+ExpressFuelSurcharge),2),ROUND(((1-(ThreeDayDiscount_21_Up+FedExExrpessEarnedDiscount))*'3Day Base'!D30)*(1+ExpressFuelSurcharge),2))*(1+FedEx_Markup),2)</f>
        <v>52.11</v>
      </c>
      <c r="E33" s="218">
        <f>ROUND(IF(MinBase3Day&gt;ROUND(((1-(ThreeDayDiscount_21_Up+FedExExrpessEarnedDiscount))*'3Day Base'!E30),2),ROUND(MinBase3Day*(1+ExpressFuelSurcharge),2),ROUND(((1-(ThreeDayDiscount_21_Up+FedExExrpessEarnedDiscount))*'3Day Base'!E30)*(1+ExpressFuelSurcharge),2))*(1+FedEx_Markup),2)</f>
        <v>67.19</v>
      </c>
      <c r="F33" s="218">
        <f>ROUND(IF(MinBase3Day&gt;ROUND(((1-(ThreeDayDiscount_21_Up+FedExExrpessEarnedDiscount))*'3Day Base'!F30),2),ROUND(MinBase3Day*(1+ExpressFuelSurcharge),2),ROUND(((1-(ThreeDayDiscount_21_Up+FedExExrpessEarnedDiscount))*'3Day Base'!F30)*(1+ExpressFuelSurcharge),2))*(1+FedEx_Markup),2)</f>
        <v>92.13</v>
      </c>
      <c r="G33" s="218">
        <f>ROUND(IF(MinBase3Day&gt;ROUND(((1-(ThreeDayDiscount_21_Up+FedExExrpessEarnedDiscount))*'3Day Base'!G30),2),ROUND(MinBase3Day*(1+ExpressFuelSurcharge),2),ROUND(((1-(ThreeDayDiscount_21_Up+FedExExrpessEarnedDiscount))*'3Day Base'!G30)*(1+ExpressFuelSurcharge),2))*(1+FedEx_Markup),2)</f>
        <v>108.49</v>
      </c>
      <c r="H33" s="218">
        <f>ROUND(IF(MinBase3Day&gt;ROUND(((1-(ThreeDayDiscount_21_Up+FedExExrpessEarnedDiscount))*'3Day Base'!H30),2),ROUND(MinBase3Day*(1+ExpressFuelSurcharge),2),ROUND(((1-(ThreeDayDiscount_21_Up+FedExExrpessEarnedDiscount))*'3Day Base'!H30)*(1+ExpressFuelSurcharge),2))*(1+FedEx_Markup),2)</f>
        <v>121.43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29</v>
      </c>
      <c r="B34" s="218">
        <f>ROUND(IF(MinBase3Day&gt;ROUND(((1-(ThreeDayDiscount_21_Up+FedExExrpessEarnedDiscount))*'3Day Base'!B31),2),ROUND(MinBase3Day*(1+ExpressFuelSurcharge),2),ROUND(((1-(ThreeDayDiscount_21_Up+FedExExrpessEarnedDiscount))*'3Day Base'!B31)*(1+ExpressFuelSurcharge),2))*(1+FedEx_Markup),2)</f>
        <v>35.619999999999997</v>
      </c>
      <c r="C34" s="218">
        <f>ROUND(IF(MinBase3Day&gt;ROUND(((1-(ThreeDayDiscount_21_Up+FedExExrpessEarnedDiscount))*'3Day Base'!C31),2),ROUND(MinBase3Day*(1+ExpressFuelSurcharge),2),ROUND(((1-(ThreeDayDiscount_21_Up+FedExExrpessEarnedDiscount))*'3Day Base'!C31)*(1+ExpressFuelSurcharge),2))*(1+FedEx_Markup),2)</f>
        <v>42.5</v>
      </c>
      <c r="D34" s="218">
        <f>ROUND(IF(MinBase3Day&gt;ROUND(((1-(ThreeDayDiscount_21_Up+FedExExrpessEarnedDiscount))*'3Day Base'!D31),2),ROUND(MinBase3Day*(1+ExpressFuelSurcharge),2),ROUND(((1-(ThreeDayDiscount_21_Up+FedExExrpessEarnedDiscount))*'3Day Base'!D31)*(1+ExpressFuelSurcharge),2))*(1+FedEx_Markup),2)</f>
        <v>53.61</v>
      </c>
      <c r="E34" s="218">
        <f>ROUND(IF(MinBase3Day&gt;ROUND(((1-(ThreeDayDiscount_21_Up+FedExExrpessEarnedDiscount))*'3Day Base'!E31),2),ROUND(MinBase3Day*(1+ExpressFuelSurcharge),2),ROUND(((1-(ThreeDayDiscount_21_Up+FedExExrpessEarnedDiscount))*'3Day Base'!E31)*(1+ExpressFuelSurcharge),2))*(1+FedEx_Markup),2)</f>
        <v>68.94</v>
      </c>
      <c r="F34" s="218">
        <f>ROUND(IF(MinBase3Day&gt;ROUND(((1-(ThreeDayDiscount_21_Up+FedExExrpessEarnedDiscount))*'3Day Base'!F31),2),ROUND(MinBase3Day*(1+ExpressFuelSurcharge),2),ROUND(((1-(ThreeDayDiscount_21_Up+FedExExrpessEarnedDiscount))*'3Day Base'!F31)*(1+ExpressFuelSurcharge),2))*(1+FedEx_Markup),2)</f>
        <v>94.85</v>
      </c>
      <c r="G34" s="218">
        <f>ROUND(IF(MinBase3Day&gt;ROUND(((1-(ThreeDayDiscount_21_Up+FedExExrpessEarnedDiscount))*'3Day Base'!G31),2),ROUND(MinBase3Day*(1+ExpressFuelSurcharge),2),ROUND(((1-(ThreeDayDiscount_21_Up+FedExExrpessEarnedDiscount))*'3Day Base'!G31)*(1+ExpressFuelSurcharge),2))*(1+FedEx_Markup),2)</f>
        <v>111.72</v>
      </c>
      <c r="H34" s="218">
        <f>ROUND(IF(MinBase3Day&gt;ROUND(((1-(ThreeDayDiscount_21_Up+FedExExrpessEarnedDiscount))*'3Day Base'!H31),2),ROUND(MinBase3Day*(1+ExpressFuelSurcharge),2),ROUND(((1-(ThreeDayDiscount_21_Up+FedExExrpessEarnedDiscount))*'3Day Base'!H31)*(1+ExpressFuelSurcharge),2))*(1+FedEx_Markup),2)</f>
        <v>125.21</v>
      </c>
    </row>
    <row r="35" spans="1:26" ht="12.75" customHeight="1">
      <c r="A35" s="217">
        <v>30</v>
      </c>
      <c r="B35" s="218">
        <f>ROUND(IF(MinBase3Day&gt;ROUND(((1-(ThreeDayDiscount_21_Up+FedExExrpessEarnedDiscount))*'3Day Base'!B32),2),ROUND(MinBase3Day*(1+ExpressFuelSurcharge),2),ROUND(((1-(ThreeDayDiscount_21_Up+FedExExrpessEarnedDiscount))*'3Day Base'!B32)*(1+ExpressFuelSurcharge),2))*(1+FedEx_Markup),2)</f>
        <v>35.74</v>
      </c>
      <c r="C35" s="218">
        <f>ROUND(IF(MinBase3Day&gt;ROUND(((1-(ThreeDayDiscount_21_Up+FedExExrpessEarnedDiscount))*'3Day Base'!C32),2),ROUND(MinBase3Day*(1+ExpressFuelSurcharge),2),ROUND(((1-(ThreeDayDiscount_21_Up+FedExExrpessEarnedDiscount))*'3Day Base'!C32)*(1+ExpressFuelSurcharge),2))*(1+FedEx_Markup),2)</f>
        <v>43.65</v>
      </c>
      <c r="D35" s="218">
        <f>ROUND(IF(MinBase3Day&gt;ROUND(((1-(ThreeDayDiscount_21_Up+FedExExrpessEarnedDiscount))*'3Day Base'!D32),2),ROUND(MinBase3Day*(1+ExpressFuelSurcharge),2),ROUND(((1-(ThreeDayDiscount_21_Up+FedExExrpessEarnedDiscount))*'3Day Base'!D32)*(1+ExpressFuelSurcharge),2))*(1+FedEx_Markup),2)</f>
        <v>53.77</v>
      </c>
      <c r="E35" s="218">
        <f>ROUND(IF(MinBase3Day&gt;ROUND(((1-(ThreeDayDiscount_21_Up+FedExExrpessEarnedDiscount))*'3Day Base'!E32),2),ROUND(MinBase3Day*(1+ExpressFuelSurcharge),2),ROUND(((1-(ThreeDayDiscount_21_Up+FedExExrpessEarnedDiscount))*'3Day Base'!E32)*(1+ExpressFuelSurcharge),2))*(1+FedEx_Markup),2)</f>
        <v>71.09</v>
      </c>
      <c r="F35" s="218">
        <f>ROUND(IF(MinBase3Day&gt;ROUND(((1-(ThreeDayDiscount_21_Up+FedExExrpessEarnedDiscount))*'3Day Base'!F32),2),ROUND(MinBase3Day*(1+ExpressFuelSurcharge),2),ROUND(((1-(ThreeDayDiscount_21_Up+FedExExrpessEarnedDiscount))*'3Day Base'!F32)*(1+ExpressFuelSurcharge),2))*(1+FedEx_Markup),2)</f>
        <v>96.37</v>
      </c>
      <c r="G35" s="218">
        <f>ROUND(IF(MinBase3Day&gt;ROUND(((1-(ThreeDayDiscount_21_Up+FedExExrpessEarnedDiscount))*'3Day Base'!G32),2),ROUND(MinBase3Day*(1+ExpressFuelSurcharge),2),ROUND(((1-(ThreeDayDiscount_21_Up+FedExExrpessEarnedDiscount))*'3Day Base'!G32)*(1+ExpressFuelSurcharge),2))*(1+FedEx_Markup),2)</f>
        <v>112.04</v>
      </c>
      <c r="H35" s="218">
        <f>ROUND(IF(MinBase3Day&gt;ROUND(((1-(ThreeDayDiscount_21_Up+FedExExrpessEarnedDiscount))*'3Day Base'!H32),2),ROUND(MinBase3Day*(1+ExpressFuelSurcharge),2),ROUND(((1-(ThreeDayDiscount_21_Up+FedExExrpessEarnedDiscount))*'3Day Base'!H32)*(1+ExpressFuelSurcharge),2))*(1+FedEx_Markup),2)</f>
        <v>128.79</v>
      </c>
    </row>
    <row r="36" spans="1:26" ht="12.75" customHeight="1">
      <c r="A36" s="217">
        <v>31</v>
      </c>
      <c r="B36" s="218">
        <f>ROUND(IF(MinBase3Day&gt;ROUND(((1-(ThreeDayDiscount_21_Up+FedExExrpessEarnedDiscount))*'3Day Base'!B33),2),ROUND(MinBase3Day*(1+ExpressFuelSurcharge),2),ROUND(((1-(ThreeDayDiscount_21_Up+FedExExrpessEarnedDiscount))*'3Day Base'!B33)*(1+ExpressFuelSurcharge),2))*(1+FedEx_Markup),2)</f>
        <v>36.9</v>
      </c>
      <c r="C36" s="218">
        <f>ROUND(IF(MinBase3Day&gt;ROUND(((1-(ThreeDayDiscount_21_Up+FedExExrpessEarnedDiscount))*'3Day Base'!C33),2),ROUND(MinBase3Day*(1+ExpressFuelSurcharge),2),ROUND(((1-(ThreeDayDiscount_21_Up+FedExExrpessEarnedDiscount))*'3Day Base'!C33)*(1+ExpressFuelSurcharge),2))*(1+FedEx_Markup),2)</f>
        <v>46.15</v>
      </c>
      <c r="D36" s="218">
        <f>ROUND(IF(MinBase3Day&gt;ROUND(((1-(ThreeDayDiscount_21_Up+FedExExrpessEarnedDiscount))*'3Day Base'!D33),2),ROUND(MinBase3Day*(1+ExpressFuelSurcharge),2),ROUND(((1-(ThreeDayDiscount_21_Up+FedExExrpessEarnedDiscount))*'3Day Base'!D33)*(1+ExpressFuelSurcharge),2))*(1+FedEx_Markup),2)</f>
        <v>55.33</v>
      </c>
      <c r="E36" s="218">
        <f>ROUND(IF(MinBase3Day&gt;ROUND(((1-(ThreeDayDiscount_21_Up+FedExExrpessEarnedDiscount))*'3Day Base'!E33),2),ROUND(MinBase3Day*(1+ExpressFuelSurcharge),2),ROUND(((1-(ThreeDayDiscount_21_Up+FedExExrpessEarnedDiscount))*'3Day Base'!E33)*(1+ExpressFuelSurcharge),2))*(1+FedEx_Markup),2)</f>
        <v>72.239999999999995</v>
      </c>
      <c r="F36" s="218">
        <f>ROUND(IF(MinBase3Day&gt;ROUND(((1-(ThreeDayDiscount_21_Up+FedExExrpessEarnedDiscount))*'3Day Base'!F33),2),ROUND(MinBase3Day*(1+ExpressFuelSurcharge),2),ROUND(((1-(ThreeDayDiscount_21_Up+FedExExrpessEarnedDiscount))*'3Day Base'!F33)*(1+ExpressFuelSurcharge),2))*(1+FedEx_Markup),2)</f>
        <v>101.28</v>
      </c>
      <c r="G36" s="218">
        <f>ROUND(IF(MinBase3Day&gt;ROUND(((1-(ThreeDayDiscount_21_Up+FedExExrpessEarnedDiscount))*'3Day Base'!G33),2),ROUND(MinBase3Day*(1+ExpressFuelSurcharge),2),ROUND(((1-(ThreeDayDiscount_21_Up+FedExExrpessEarnedDiscount))*'3Day Base'!G33)*(1+ExpressFuelSurcharge),2))*(1+FedEx_Markup),2)</f>
        <v>113.23</v>
      </c>
      <c r="H36" s="218">
        <f>ROUND(IF(MinBase3Day&gt;ROUND(((1-(ThreeDayDiscount_21_Up+FedExExrpessEarnedDiscount))*'3Day Base'!H33),2),ROUND(MinBase3Day*(1+ExpressFuelSurcharge),2),ROUND(((1-(ThreeDayDiscount_21_Up+FedExExrpessEarnedDiscount))*'3Day Base'!H33)*(1+ExpressFuelSurcharge),2))*(1+FedEx_Markup),2)</f>
        <v>132.30000000000001</v>
      </c>
    </row>
    <row r="37" spans="1:26" ht="12.75" customHeight="1">
      <c r="A37" s="217">
        <v>32</v>
      </c>
      <c r="B37" s="218">
        <f>ROUND(IF(MinBase3Day&gt;ROUND(((1-(ThreeDayDiscount_21_Up+FedExExrpessEarnedDiscount))*'3Day Base'!B34),2),ROUND(MinBase3Day*(1+ExpressFuelSurcharge),2),ROUND(((1-(ThreeDayDiscount_21_Up+FedExExrpessEarnedDiscount))*'3Day Base'!B34)*(1+ExpressFuelSurcharge),2))*(1+FedEx_Markup),2)</f>
        <v>37.049999999999997</v>
      </c>
      <c r="C37" s="218">
        <f>ROUND(IF(MinBase3Day&gt;ROUND(((1-(ThreeDayDiscount_21_Up+FedExExrpessEarnedDiscount))*'3Day Base'!C34),2),ROUND(MinBase3Day*(1+ExpressFuelSurcharge),2),ROUND(((1-(ThreeDayDiscount_21_Up+FedExExrpessEarnedDiscount))*'3Day Base'!C34)*(1+ExpressFuelSurcharge),2))*(1+FedEx_Markup),2)</f>
        <v>46.45</v>
      </c>
      <c r="D37" s="218">
        <f>ROUND(IF(MinBase3Day&gt;ROUND(((1-(ThreeDayDiscount_21_Up+FedExExrpessEarnedDiscount))*'3Day Base'!D34),2),ROUND(MinBase3Day*(1+ExpressFuelSurcharge),2),ROUND(((1-(ThreeDayDiscount_21_Up+FedExExrpessEarnedDiscount))*'3Day Base'!D34)*(1+ExpressFuelSurcharge),2))*(1+FedEx_Markup),2)</f>
        <v>56.9</v>
      </c>
      <c r="E37" s="218">
        <f>ROUND(IF(MinBase3Day&gt;ROUND(((1-(ThreeDayDiscount_21_Up+FedExExrpessEarnedDiscount))*'3Day Base'!E34),2),ROUND(MinBase3Day*(1+ExpressFuelSurcharge),2),ROUND(((1-(ThreeDayDiscount_21_Up+FedExExrpessEarnedDiscount))*'3Day Base'!E34)*(1+ExpressFuelSurcharge),2))*(1+FedEx_Markup),2)</f>
        <v>74.64</v>
      </c>
      <c r="F37" s="218">
        <f>ROUND(IF(MinBase3Day&gt;ROUND(((1-(ThreeDayDiscount_21_Up+FedExExrpessEarnedDiscount))*'3Day Base'!F34),2),ROUND(MinBase3Day*(1+ExpressFuelSurcharge),2),ROUND(((1-(ThreeDayDiscount_21_Up+FedExExrpessEarnedDiscount))*'3Day Base'!F34)*(1+ExpressFuelSurcharge),2))*(1+FedEx_Markup),2)</f>
        <v>103.36</v>
      </c>
      <c r="G37" s="218">
        <f>ROUND(IF(MinBase3Day&gt;ROUND(((1-(ThreeDayDiscount_21_Up+FedExExrpessEarnedDiscount))*'3Day Base'!G34),2),ROUND(MinBase3Day*(1+ExpressFuelSurcharge),2),ROUND(((1-(ThreeDayDiscount_21_Up+FedExExrpessEarnedDiscount))*'3Day Base'!G34)*(1+ExpressFuelSurcharge),2))*(1+FedEx_Markup),2)</f>
        <v>115.81</v>
      </c>
      <c r="H37" s="218">
        <f>ROUND(IF(MinBase3Day&gt;ROUND(((1-(ThreeDayDiscount_21_Up+FedExExrpessEarnedDiscount))*'3Day Base'!H34),2),ROUND(MinBase3Day*(1+ExpressFuelSurcharge),2),ROUND(((1-(ThreeDayDiscount_21_Up+FedExExrpessEarnedDiscount))*'3Day Base'!H34)*(1+ExpressFuelSurcharge),2))*(1+FedEx_Markup),2)</f>
        <v>134.04</v>
      </c>
    </row>
    <row r="38" spans="1:26" ht="12.75" customHeight="1">
      <c r="A38" s="217">
        <v>33</v>
      </c>
      <c r="B38" s="218">
        <f>ROUND(IF(MinBase3Day&gt;ROUND(((1-(ThreeDayDiscount_21_Up+FedExExrpessEarnedDiscount))*'3Day Base'!B35),2),ROUND(MinBase3Day*(1+ExpressFuelSurcharge),2),ROUND(((1-(ThreeDayDiscount_21_Up+FedExExrpessEarnedDiscount))*'3Day Base'!B35)*(1+ExpressFuelSurcharge),2))*(1+FedEx_Markup),2)</f>
        <v>39.159999999999997</v>
      </c>
      <c r="C38" s="218">
        <f>ROUND(IF(MinBase3Day&gt;ROUND(((1-(ThreeDayDiscount_21_Up+FedExExrpessEarnedDiscount))*'3Day Base'!C35),2),ROUND(MinBase3Day*(1+ExpressFuelSurcharge),2),ROUND(((1-(ThreeDayDiscount_21_Up+FedExExrpessEarnedDiscount))*'3Day Base'!C35)*(1+ExpressFuelSurcharge),2))*(1+FedEx_Markup),2)</f>
        <v>47.43</v>
      </c>
      <c r="D38" s="218">
        <f>ROUND(IF(MinBase3Day&gt;ROUND(((1-(ThreeDayDiscount_21_Up+FedExExrpessEarnedDiscount))*'3Day Base'!D35),2),ROUND(MinBase3Day*(1+ExpressFuelSurcharge),2),ROUND(((1-(ThreeDayDiscount_21_Up+FedExExrpessEarnedDiscount))*'3Day Base'!D35)*(1+ExpressFuelSurcharge),2))*(1+FedEx_Markup),2)</f>
        <v>59.24</v>
      </c>
      <c r="E38" s="218">
        <f>ROUND(IF(MinBase3Day&gt;ROUND(((1-(ThreeDayDiscount_21_Up+FedExExrpessEarnedDiscount))*'3Day Base'!E35),2),ROUND(MinBase3Day*(1+ExpressFuelSurcharge),2),ROUND(((1-(ThreeDayDiscount_21_Up+FedExExrpessEarnedDiscount))*'3Day Base'!E35)*(1+ExpressFuelSurcharge),2))*(1+FedEx_Markup),2)</f>
        <v>76.69</v>
      </c>
      <c r="F38" s="218">
        <f>ROUND(IF(MinBase3Day&gt;ROUND(((1-(ThreeDayDiscount_21_Up+FedExExrpessEarnedDiscount))*'3Day Base'!F35),2),ROUND(MinBase3Day*(1+ExpressFuelSurcharge),2),ROUND(((1-(ThreeDayDiscount_21_Up+FedExExrpessEarnedDiscount))*'3Day Base'!F35)*(1+ExpressFuelSurcharge),2))*(1+FedEx_Markup),2)</f>
        <v>106.38</v>
      </c>
      <c r="G38" s="218">
        <f>ROUND(IF(MinBase3Day&gt;ROUND(((1-(ThreeDayDiscount_21_Up+FedExExrpessEarnedDiscount))*'3Day Base'!G35),2),ROUND(MinBase3Day*(1+ExpressFuelSurcharge),2),ROUND(((1-(ThreeDayDiscount_21_Up+FedExExrpessEarnedDiscount))*'3Day Base'!G35)*(1+ExpressFuelSurcharge),2))*(1+FedEx_Markup),2)</f>
        <v>118.81</v>
      </c>
      <c r="H38" s="218">
        <f>ROUND(IF(MinBase3Day&gt;ROUND(((1-(ThreeDayDiscount_21_Up+FedExExrpessEarnedDiscount))*'3Day Base'!H35),2),ROUND(MinBase3Day*(1+ExpressFuelSurcharge),2),ROUND(((1-(ThreeDayDiscount_21_Up+FedExExrpessEarnedDiscount))*'3Day Base'!H35)*(1+ExpressFuelSurcharge),2))*(1+FedEx_Markup),2)</f>
        <v>134.56</v>
      </c>
    </row>
    <row r="39" spans="1:26" ht="12.75" customHeight="1">
      <c r="A39" s="217">
        <v>34</v>
      </c>
      <c r="B39" s="218">
        <f>ROUND(IF(MinBase3Day&gt;ROUND(((1-(ThreeDayDiscount_21_Up+FedExExrpessEarnedDiscount))*'3Day Base'!B36),2),ROUND(MinBase3Day*(1+ExpressFuelSurcharge),2),ROUND(((1-(ThreeDayDiscount_21_Up+FedExExrpessEarnedDiscount))*'3Day Base'!B36)*(1+ExpressFuelSurcharge),2))*(1+FedEx_Markup),2)</f>
        <v>39.93</v>
      </c>
      <c r="C39" s="218">
        <f>ROUND(IF(MinBase3Day&gt;ROUND(((1-(ThreeDayDiscount_21_Up+FedExExrpessEarnedDiscount))*'3Day Base'!C36),2),ROUND(MinBase3Day*(1+ExpressFuelSurcharge),2),ROUND(((1-(ThreeDayDiscount_21_Up+FedExExrpessEarnedDiscount))*'3Day Base'!C36)*(1+ExpressFuelSurcharge),2))*(1+FedEx_Markup),2)</f>
        <v>47.56</v>
      </c>
      <c r="D39" s="218">
        <f>ROUND(IF(MinBase3Day&gt;ROUND(((1-(ThreeDayDiscount_21_Up+FedExExrpessEarnedDiscount))*'3Day Base'!D36),2),ROUND(MinBase3Day*(1+ExpressFuelSurcharge),2),ROUND(((1-(ThreeDayDiscount_21_Up+FedExExrpessEarnedDiscount))*'3Day Base'!D36)*(1+ExpressFuelSurcharge),2))*(1+FedEx_Markup),2)</f>
        <v>59.47</v>
      </c>
      <c r="E39" s="218">
        <f>ROUND(IF(MinBase3Day&gt;ROUND(((1-(ThreeDayDiscount_21_Up+FedExExrpessEarnedDiscount))*'3Day Base'!E36),2),ROUND(MinBase3Day*(1+ExpressFuelSurcharge),2),ROUND(((1-(ThreeDayDiscount_21_Up+FedExExrpessEarnedDiscount))*'3Day Base'!E36)*(1+ExpressFuelSurcharge),2))*(1+FedEx_Markup),2)</f>
        <v>78.56</v>
      </c>
      <c r="F39" s="218">
        <f>ROUND(IF(MinBase3Day&gt;ROUND(((1-(ThreeDayDiscount_21_Up+FedExExrpessEarnedDiscount))*'3Day Base'!F36),2),ROUND(MinBase3Day*(1+ExpressFuelSurcharge),2),ROUND(((1-(ThreeDayDiscount_21_Up+FedExExrpessEarnedDiscount))*'3Day Base'!F36)*(1+ExpressFuelSurcharge),2))*(1+FedEx_Markup),2)</f>
        <v>108.11</v>
      </c>
      <c r="G39" s="218">
        <f>ROUND(IF(MinBase3Day&gt;ROUND(((1-(ThreeDayDiscount_21_Up+FedExExrpessEarnedDiscount))*'3Day Base'!G36),2),ROUND(MinBase3Day*(1+ExpressFuelSurcharge),2),ROUND(((1-(ThreeDayDiscount_21_Up+FedExExrpessEarnedDiscount))*'3Day Base'!G36)*(1+ExpressFuelSurcharge),2))*(1+FedEx_Markup),2)</f>
        <v>121.6</v>
      </c>
      <c r="H39" s="218">
        <f>ROUND(IF(MinBase3Day&gt;ROUND(((1-(ThreeDayDiscount_21_Up+FedExExrpessEarnedDiscount))*'3Day Base'!H36),2),ROUND(MinBase3Day*(1+ExpressFuelSurcharge),2),ROUND(((1-(ThreeDayDiscount_21_Up+FedExExrpessEarnedDiscount))*'3Day Base'!H36)*(1+ExpressFuelSurcharge),2))*(1+FedEx_Markup),2)</f>
        <v>144.77000000000001</v>
      </c>
    </row>
    <row r="40" spans="1:26" ht="12.75" customHeight="1">
      <c r="A40" s="217">
        <v>35</v>
      </c>
      <c r="B40" s="218">
        <f>ROUND(IF(MinBase3Day&gt;ROUND(((1-(ThreeDayDiscount_21_Up+FedExExrpessEarnedDiscount))*'3Day Base'!B37),2),ROUND(MinBase3Day*(1+ExpressFuelSurcharge),2),ROUND(((1-(ThreeDayDiscount_21_Up+FedExExrpessEarnedDiscount))*'3Day Base'!B37)*(1+ExpressFuelSurcharge),2))*(1+FedEx_Markup),2)</f>
        <v>40.700000000000003</v>
      </c>
      <c r="C40" s="218">
        <f>ROUND(IF(MinBase3Day&gt;ROUND(((1-(ThreeDayDiscount_21_Up+FedExExrpessEarnedDiscount))*'3Day Base'!C37),2),ROUND(MinBase3Day*(1+ExpressFuelSurcharge),2),ROUND(((1-(ThreeDayDiscount_21_Up+FedExExrpessEarnedDiscount))*'3Day Base'!C37)*(1+ExpressFuelSurcharge),2))*(1+FedEx_Markup),2)</f>
        <v>49.68</v>
      </c>
      <c r="D40" s="218">
        <f>ROUND(IF(MinBase3Day&gt;ROUND(((1-(ThreeDayDiscount_21_Up+FedExExrpessEarnedDiscount))*'3Day Base'!D37),2),ROUND(MinBase3Day*(1+ExpressFuelSurcharge),2),ROUND(((1-(ThreeDayDiscount_21_Up+FedExExrpessEarnedDiscount))*'3Day Base'!D37)*(1+ExpressFuelSurcharge),2))*(1+FedEx_Markup),2)</f>
        <v>61.19</v>
      </c>
      <c r="E40" s="218">
        <f>ROUND(IF(MinBase3Day&gt;ROUND(((1-(ThreeDayDiscount_21_Up+FedExExrpessEarnedDiscount))*'3Day Base'!E37),2),ROUND(MinBase3Day*(1+ExpressFuelSurcharge),2),ROUND(((1-(ThreeDayDiscount_21_Up+FedExExrpessEarnedDiscount))*'3Day Base'!E37)*(1+ExpressFuelSurcharge),2))*(1+FedEx_Markup),2)</f>
        <v>80.52</v>
      </c>
      <c r="F40" s="218">
        <f>ROUND(IF(MinBase3Day&gt;ROUND(((1-(ThreeDayDiscount_21_Up+FedExExrpessEarnedDiscount))*'3Day Base'!F37),2),ROUND(MinBase3Day*(1+ExpressFuelSurcharge),2),ROUND(((1-(ThreeDayDiscount_21_Up+FedExExrpessEarnedDiscount))*'3Day Base'!F37)*(1+ExpressFuelSurcharge),2))*(1+FedEx_Markup),2)</f>
        <v>108.3</v>
      </c>
      <c r="G40" s="218">
        <f>ROUND(IF(MinBase3Day&gt;ROUND(((1-(ThreeDayDiscount_21_Up+FedExExrpessEarnedDiscount))*'3Day Base'!G37),2),ROUND(MinBase3Day*(1+ExpressFuelSurcharge),2),ROUND(((1-(ThreeDayDiscount_21_Up+FedExExrpessEarnedDiscount))*'3Day Base'!G37)*(1+ExpressFuelSurcharge),2))*(1+FedEx_Markup),2)</f>
        <v>124.67</v>
      </c>
      <c r="H40" s="218">
        <f>ROUND(IF(MinBase3Day&gt;ROUND(((1-(ThreeDayDiscount_21_Up+FedExExrpessEarnedDiscount))*'3Day Base'!H37),2),ROUND(MinBase3Day*(1+ExpressFuelSurcharge),2),ROUND(((1-(ThreeDayDiscount_21_Up+FedExExrpessEarnedDiscount))*'3Day Base'!H37)*(1+ExpressFuelSurcharge),2))*(1+FedEx_Markup),2)</f>
        <v>145.80000000000001</v>
      </c>
    </row>
    <row r="41" spans="1:26" ht="12.75" customHeight="1">
      <c r="A41" s="217">
        <v>36</v>
      </c>
      <c r="B41" s="218">
        <f>ROUND(IF(MinBase3Day&gt;ROUND(((1-(ThreeDayDiscount_21_Up+FedExExrpessEarnedDiscount))*'3Day Base'!B38),2),ROUND(MinBase3Day*(1+ExpressFuelSurcharge),2),ROUND(((1-(ThreeDayDiscount_21_Up+FedExExrpessEarnedDiscount))*'3Day Base'!B38)*(1+ExpressFuelSurcharge),2))*(1+FedEx_Markup),2)</f>
        <v>41.86</v>
      </c>
      <c r="C41" s="218">
        <f>ROUND(IF(MinBase3Day&gt;ROUND(((1-(ThreeDayDiscount_21_Up+FedExExrpessEarnedDiscount))*'3Day Base'!C38),2),ROUND(MinBase3Day*(1+ExpressFuelSurcharge),2),ROUND(((1-(ThreeDayDiscount_21_Up+FedExExrpessEarnedDiscount))*'3Day Base'!C38)*(1+ExpressFuelSurcharge),2))*(1+FedEx_Markup),2)</f>
        <v>50.77</v>
      </c>
      <c r="D41" s="218">
        <f>ROUND(IF(MinBase3Day&gt;ROUND(((1-(ThreeDayDiscount_21_Up+FedExExrpessEarnedDiscount))*'3Day Base'!D38),2),ROUND(MinBase3Day*(1+ExpressFuelSurcharge),2),ROUND(((1-(ThreeDayDiscount_21_Up+FedExExrpessEarnedDiscount))*'3Day Base'!D38)*(1+ExpressFuelSurcharge),2))*(1+FedEx_Markup),2)</f>
        <v>63.48</v>
      </c>
      <c r="E41" s="218">
        <f>ROUND(IF(MinBase3Day&gt;ROUND(((1-(ThreeDayDiscount_21_Up+FedExExrpessEarnedDiscount))*'3Day Base'!E38),2),ROUND(MinBase3Day*(1+ExpressFuelSurcharge),2),ROUND(((1-(ThreeDayDiscount_21_Up+FedExExrpessEarnedDiscount))*'3Day Base'!E38)*(1+ExpressFuelSurcharge),2))*(1+FedEx_Markup),2)</f>
        <v>80.81</v>
      </c>
      <c r="F41" s="218">
        <f>ROUND(IF(MinBase3Day&gt;ROUND(((1-(ThreeDayDiscount_21_Up+FedExExrpessEarnedDiscount))*'3Day Base'!F38),2),ROUND(MinBase3Day*(1+ExpressFuelSurcharge),2),ROUND(((1-(ThreeDayDiscount_21_Up+FedExExrpessEarnedDiscount))*'3Day Base'!F38)*(1+ExpressFuelSurcharge),2))*(1+FedEx_Markup),2)</f>
        <v>108.71</v>
      </c>
      <c r="G41" s="218">
        <f>ROUND(IF(MinBase3Day&gt;ROUND(((1-(ThreeDayDiscount_21_Up+FedExExrpessEarnedDiscount))*'3Day Base'!G38),2),ROUND(MinBase3Day*(1+ExpressFuelSurcharge),2),ROUND(((1-(ThreeDayDiscount_21_Up+FedExExrpessEarnedDiscount))*'3Day Base'!G38)*(1+ExpressFuelSurcharge),2))*(1+FedEx_Markup),2)</f>
        <v>125.28</v>
      </c>
      <c r="H41" s="218">
        <f>ROUND(IF(MinBase3Day&gt;ROUND(((1-(ThreeDayDiscount_21_Up+FedExExrpessEarnedDiscount))*'3Day Base'!H38),2),ROUND(MinBase3Day*(1+ExpressFuelSurcharge),2),ROUND(((1-(ThreeDayDiscount_21_Up+FedExExrpessEarnedDiscount))*'3Day Base'!H38)*(1+ExpressFuelSurcharge),2))*(1+FedEx_Markup),2)</f>
        <v>150.71</v>
      </c>
      <c r="L41" s="4"/>
    </row>
    <row r="42" spans="1:26" ht="12.75" customHeight="1">
      <c r="A42" s="217">
        <v>37</v>
      </c>
      <c r="B42" s="218">
        <f>ROUND(IF(MinBase3Day&gt;ROUND(((1-(ThreeDayDiscount_21_Up+FedExExrpessEarnedDiscount))*'3Day Base'!B39),2),ROUND(MinBase3Day*(1+ExpressFuelSurcharge),2),ROUND(((1-(ThreeDayDiscount_21_Up+FedExExrpessEarnedDiscount))*'3Day Base'!B39)*(1+ExpressFuelSurcharge),2))*(1+FedEx_Markup),2)</f>
        <v>42.09</v>
      </c>
      <c r="C42" s="218">
        <f>ROUND(IF(MinBase3Day&gt;ROUND(((1-(ThreeDayDiscount_21_Up+FedExExrpessEarnedDiscount))*'3Day Base'!C39),2),ROUND(MinBase3Day*(1+ExpressFuelSurcharge),2),ROUND(((1-(ThreeDayDiscount_21_Up+FedExExrpessEarnedDiscount))*'3Day Base'!C39)*(1+ExpressFuelSurcharge),2))*(1+FedEx_Markup),2)</f>
        <v>51.14</v>
      </c>
      <c r="D42" s="218">
        <f>ROUND(IF(MinBase3Day&gt;ROUND(((1-(ThreeDayDiscount_21_Up+FedExExrpessEarnedDiscount))*'3Day Base'!D39),2),ROUND(MinBase3Day*(1+ExpressFuelSurcharge),2),ROUND(((1-(ThreeDayDiscount_21_Up+FedExExrpessEarnedDiscount))*'3Day Base'!D39)*(1+ExpressFuelSurcharge),2))*(1+FedEx_Markup),2)</f>
        <v>63.71</v>
      </c>
      <c r="E42" s="218">
        <f>ROUND(IF(MinBase3Day&gt;ROUND(((1-(ThreeDayDiscount_21_Up+FedExExrpessEarnedDiscount))*'3Day Base'!E39),2),ROUND(MinBase3Day*(1+ExpressFuelSurcharge),2),ROUND(((1-(ThreeDayDiscount_21_Up+FedExExrpessEarnedDiscount))*'3Day Base'!E39)*(1+ExpressFuelSurcharge),2))*(1+FedEx_Markup),2)</f>
        <v>84.24</v>
      </c>
      <c r="F42" s="218">
        <f>ROUND(IF(MinBase3Day&gt;ROUND(((1-(ThreeDayDiscount_21_Up+FedExExrpessEarnedDiscount))*'3Day Base'!F39),2),ROUND(MinBase3Day*(1+ExpressFuelSurcharge),2),ROUND(((1-(ThreeDayDiscount_21_Up+FedExExrpessEarnedDiscount))*'3Day Base'!F39)*(1+ExpressFuelSurcharge),2))*(1+FedEx_Markup),2)</f>
        <v>116.87</v>
      </c>
      <c r="G42" s="218">
        <f>ROUND(IF(MinBase3Day&gt;ROUND(((1-(ThreeDayDiscount_21_Up+FedExExrpessEarnedDiscount))*'3Day Base'!G39),2),ROUND(MinBase3Day*(1+ExpressFuelSurcharge),2),ROUND(((1-(ThreeDayDiscount_21_Up+FedExExrpessEarnedDiscount))*'3Day Base'!G39)*(1+ExpressFuelSurcharge),2))*(1+FedEx_Markup),2)</f>
        <v>129.79</v>
      </c>
      <c r="H42" s="218">
        <f>ROUND(IF(MinBase3Day&gt;ROUND(((1-(ThreeDayDiscount_21_Up+FedExExrpessEarnedDiscount))*'3Day Base'!H39),2),ROUND(MinBase3Day*(1+ExpressFuelSurcharge),2),ROUND(((1-(ThreeDayDiscount_21_Up+FedExExrpessEarnedDiscount))*'3Day Base'!H39)*(1+ExpressFuelSurcharge),2))*(1+FedEx_Markup),2)</f>
        <v>152.81</v>
      </c>
    </row>
    <row r="43" spans="1:26" ht="12.75" customHeight="1">
      <c r="A43" s="217">
        <v>38</v>
      </c>
      <c r="B43" s="218">
        <f>ROUND(IF(MinBase3Day&gt;ROUND(((1-(ThreeDayDiscount_21_Up+FedExExrpessEarnedDiscount))*'3Day Base'!B40),2),ROUND(MinBase3Day*(1+ExpressFuelSurcharge),2),ROUND(((1-(ThreeDayDiscount_21_Up+FedExExrpessEarnedDiscount))*'3Day Base'!B40)*(1+ExpressFuelSurcharge),2))*(1+FedEx_Markup),2)</f>
        <v>42.41</v>
      </c>
      <c r="C43" s="218">
        <f>ROUND(IF(MinBase3Day&gt;ROUND(((1-(ThreeDayDiscount_21_Up+FedExExrpessEarnedDiscount))*'3Day Base'!C40),2),ROUND(MinBase3Day*(1+ExpressFuelSurcharge),2),ROUND(((1-(ThreeDayDiscount_21_Up+FedExExrpessEarnedDiscount))*'3Day Base'!C40)*(1+ExpressFuelSurcharge),2))*(1+FedEx_Markup),2)</f>
        <v>51.38</v>
      </c>
      <c r="D43" s="218">
        <f>ROUND(IF(MinBase3Day&gt;ROUND(((1-(ThreeDayDiscount_21_Up+FedExExrpessEarnedDiscount))*'3Day Base'!D40),2),ROUND(MinBase3Day*(1+ExpressFuelSurcharge),2),ROUND(((1-(ThreeDayDiscount_21_Up+FedExExrpessEarnedDiscount))*'3Day Base'!D40)*(1+ExpressFuelSurcharge),2))*(1+FedEx_Markup),2)</f>
        <v>65.55</v>
      </c>
      <c r="E43" s="218">
        <f>ROUND(IF(MinBase3Day&gt;ROUND(((1-(ThreeDayDiscount_21_Up+FedExExrpessEarnedDiscount))*'3Day Base'!E40),2),ROUND(MinBase3Day*(1+ExpressFuelSurcharge),2),ROUND(((1-(ThreeDayDiscount_21_Up+FedExExrpessEarnedDiscount))*'3Day Base'!E40)*(1+ExpressFuelSurcharge),2))*(1+FedEx_Markup),2)</f>
        <v>86.24</v>
      </c>
      <c r="F43" s="218">
        <f>ROUND(IF(MinBase3Day&gt;ROUND(((1-(ThreeDayDiscount_21_Up+FedExExrpessEarnedDiscount))*'3Day Base'!F40),2),ROUND(MinBase3Day*(1+ExpressFuelSurcharge),2),ROUND(((1-(ThreeDayDiscount_21_Up+FedExExrpessEarnedDiscount))*'3Day Base'!F40)*(1+ExpressFuelSurcharge),2))*(1+FedEx_Markup),2)</f>
        <v>119.35</v>
      </c>
      <c r="G43" s="218">
        <f>ROUND(IF(MinBase3Day&gt;ROUND(((1-(ThreeDayDiscount_21_Up+FedExExrpessEarnedDiscount))*'3Day Base'!G40),2),ROUND(MinBase3Day*(1+ExpressFuelSurcharge),2),ROUND(((1-(ThreeDayDiscount_21_Up+FedExExrpessEarnedDiscount))*'3Day Base'!G40)*(1+ExpressFuelSurcharge),2))*(1+FedEx_Markup),2)</f>
        <v>132.38999999999999</v>
      </c>
      <c r="H43" s="218">
        <f>ROUND(IF(MinBase3Day&gt;ROUND(((1-(ThreeDayDiscount_21_Up+FedExExrpessEarnedDiscount))*'3Day Base'!H40),2),ROUND(MinBase3Day*(1+ExpressFuelSurcharge),2),ROUND(((1-(ThreeDayDiscount_21_Up+FedExExrpessEarnedDiscount))*'3Day Base'!H40)*(1+ExpressFuelSurcharge),2))*(1+FedEx_Markup),2)</f>
        <v>153.11000000000001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17">
        <v>39</v>
      </c>
      <c r="B44" s="218">
        <f>ROUND(IF(MinBase3Day&gt;ROUND(((1-(ThreeDayDiscount_21_Up+FedExExrpessEarnedDiscount))*'3Day Base'!B41),2),ROUND(MinBase3Day*(1+ExpressFuelSurcharge),2),ROUND(((1-(ThreeDayDiscount_21_Up+FedExExrpessEarnedDiscount))*'3Day Base'!B41)*(1+ExpressFuelSurcharge),2))*(1+FedEx_Markup),2)</f>
        <v>42.55</v>
      </c>
      <c r="C44" s="218">
        <f>ROUND(IF(MinBase3Day&gt;ROUND(((1-(ThreeDayDiscount_21_Up+FedExExrpessEarnedDiscount))*'3Day Base'!C41),2),ROUND(MinBase3Day*(1+ExpressFuelSurcharge),2),ROUND(((1-(ThreeDayDiscount_21_Up+FedExExrpessEarnedDiscount))*'3Day Base'!C41)*(1+ExpressFuelSurcharge),2))*(1+FedEx_Markup),2)</f>
        <v>51.6</v>
      </c>
      <c r="D44" s="218">
        <f>ROUND(IF(MinBase3Day&gt;ROUND(((1-(ThreeDayDiscount_21_Up+FedExExrpessEarnedDiscount))*'3Day Base'!D41),2),ROUND(MinBase3Day*(1+ExpressFuelSurcharge),2),ROUND(((1-(ThreeDayDiscount_21_Up+FedExExrpessEarnedDiscount))*'3Day Base'!D41)*(1+ExpressFuelSurcharge),2))*(1+FedEx_Markup),2)</f>
        <v>66.760000000000005</v>
      </c>
      <c r="E44" s="218">
        <f>ROUND(IF(MinBase3Day&gt;ROUND(((1-(ThreeDayDiscount_21_Up+FedExExrpessEarnedDiscount))*'3Day Base'!E41),2),ROUND(MinBase3Day*(1+ExpressFuelSurcharge),2),ROUND(((1-(ThreeDayDiscount_21_Up+FedExExrpessEarnedDiscount))*'3Day Base'!E41)*(1+ExpressFuelSurcharge),2))*(1+FedEx_Markup),2)</f>
        <v>88.12</v>
      </c>
      <c r="F44" s="218">
        <f>ROUND(IF(MinBase3Day&gt;ROUND(((1-(ThreeDayDiscount_21_Up+FedExExrpessEarnedDiscount))*'3Day Base'!F41),2),ROUND(MinBase3Day*(1+ExpressFuelSurcharge),2),ROUND(((1-(ThreeDayDiscount_21_Up+FedExExrpessEarnedDiscount))*'3Day Base'!F41)*(1+ExpressFuelSurcharge),2))*(1+FedEx_Markup),2)</f>
        <v>122.16</v>
      </c>
      <c r="G44" s="218">
        <f>ROUND(IF(MinBase3Day&gt;ROUND(((1-(ThreeDayDiscount_21_Up+FedExExrpessEarnedDiscount))*'3Day Base'!G41),2),ROUND(MinBase3Day*(1+ExpressFuelSurcharge),2),ROUND(((1-(ThreeDayDiscount_21_Up+FedExExrpessEarnedDiscount))*'3Day Base'!G41)*(1+ExpressFuelSurcharge),2))*(1+FedEx_Markup),2)</f>
        <v>139.32</v>
      </c>
      <c r="H44" s="218">
        <f>ROUND(IF(MinBase3Day&gt;ROUND(((1-(ThreeDayDiscount_21_Up+FedExExrpessEarnedDiscount))*'3Day Base'!H41),2),ROUND(MinBase3Day*(1+ExpressFuelSurcharge),2),ROUND(((1-(ThreeDayDiscount_21_Up+FedExExrpessEarnedDiscount))*'3Day Base'!H41)*(1+ExpressFuelSurcharge),2))*(1+FedEx_Markup),2)</f>
        <v>158.88</v>
      </c>
    </row>
    <row r="45" spans="1:26" ht="12.75" customHeight="1">
      <c r="A45" s="217">
        <v>40</v>
      </c>
      <c r="B45" s="218">
        <f>ROUND(IF(MinBase3Day&gt;ROUND(((1-(ThreeDayDiscount_21_Up+FedExExrpessEarnedDiscount))*'3Day Base'!B42),2),ROUND(MinBase3Day*(1+ExpressFuelSurcharge),2),ROUND(((1-(ThreeDayDiscount_21_Up+FedExExrpessEarnedDiscount))*'3Day Base'!B42)*(1+ExpressFuelSurcharge),2))*(1+FedEx_Markup),2)</f>
        <v>42.8</v>
      </c>
      <c r="C45" s="218">
        <f>ROUND(IF(MinBase3Day&gt;ROUND(((1-(ThreeDayDiscount_21_Up+FedExExrpessEarnedDiscount))*'3Day Base'!C42),2),ROUND(MinBase3Day*(1+ExpressFuelSurcharge),2),ROUND(((1-(ThreeDayDiscount_21_Up+FedExExrpessEarnedDiscount))*'3Day Base'!C42)*(1+ExpressFuelSurcharge),2))*(1+FedEx_Markup),2)</f>
        <v>51.84</v>
      </c>
      <c r="D45" s="218">
        <f>ROUND(IF(MinBase3Day&gt;ROUND(((1-(ThreeDayDiscount_21_Up+FedExExrpessEarnedDiscount))*'3Day Base'!D42),2),ROUND(MinBase3Day*(1+ExpressFuelSurcharge),2),ROUND(((1-(ThreeDayDiscount_21_Up+FedExExrpessEarnedDiscount))*'3Day Base'!D42)*(1+ExpressFuelSurcharge),2))*(1+FedEx_Markup),2)</f>
        <v>66.88</v>
      </c>
      <c r="E45" s="218">
        <f>ROUND(IF(MinBase3Day&gt;ROUND(((1-(ThreeDayDiscount_21_Up+FedExExrpessEarnedDiscount))*'3Day Base'!E42),2),ROUND(MinBase3Day*(1+ExpressFuelSurcharge),2),ROUND(((1-(ThreeDayDiscount_21_Up+FedExExrpessEarnedDiscount))*'3Day Base'!E42)*(1+ExpressFuelSurcharge),2))*(1+FedEx_Markup),2)</f>
        <v>88.93</v>
      </c>
      <c r="F45" s="218">
        <f>ROUND(IF(MinBase3Day&gt;ROUND(((1-(ThreeDayDiscount_21_Up+FedExExrpessEarnedDiscount))*'3Day Base'!F42),2),ROUND(MinBase3Day*(1+ExpressFuelSurcharge),2),ROUND(((1-(ThreeDayDiscount_21_Up+FedExExrpessEarnedDiscount))*'3Day Base'!F42)*(1+ExpressFuelSurcharge),2))*(1+FedEx_Markup),2)</f>
        <v>122.45</v>
      </c>
      <c r="G45" s="218">
        <f>ROUND(IF(MinBase3Day&gt;ROUND(((1-(ThreeDayDiscount_21_Up+FedExExrpessEarnedDiscount))*'3Day Base'!G42),2),ROUND(MinBase3Day*(1+ExpressFuelSurcharge),2),ROUND(((1-(ThreeDayDiscount_21_Up+FedExExrpessEarnedDiscount))*'3Day Base'!G42)*(1+ExpressFuelSurcharge),2))*(1+FedEx_Markup),2)</f>
        <v>140.02000000000001</v>
      </c>
      <c r="H45" s="218">
        <f>ROUND(IF(MinBase3Day&gt;ROUND(((1-(ThreeDayDiscount_21_Up+FedExExrpessEarnedDiscount))*'3Day Base'!H42),2),ROUND(MinBase3Day*(1+ExpressFuelSurcharge),2),ROUND(((1-(ThreeDayDiscount_21_Up+FedExExrpessEarnedDiscount))*'3Day Base'!H42)*(1+ExpressFuelSurcharge),2))*(1+FedEx_Markup),2)</f>
        <v>163.05000000000001</v>
      </c>
    </row>
    <row r="46" spans="1:26" ht="12.75" customHeight="1">
      <c r="A46" s="217">
        <v>41</v>
      </c>
      <c r="B46" s="218">
        <f>ROUND(IF(MinBase3Day&gt;ROUND(((1-(ThreeDayDiscount_21_Up+FedExExrpessEarnedDiscount))*'3Day Base'!B43),2),ROUND(MinBase3Day*(1+ExpressFuelSurcharge),2),ROUND(((1-(ThreeDayDiscount_21_Up+FedExExrpessEarnedDiscount))*'3Day Base'!B43)*(1+ExpressFuelSurcharge),2))*(1+FedEx_Markup),2)</f>
        <v>47.74</v>
      </c>
      <c r="C46" s="218">
        <f>ROUND(IF(MinBase3Day&gt;ROUND(((1-(ThreeDayDiscount_21_Up+FedExExrpessEarnedDiscount))*'3Day Base'!C43),2),ROUND(MinBase3Day*(1+ExpressFuelSurcharge),2),ROUND(((1-(ThreeDayDiscount_21_Up+FedExExrpessEarnedDiscount))*'3Day Base'!C43)*(1+ExpressFuelSurcharge),2))*(1+FedEx_Markup),2)</f>
        <v>54.87</v>
      </c>
      <c r="D46" s="218">
        <f>ROUND(IF(MinBase3Day&gt;ROUND(((1-(ThreeDayDiscount_21_Up+FedExExrpessEarnedDiscount))*'3Day Base'!D43),2),ROUND(MinBase3Day*(1+ExpressFuelSurcharge),2),ROUND(((1-(ThreeDayDiscount_21_Up+FedExExrpessEarnedDiscount))*'3Day Base'!D43)*(1+ExpressFuelSurcharge),2))*(1+FedEx_Markup),2)</f>
        <v>68.7</v>
      </c>
      <c r="E46" s="218">
        <f>ROUND(IF(MinBase3Day&gt;ROUND(((1-(ThreeDayDiscount_21_Up+FedExExrpessEarnedDiscount))*'3Day Base'!E43),2),ROUND(MinBase3Day*(1+ExpressFuelSurcharge),2),ROUND(((1-(ThreeDayDiscount_21_Up+FedExExrpessEarnedDiscount))*'3Day Base'!E43)*(1+ExpressFuelSurcharge),2))*(1+FedEx_Markup),2)</f>
        <v>89.54</v>
      </c>
      <c r="F46" s="218">
        <f>ROUND(IF(MinBase3Day&gt;ROUND(((1-(ThreeDayDiscount_21_Up+FedExExrpessEarnedDiscount))*'3Day Base'!F43),2),ROUND(MinBase3Day*(1+ExpressFuelSurcharge),2),ROUND(((1-(ThreeDayDiscount_21_Up+FedExExrpessEarnedDiscount))*'3Day Base'!F43)*(1+ExpressFuelSurcharge),2))*(1+FedEx_Markup),2)</f>
        <v>125.12</v>
      </c>
      <c r="G46" s="218">
        <f>ROUND(IF(MinBase3Day&gt;ROUND(((1-(ThreeDayDiscount_21_Up+FedExExrpessEarnedDiscount))*'3Day Base'!G43),2),ROUND(MinBase3Day*(1+ExpressFuelSurcharge),2),ROUND(((1-(ThreeDayDiscount_21_Up+FedExExrpessEarnedDiscount))*'3Day Base'!G43)*(1+ExpressFuelSurcharge),2))*(1+FedEx_Markup),2)</f>
        <v>140.13</v>
      </c>
      <c r="H46" s="218">
        <f>ROUND(IF(MinBase3Day&gt;ROUND(((1-(ThreeDayDiscount_21_Up+FedExExrpessEarnedDiscount))*'3Day Base'!H43),2),ROUND(MinBase3Day*(1+ExpressFuelSurcharge),2),ROUND(((1-(ThreeDayDiscount_21_Up+FedExExrpessEarnedDiscount))*'3Day Base'!H43)*(1+ExpressFuelSurcharge),2))*(1+FedEx_Markup),2)</f>
        <v>166.52</v>
      </c>
    </row>
    <row r="47" spans="1:26" ht="12.75" customHeight="1">
      <c r="A47" s="217">
        <v>42</v>
      </c>
      <c r="B47" s="218">
        <f>ROUND(IF(MinBase3Day&gt;ROUND(((1-(ThreeDayDiscount_21_Up+FedExExrpessEarnedDiscount))*'3Day Base'!B44),2),ROUND(MinBase3Day*(1+ExpressFuelSurcharge),2),ROUND(((1-(ThreeDayDiscount_21_Up+FedExExrpessEarnedDiscount))*'3Day Base'!B44)*(1+ExpressFuelSurcharge),2))*(1+FedEx_Markup),2)</f>
        <v>48.61</v>
      </c>
      <c r="C47" s="218">
        <f>ROUND(IF(MinBase3Day&gt;ROUND(((1-(ThreeDayDiscount_21_Up+FedExExrpessEarnedDiscount))*'3Day Base'!C44),2),ROUND(MinBase3Day*(1+ExpressFuelSurcharge),2),ROUND(((1-(ThreeDayDiscount_21_Up+FedExExrpessEarnedDiscount))*'3Day Base'!C44)*(1+ExpressFuelSurcharge),2))*(1+FedEx_Markup),2)</f>
        <v>56.2</v>
      </c>
      <c r="D47" s="218">
        <f>ROUND(IF(MinBase3Day&gt;ROUND(((1-(ThreeDayDiscount_21_Up+FedExExrpessEarnedDiscount))*'3Day Base'!D44),2),ROUND(MinBase3Day*(1+ExpressFuelSurcharge),2),ROUND(((1-(ThreeDayDiscount_21_Up+FedExExrpessEarnedDiscount))*'3Day Base'!D44)*(1+ExpressFuelSurcharge),2))*(1+FedEx_Markup),2)</f>
        <v>68.89</v>
      </c>
      <c r="E47" s="218">
        <f>ROUND(IF(MinBase3Day&gt;ROUND(((1-(ThreeDayDiscount_21_Up+FedExExrpessEarnedDiscount))*'3Day Base'!E44),2),ROUND(MinBase3Day*(1+ExpressFuelSurcharge),2),ROUND(((1-(ThreeDayDiscount_21_Up+FedExExrpessEarnedDiscount))*'3Day Base'!E44)*(1+ExpressFuelSurcharge),2))*(1+FedEx_Markup),2)</f>
        <v>91.84</v>
      </c>
      <c r="F47" s="218">
        <f>ROUND(IF(MinBase3Day&gt;ROUND(((1-(ThreeDayDiscount_21_Up+FedExExrpessEarnedDiscount))*'3Day Base'!F44),2),ROUND(MinBase3Day*(1+ExpressFuelSurcharge),2),ROUND(((1-(ThreeDayDiscount_21_Up+FedExExrpessEarnedDiscount))*'3Day Base'!F44)*(1+ExpressFuelSurcharge),2))*(1+FedEx_Markup),2)</f>
        <v>127.8</v>
      </c>
      <c r="G47" s="218">
        <f>ROUND(IF(MinBase3Day&gt;ROUND(((1-(ThreeDayDiscount_21_Up+FedExExrpessEarnedDiscount))*'3Day Base'!G44),2),ROUND(MinBase3Day*(1+ExpressFuelSurcharge),2),ROUND(((1-(ThreeDayDiscount_21_Up+FedExExrpessEarnedDiscount))*'3Day Base'!G44)*(1+ExpressFuelSurcharge),2))*(1+FedEx_Markup),2)</f>
        <v>140.94</v>
      </c>
      <c r="H47" s="218">
        <f>ROUND(IF(MinBase3Day&gt;ROUND(((1-(ThreeDayDiscount_21_Up+FedExExrpessEarnedDiscount))*'3Day Base'!H44),2),ROUND(MinBase3Day*(1+ExpressFuelSurcharge),2),ROUND(((1-(ThreeDayDiscount_21_Up+FedExExrpessEarnedDiscount))*'3Day Base'!H44)*(1+ExpressFuelSurcharge),2))*(1+FedEx_Markup),2)</f>
        <v>171.78</v>
      </c>
    </row>
    <row r="48" spans="1:26" ht="12.75" customHeight="1">
      <c r="A48" s="217">
        <v>43</v>
      </c>
      <c r="B48" s="218">
        <f>ROUND(IF(MinBase3Day&gt;ROUND(((1-(ThreeDayDiscount_21_Up+FedExExrpessEarnedDiscount))*'3Day Base'!B45),2),ROUND(MinBase3Day*(1+ExpressFuelSurcharge),2),ROUND(((1-(ThreeDayDiscount_21_Up+FedExExrpessEarnedDiscount))*'3Day Base'!B45)*(1+ExpressFuelSurcharge),2))*(1+FedEx_Markup),2)</f>
        <v>49.55</v>
      </c>
      <c r="C48" s="218">
        <f>ROUND(IF(MinBase3Day&gt;ROUND(((1-(ThreeDayDiscount_21_Up+FedExExrpessEarnedDiscount))*'3Day Base'!C45),2),ROUND(MinBase3Day*(1+ExpressFuelSurcharge),2),ROUND(((1-(ThreeDayDiscount_21_Up+FedExExrpessEarnedDiscount))*'3Day Base'!C45)*(1+ExpressFuelSurcharge),2))*(1+FedEx_Markup),2)</f>
        <v>57.82</v>
      </c>
      <c r="D48" s="218">
        <f>ROUND(IF(MinBase3Day&gt;ROUND(((1-(ThreeDayDiscount_21_Up+FedExExrpessEarnedDiscount))*'3Day Base'!D45),2),ROUND(MinBase3Day*(1+ExpressFuelSurcharge),2),ROUND(((1-(ThreeDayDiscount_21_Up+FedExExrpessEarnedDiscount))*'3Day Base'!D45)*(1+ExpressFuelSurcharge),2))*(1+FedEx_Markup),2)</f>
        <v>72.19</v>
      </c>
      <c r="E48" s="218">
        <f>ROUND(IF(MinBase3Day&gt;ROUND(((1-(ThreeDayDiscount_21_Up+FedExExrpessEarnedDiscount))*'3Day Base'!E45),2),ROUND(MinBase3Day*(1+ExpressFuelSurcharge),2),ROUND(((1-(ThreeDayDiscount_21_Up+FedExExrpessEarnedDiscount))*'3Day Base'!E45)*(1+ExpressFuelSurcharge),2))*(1+FedEx_Markup),2)</f>
        <v>93.53</v>
      </c>
      <c r="F48" s="218">
        <f>ROUND(IF(MinBase3Day&gt;ROUND(((1-(ThreeDayDiscount_21_Up+FedExExrpessEarnedDiscount))*'3Day Base'!F45),2),ROUND(MinBase3Day*(1+ExpressFuelSurcharge),2),ROUND(((1-(ThreeDayDiscount_21_Up+FedExExrpessEarnedDiscount))*'3Day Base'!F45)*(1+ExpressFuelSurcharge),2))*(1+FedEx_Markup),2)</f>
        <v>130.38</v>
      </c>
      <c r="G48" s="218">
        <f>ROUND(IF(MinBase3Day&gt;ROUND(((1-(ThreeDayDiscount_21_Up+FedExExrpessEarnedDiscount))*'3Day Base'!G45),2),ROUND(MinBase3Day*(1+ExpressFuelSurcharge),2),ROUND(((1-(ThreeDayDiscount_21_Up+FedExExrpessEarnedDiscount))*'3Day Base'!G45)*(1+ExpressFuelSurcharge),2))*(1+FedEx_Markup),2)</f>
        <v>146.33000000000001</v>
      </c>
      <c r="H48" s="218">
        <f>ROUND(IF(MinBase3Day&gt;ROUND(((1-(ThreeDayDiscount_21_Up+FedExExrpessEarnedDiscount))*'3Day Base'!H45),2),ROUND(MinBase3Day*(1+ExpressFuelSurcharge),2),ROUND(((1-(ThreeDayDiscount_21_Up+FedExExrpessEarnedDiscount))*'3Day Base'!H45)*(1+ExpressFuelSurcharge),2))*(1+FedEx_Markup),2)</f>
        <v>174.08</v>
      </c>
    </row>
    <row r="49" spans="1:8" ht="12.75" customHeight="1">
      <c r="A49" s="217">
        <v>44</v>
      </c>
      <c r="B49" s="218">
        <f>ROUND(IF(MinBase3Day&gt;ROUND(((1-(ThreeDayDiscount_21_Up+FedExExrpessEarnedDiscount))*'3Day Base'!B46),2),ROUND(MinBase3Day*(1+ExpressFuelSurcharge),2),ROUND(((1-(ThreeDayDiscount_21_Up+FedExExrpessEarnedDiscount))*'3Day Base'!B46)*(1+ExpressFuelSurcharge),2))*(1+FedEx_Markup),2)</f>
        <v>49.92</v>
      </c>
      <c r="C49" s="218">
        <f>ROUND(IF(MinBase3Day&gt;ROUND(((1-(ThreeDayDiscount_21_Up+FedExExrpessEarnedDiscount))*'3Day Base'!C46),2),ROUND(MinBase3Day*(1+ExpressFuelSurcharge),2),ROUND(((1-(ThreeDayDiscount_21_Up+FedExExrpessEarnedDiscount))*'3Day Base'!C46)*(1+ExpressFuelSurcharge),2))*(1+FedEx_Markup),2)</f>
        <v>57.99</v>
      </c>
      <c r="D49" s="218">
        <f>ROUND(IF(MinBase3Day&gt;ROUND(((1-(ThreeDayDiscount_21_Up+FedExExrpessEarnedDiscount))*'3Day Base'!D46),2),ROUND(MinBase3Day*(1+ExpressFuelSurcharge),2),ROUND(((1-(ThreeDayDiscount_21_Up+FedExExrpessEarnedDiscount))*'3Day Base'!D46)*(1+ExpressFuelSurcharge),2))*(1+FedEx_Markup),2)</f>
        <v>72.52</v>
      </c>
      <c r="E49" s="218">
        <f>ROUND(IF(MinBase3Day&gt;ROUND(((1-(ThreeDayDiscount_21_Up+FedExExrpessEarnedDiscount))*'3Day Base'!E46),2),ROUND(MinBase3Day*(1+ExpressFuelSurcharge),2),ROUND(((1-(ThreeDayDiscount_21_Up+FedExExrpessEarnedDiscount))*'3Day Base'!E46)*(1+ExpressFuelSurcharge),2))*(1+FedEx_Markup),2)</f>
        <v>95.46</v>
      </c>
      <c r="F49" s="218">
        <f>ROUND(IF(MinBase3Day&gt;ROUND(((1-(ThreeDayDiscount_21_Up+FedExExrpessEarnedDiscount))*'3Day Base'!F46),2),ROUND(MinBase3Day*(1+ExpressFuelSurcharge),2),ROUND(((1-(ThreeDayDiscount_21_Up+FedExExrpessEarnedDiscount))*'3Day Base'!F46)*(1+ExpressFuelSurcharge),2))*(1+FedEx_Markup),2)</f>
        <v>132.72999999999999</v>
      </c>
      <c r="G49" s="218">
        <f>ROUND(IF(MinBase3Day&gt;ROUND(((1-(ThreeDayDiscount_21_Up+FedExExrpessEarnedDiscount))*'3Day Base'!G46),2),ROUND(MinBase3Day*(1+ExpressFuelSurcharge),2),ROUND(((1-(ThreeDayDiscount_21_Up+FedExExrpessEarnedDiscount))*'3Day Base'!G46)*(1+ExpressFuelSurcharge),2))*(1+FedEx_Markup),2)</f>
        <v>147.16999999999999</v>
      </c>
      <c r="H49" s="218">
        <f>ROUND(IF(MinBase3Day&gt;ROUND(((1-(ThreeDayDiscount_21_Up+FedExExrpessEarnedDiscount))*'3Day Base'!H46),2),ROUND(MinBase3Day*(1+ExpressFuelSurcharge),2),ROUND(((1-(ThreeDayDiscount_21_Up+FedExExrpessEarnedDiscount))*'3Day Base'!H46)*(1+ExpressFuelSurcharge),2))*(1+FedEx_Markup),2)</f>
        <v>174.49</v>
      </c>
    </row>
    <row r="50" spans="1:8" ht="12.75" customHeight="1">
      <c r="A50" s="217">
        <v>45</v>
      </c>
      <c r="B50" s="218">
        <f>ROUND(IF(MinBase3Day&gt;ROUND(((1-(ThreeDayDiscount_21_Up+FedExExrpessEarnedDiscount))*'3Day Base'!B47),2),ROUND(MinBase3Day*(1+ExpressFuelSurcharge),2),ROUND(((1-(ThreeDayDiscount_21_Up+FedExExrpessEarnedDiscount))*'3Day Base'!B47)*(1+ExpressFuelSurcharge),2))*(1+FedEx_Markup),2)</f>
        <v>50.07</v>
      </c>
      <c r="C50" s="218">
        <f>ROUND(IF(MinBase3Day&gt;ROUND(((1-(ThreeDayDiscount_21_Up+FedExExrpessEarnedDiscount))*'3Day Base'!C47),2),ROUND(MinBase3Day*(1+ExpressFuelSurcharge),2),ROUND(((1-(ThreeDayDiscount_21_Up+FedExExrpessEarnedDiscount))*'3Day Base'!C47)*(1+ExpressFuelSurcharge),2))*(1+FedEx_Markup),2)</f>
        <v>59.73</v>
      </c>
      <c r="D50" s="218">
        <f>ROUND(IF(MinBase3Day&gt;ROUND(((1-(ThreeDayDiscount_21_Up+FedExExrpessEarnedDiscount))*'3Day Base'!D47),2),ROUND(MinBase3Day*(1+ExpressFuelSurcharge),2),ROUND(((1-(ThreeDayDiscount_21_Up+FedExExrpessEarnedDiscount))*'3Day Base'!D47)*(1+ExpressFuelSurcharge),2))*(1+FedEx_Markup),2)</f>
        <v>74.03</v>
      </c>
      <c r="E50" s="218">
        <f>ROUND(IF(MinBase3Day&gt;ROUND(((1-(ThreeDayDiscount_21_Up+FedExExrpessEarnedDiscount))*'3Day Base'!E47),2),ROUND(MinBase3Day*(1+ExpressFuelSurcharge),2),ROUND(((1-(ThreeDayDiscount_21_Up+FedExExrpessEarnedDiscount))*'3Day Base'!E47)*(1+ExpressFuelSurcharge),2))*(1+FedEx_Markup),2)</f>
        <v>100.35</v>
      </c>
      <c r="F50" s="218">
        <f>ROUND(IF(MinBase3Day&gt;ROUND(((1-(ThreeDayDiscount_21_Up+FedExExrpessEarnedDiscount))*'3Day Base'!F47),2),ROUND(MinBase3Day*(1+ExpressFuelSurcharge),2),ROUND(((1-(ThreeDayDiscount_21_Up+FedExExrpessEarnedDiscount))*'3Day Base'!F47)*(1+ExpressFuelSurcharge),2))*(1+FedEx_Markup),2)</f>
        <v>132.97</v>
      </c>
      <c r="G50" s="218">
        <f>ROUND(IF(MinBase3Day&gt;ROUND(((1-(ThreeDayDiscount_21_Up+FedExExrpessEarnedDiscount))*'3Day Base'!G47),2),ROUND(MinBase3Day*(1+ExpressFuelSurcharge),2),ROUND(((1-(ThreeDayDiscount_21_Up+FedExExrpessEarnedDiscount))*'3Day Base'!G47)*(1+ExpressFuelSurcharge),2))*(1+FedEx_Markup),2)</f>
        <v>150.22</v>
      </c>
      <c r="H50" s="218">
        <f>ROUND(IF(MinBase3Day&gt;ROUND(((1-(ThreeDayDiscount_21_Up+FedExExrpessEarnedDiscount))*'3Day Base'!H47),2),ROUND(MinBase3Day*(1+ExpressFuelSurcharge),2),ROUND(((1-(ThreeDayDiscount_21_Up+FedExExrpessEarnedDiscount))*'3Day Base'!H47)*(1+ExpressFuelSurcharge),2))*(1+FedEx_Markup),2)</f>
        <v>175.02</v>
      </c>
    </row>
    <row r="51" spans="1:8" ht="12.75" customHeight="1">
      <c r="A51" s="217">
        <v>46</v>
      </c>
      <c r="B51" s="218">
        <f>ROUND(IF(MinBase3Day&gt;ROUND(((1-(ThreeDayDiscount_21_Up+FedExExrpessEarnedDiscount))*'3Day Base'!B48),2),ROUND(MinBase3Day*(1+ExpressFuelSurcharge),2),ROUND(((1-(ThreeDayDiscount_21_Up+FedExExrpessEarnedDiscount))*'3Day Base'!B48)*(1+ExpressFuelSurcharge),2))*(1+FedEx_Markup),2)</f>
        <v>50.21</v>
      </c>
      <c r="C51" s="218">
        <f>ROUND(IF(MinBase3Day&gt;ROUND(((1-(ThreeDayDiscount_21_Up+FedExExrpessEarnedDiscount))*'3Day Base'!C48),2),ROUND(MinBase3Day*(1+ExpressFuelSurcharge),2),ROUND(((1-(ThreeDayDiscount_21_Up+FedExExrpessEarnedDiscount))*'3Day Base'!C48)*(1+ExpressFuelSurcharge),2))*(1+FedEx_Markup),2)</f>
        <v>59.9</v>
      </c>
      <c r="D51" s="218">
        <f>ROUND(IF(MinBase3Day&gt;ROUND(((1-(ThreeDayDiscount_21_Up+FedExExrpessEarnedDiscount))*'3Day Base'!D48),2),ROUND(MinBase3Day*(1+ExpressFuelSurcharge),2),ROUND(((1-(ThreeDayDiscount_21_Up+FedExExrpessEarnedDiscount))*'3Day Base'!D48)*(1+ExpressFuelSurcharge),2))*(1+FedEx_Markup),2)</f>
        <v>78.44</v>
      </c>
      <c r="E51" s="218">
        <f>ROUND(IF(MinBase3Day&gt;ROUND(((1-(ThreeDayDiscount_21_Up+FedExExrpessEarnedDiscount))*'3Day Base'!E48),2),ROUND(MinBase3Day*(1+ExpressFuelSurcharge),2),ROUND(((1-(ThreeDayDiscount_21_Up+FedExExrpessEarnedDiscount))*'3Day Base'!E48)*(1+ExpressFuelSurcharge),2))*(1+FedEx_Markup),2)</f>
        <v>101.04</v>
      </c>
      <c r="F51" s="218">
        <f>ROUND(IF(MinBase3Day&gt;ROUND(((1-(ThreeDayDiscount_21_Up+FedExExrpessEarnedDiscount))*'3Day Base'!F48),2),ROUND(MinBase3Day*(1+ExpressFuelSurcharge),2),ROUND(((1-(ThreeDayDiscount_21_Up+FedExExrpessEarnedDiscount))*'3Day Base'!F48)*(1+ExpressFuelSurcharge),2))*(1+FedEx_Markup),2)</f>
        <v>136.54</v>
      </c>
      <c r="G51" s="218">
        <f>ROUND(IF(MinBase3Day&gt;ROUND(((1-(ThreeDayDiscount_21_Up+FedExExrpessEarnedDiscount))*'3Day Base'!G48),2),ROUND(MinBase3Day*(1+ExpressFuelSurcharge),2),ROUND(((1-(ThreeDayDiscount_21_Up+FedExExrpessEarnedDiscount))*'3Day Base'!G48)*(1+ExpressFuelSurcharge),2))*(1+FedEx_Markup),2)</f>
        <v>155.77000000000001</v>
      </c>
      <c r="H51" s="218">
        <f>ROUND(IF(MinBase3Day&gt;ROUND(((1-(ThreeDayDiscount_21_Up+FedExExrpessEarnedDiscount))*'3Day Base'!H48),2),ROUND(MinBase3Day*(1+ExpressFuelSurcharge),2),ROUND(((1-(ThreeDayDiscount_21_Up+FedExExrpessEarnedDiscount))*'3Day Base'!H48)*(1+ExpressFuelSurcharge),2))*(1+FedEx_Markup),2)</f>
        <v>185.75</v>
      </c>
    </row>
    <row r="52" spans="1:8" ht="12.75" customHeight="1">
      <c r="A52" s="217">
        <v>47</v>
      </c>
      <c r="B52" s="218">
        <f>ROUND(IF(MinBase3Day&gt;ROUND(((1-(ThreeDayDiscount_21_Up+FedExExrpessEarnedDiscount))*'3Day Base'!B49),2),ROUND(MinBase3Day*(1+ExpressFuelSurcharge),2),ROUND(((1-(ThreeDayDiscount_21_Up+FedExExrpessEarnedDiscount))*'3Day Base'!B49)*(1+ExpressFuelSurcharge),2))*(1+FedEx_Markup),2)</f>
        <v>50.35</v>
      </c>
      <c r="C52" s="218">
        <f>ROUND(IF(MinBase3Day&gt;ROUND(((1-(ThreeDayDiscount_21_Up+FedExExrpessEarnedDiscount))*'3Day Base'!C49),2),ROUND(MinBase3Day*(1+ExpressFuelSurcharge),2),ROUND(((1-(ThreeDayDiscount_21_Up+FedExExrpessEarnedDiscount))*'3Day Base'!C49)*(1+ExpressFuelSurcharge),2))*(1+FedEx_Markup),2)</f>
        <v>60.08</v>
      </c>
      <c r="D52" s="218">
        <f>ROUND(IF(MinBase3Day&gt;ROUND(((1-(ThreeDayDiscount_21_Up+FedExExrpessEarnedDiscount))*'3Day Base'!D49),2),ROUND(MinBase3Day*(1+ExpressFuelSurcharge),2),ROUND(((1-(ThreeDayDiscount_21_Up+FedExExrpessEarnedDiscount))*'3Day Base'!D49)*(1+ExpressFuelSurcharge),2))*(1+FedEx_Markup),2)</f>
        <v>78.89</v>
      </c>
      <c r="E52" s="218">
        <f>ROUND(IF(MinBase3Day&gt;ROUND(((1-(ThreeDayDiscount_21_Up+FedExExrpessEarnedDiscount))*'3Day Base'!E49),2),ROUND(MinBase3Day*(1+ExpressFuelSurcharge),2),ROUND(((1-(ThreeDayDiscount_21_Up+FedExExrpessEarnedDiscount))*'3Day Base'!E49)*(1+ExpressFuelSurcharge),2))*(1+FedEx_Markup),2)</f>
        <v>104.31</v>
      </c>
      <c r="F52" s="218">
        <f>ROUND(IF(MinBase3Day&gt;ROUND(((1-(ThreeDayDiscount_21_Up+FedExExrpessEarnedDiscount))*'3Day Base'!F49),2),ROUND(MinBase3Day*(1+ExpressFuelSurcharge),2),ROUND(((1-(ThreeDayDiscount_21_Up+FedExExrpessEarnedDiscount))*'3Day Base'!F49)*(1+ExpressFuelSurcharge),2))*(1+FedEx_Markup),2)</f>
        <v>136.99</v>
      </c>
      <c r="G52" s="218">
        <f>ROUND(IF(MinBase3Day&gt;ROUND(((1-(ThreeDayDiscount_21_Up+FedExExrpessEarnedDiscount))*'3Day Base'!G49),2),ROUND(MinBase3Day*(1+ExpressFuelSurcharge),2),ROUND(((1-(ThreeDayDiscount_21_Up+FedExExrpessEarnedDiscount))*'3Day Base'!G49)*(1+ExpressFuelSurcharge),2))*(1+FedEx_Markup),2)</f>
        <v>158.76</v>
      </c>
      <c r="H52" s="218">
        <f>ROUND(IF(MinBase3Day&gt;ROUND(((1-(ThreeDayDiscount_21_Up+FedExExrpessEarnedDiscount))*'3Day Base'!H49),2),ROUND(MinBase3Day*(1+ExpressFuelSurcharge),2),ROUND(((1-(ThreeDayDiscount_21_Up+FedExExrpessEarnedDiscount))*'3Day Base'!H49)*(1+ExpressFuelSurcharge),2))*(1+FedEx_Markup),2)</f>
        <v>188.65</v>
      </c>
    </row>
    <row r="53" spans="1:8" ht="12.75" customHeight="1">
      <c r="A53" s="217">
        <v>48</v>
      </c>
      <c r="B53" s="218">
        <f>ROUND(IF(MinBase3Day&gt;ROUND(((1-(ThreeDayDiscount_21_Up+FedExExrpessEarnedDiscount))*'3Day Base'!B50),2),ROUND(MinBase3Day*(1+ExpressFuelSurcharge),2),ROUND(((1-(ThreeDayDiscount_21_Up+FedExExrpessEarnedDiscount))*'3Day Base'!B50)*(1+ExpressFuelSurcharge),2))*(1+FedEx_Markup),2)</f>
        <v>50.49</v>
      </c>
      <c r="C53" s="218">
        <f>ROUND(IF(MinBase3Day&gt;ROUND(((1-(ThreeDayDiscount_21_Up+FedExExrpessEarnedDiscount))*'3Day Base'!C50),2),ROUND(MinBase3Day*(1+ExpressFuelSurcharge),2),ROUND(((1-(ThreeDayDiscount_21_Up+FedExExrpessEarnedDiscount))*'3Day Base'!C50)*(1+ExpressFuelSurcharge),2))*(1+FedEx_Markup),2)</f>
        <v>60.21</v>
      </c>
      <c r="D53" s="218">
        <f>ROUND(IF(MinBase3Day&gt;ROUND(((1-(ThreeDayDiscount_21_Up+FedExExrpessEarnedDiscount))*'3Day Base'!D50),2),ROUND(MinBase3Day*(1+ExpressFuelSurcharge),2),ROUND(((1-(ThreeDayDiscount_21_Up+FedExExrpessEarnedDiscount))*'3Day Base'!D50)*(1+ExpressFuelSurcharge),2))*(1+FedEx_Markup),2)</f>
        <v>79.040000000000006</v>
      </c>
      <c r="E53" s="218">
        <f>ROUND(IF(MinBase3Day&gt;ROUND(((1-(ThreeDayDiscount_21_Up+FedExExrpessEarnedDiscount))*'3Day Base'!E50),2),ROUND(MinBase3Day*(1+ExpressFuelSurcharge),2),ROUND(((1-(ThreeDayDiscount_21_Up+FedExExrpessEarnedDiscount))*'3Day Base'!E50)*(1+ExpressFuelSurcharge),2))*(1+FedEx_Markup),2)</f>
        <v>107.76</v>
      </c>
      <c r="F53" s="218">
        <f>ROUND(IF(MinBase3Day&gt;ROUND(((1-(ThreeDayDiscount_21_Up+FedExExrpessEarnedDiscount))*'3Day Base'!F50),2),ROUND(MinBase3Day*(1+ExpressFuelSurcharge),2),ROUND(((1-(ThreeDayDiscount_21_Up+FedExExrpessEarnedDiscount))*'3Day Base'!F50)*(1+ExpressFuelSurcharge),2))*(1+FedEx_Markup),2)</f>
        <v>137.1</v>
      </c>
      <c r="G53" s="218">
        <f>ROUND(IF(MinBase3Day&gt;ROUND(((1-(ThreeDayDiscount_21_Up+FedExExrpessEarnedDiscount))*'3Day Base'!G50),2),ROUND(MinBase3Day*(1+ExpressFuelSurcharge),2),ROUND(((1-(ThreeDayDiscount_21_Up+FedExExrpessEarnedDiscount))*'3Day Base'!G50)*(1+ExpressFuelSurcharge),2))*(1+FedEx_Markup),2)</f>
        <v>167.16</v>
      </c>
      <c r="H53" s="218">
        <f>ROUND(IF(MinBase3Day&gt;ROUND(((1-(ThreeDayDiscount_21_Up+FedExExrpessEarnedDiscount))*'3Day Base'!H50),2),ROUND(MinBase3Day*(1+ExpressFuelSurcharge),2),ROUND(((1-(ThreeDayDiscount_21_Up+FedExExrpessEarnedDiscount))*'3Day Base'!H50)*(1+ExpressFuelSurcharge),2))*(1+FedEx_Markup),2)</f>
        <v>192.12</v>
      </c>
    </row>
    <row r="54" spans="1:8" ht="12.75" customHeight="1">
      <c r="A54" s="217">
        <v>49</v>
      </c>
      <c r="B54" s="218">
        <f>ROUND(IF(MinBase3Day&gt;ROUND(((1-(ThreeDayDiscount_21_Up+FedExExrpessEarnedDiscount))*'3Day Base'!B51),2),ROUND(MinBase3Day*(1+ExpressFuelSurcharge),2),ROUND(((1-(ThreeDayDiscount_21_Up+FedExExrpessEarnedDiscount))*'3Day Base'!B51)*(1+ExpressFuelSurcharge),2))*(1+FedEx_Markup),2)</f>
        <v>50.62</v>
      </c>
      <c r="C54" s="218">
        <f>ROUND(IF(MinBase3Day&gt;ROUND(((1-(ThreeDayDiscount_21_Up+FedExExrpessEarnedDiscount))*'3Day Base'!C51),2),ROUND(MinBase3Day*(1+ExpressFuelSurcharge),2),ROUND(((1-(ThreeDayDiscount_21_Up+FedExExrpessEarnedDiscount))*'3Day Base'!C51)*(1+ExpressFuelSurcharge),2))*(1+FedEx_Markup),2)</f>
        <v>60.32</v>
      </c>
      <c r="D54" s="218">
        <f>ROUND(IF(MinBase3Day&gt;ROUND(((1-(ThreeDayDiscount_21_Up+FedExExrpessEarnedDiscount))*'3Day Base'!D51),2),ROUND(MinBase3Day*(1+ExpressFuelSurcharge),2),ROUND(((1-(ThreeDayDiscount_21_Up+FedExExrpessEarnedDiscount))*'3Day Base'!D51)*(1+ExpressFuelSurcharge),2))*(1+FedEx_Markup),2)</f>
        <v>79.14</v>
      </c>
      <c r="E54" s="218">
        <f>ROUND(IF(MinBase3Day&gt;ROUND(((1-(ThreeDayDiscount_21_Up+FedExExrpessEarnedDiscount))*'3Day Base'!E51),2),ROUND(MinBase3Day*(1+ExpressFuelSurcharge),2),ROUND(((1-(ThreeDayDiscount_21_Up+FedExExrpessEarnedDiscount))*'3Day Base'!E51)*(1+ExpressFuelSurcharge),2))*(1+FedEx_Markup),2)</f>
        <v>108.11</v>
      </c>
      <c r="F54" s="218">
        <f>ROUND(IF(MinBase3Day&gt;ROUND(((1-(ThreeDayDiscount_21_Up+FedExExrpessEarnedDiscount))*'3Day Base'!F51),2),ROUND(MinBase3Day*(1+ExpressFuelSurcharge),2),ROUND(((1-(ThreeDayDiscount_21_Up+FedExExrpessEarnedDiscount))*'3Day Base'!F51)*(1+ExpressFuelSurcharge),2))*(1+FedEx_Markup),2)</f>
        <v>137.22</v>
      </c>
      <c r="G54" s="218">
        <f>ROUND(IF(MinBase3Day&gt;ROUND(((1-(ThreeDayDiscount_21_Up+FedExExrpessEarnedDiscount))*'3Day Base'!G51),2),ROUND(MinBase3Day*(1+ExpressFuelSurcharge),2),ROUND(((1-(ThreeDayDiscount_21_Up+FedExExrpessEarnedDiscount))*'3Day Base'!G51)*(1+ExpressFuelSurcharge),2))*(1+FedEx_Markup),2)</f>
        <v>168.82</v>
      </c>
      <c r="H54" s="218">
        <f>ROUND(IF(MinBase3Day&gt;ROUND(((1-(ThreeDayDiscount_21_Up+FedExExrpessEarnedDiscount))*'3Day Base'!H51),2),ROUND(MinBase3Day*(1+ExpressFuelSurcharge),2),ROUND(((1-(ThreeDayDiscount_21_Up+FedExExrpessEarnedDiscount))*'3Day Base'!H51)*(1+ExpressFuelSurcharge),2))*(1+FedEx_Markup),2)</f>
        <v>192.66</v>
      </c>
    </row>
    <row r="55" spans="1:8" ht="12.75" customHeight="1">
      <c r="A55" s="217">
        <v>50</v>
      </c>
      <c r="B55" s="218">
        <f>ROUND(IF(MinBase3Day&gt;ROUND(((1-(ThreeDayDiscount_21_Up+FedExExrpessEarnedDiscount))*'3Day Base'!B52),2),ROUND(MinBase3Day*(1+ExpressFuelSurcharge),2),ROUND(((1-(ThreeDayDiscount_21_Up+FedExExrpessEarnedDiscount))*'3Day Base'!B52)*(1+ExpressFuelSurcharge),2))*(1+FedEx_Markup),2)</f>
        <v>50.85</v>
      </c>
      <c r="C55" s="218">
        <f>ROUND(IF(MinBase3Day&gt;ROUND(((1-(ThreeDayDiscount_21_Up+FedExExrpessEarnedDiscount))*'3Day Base'!C52),2),ROUND(MinBase3Day*(1+ExpressFuelSurcharge),2),ROUND(((1-(ThreeDayDiscount_21_Up+FedExExrpessEarnedDiscount))*'3Day Base'!C52)*(1+ExpressFuelSurcharge),2))*(1+FedEx_Markup),2)</f>
        <v>60.63</v>
      </c>
      <c r="D55" s="218">
        <f>ROUND(IF(MinBase3Day&gt;ROUND(((1-(ThreeDayDiscount_21_Up+FedExExrpessEarnedDiscount))*'3Day Base'!D52),2),ROUND(MinBase3Day*(1+ExpressFuelSurcharge),2),ROUND(((1-(ThreeDayDiscount_21_Up+FedExExrpessEarnedDiscount))*'3Day Base'!D52)*(1+ExpressFuelSurcharge),2))*(1+FedEx_Markup),2)</f>
        <v>79.430000000000007</v>
      </c>
      <c r="E55" s="218">
        <f>ROUND(IF(MinBase3Day&gt;ROUND(((1-(ThreeDayDiscount_21_Up+FedExExrpessEarnedDiscount))*'3Day Base'!E52),2),ROUND(MinBase3Day*(1+ExpressFuelSurcharge),2),ROUND(((1-(ThreeDayDiscount_21_Up+FedExExrpessEarnedDiscount))*'3Day Base'!E52)*(1+ExpressFuelSurcharge),2))*(1+FedEx_Markup),2)</f>
        <v>108.31</v>
      </c>
      <c r="F55" s="218">
        <f>ROUND(IF(MinBase3Day&gt;ROUND(((1-(ThreeDayDiscount_21_Up+FedExExrpessEarnedDiscount))*'3Day Base'!F52),2),ROUND(MinBase3Day*(1+ExpressFuelSurcharge),2),ROUND(((1-(ThreeDayDiscount_21_Up+FedExExrpessEarnedDiscount))*'3Day Base'!F52)*(1+ExpressFuelSurcharge),2))*(1+FedEx_Markup),2)</f>
        <v>139.62</v>
      </c>
      <c r="G55" s="218">
        <f>ROUND(IF(MinBase3Day&gt;ROUND(((1-(ThreeDayDiscount_21_Up+FedExExrpessEarnedDiscount))*'3Day Base'!G52),2),ROUND(MinBase3Day*(1+ExpressFuelSurcharge),2),ROUND(((1-(ThreeDayDiscount_21_Up+FedExExrpessEarnedDiscount))*'3Day Base'!G52)*(1+ExpressFuelSurcharge),2))*(1+FedEx_Markup),2)</f>
        <v>171.76</v>
      </c>
      <c r="H55" s="218">
        <f>ROUND(IF(MinBase3Day&gt;ROUND(((1-(ThreeDayDiscount_21_Up+FedExExrpessEarnedDiscount))*'3Day Base'!H52),2),ROUND(MinBase3Day*(1+ExpressFuelSurcharge),2),ROUND(((1-(ThreeDayDiscount_21_Up+FedExExrpessEarnedDiscount))*'3Day Base'!H52)*(1+ExpressFuelSurcharge),2))*(1+FedEx_Markup),2)</f>
        <v>195.35</v>
      </c>
    </row>
    <row r="56" spans="1:8" ht="12.75" customHeight="1">
      <c r="A56" s="217">
        <v>51</v>
      </c>
      <c r="B56" s="218">
        <f>ROUND(IF(MinBase3Day&gt;ROUND(((1-(ThreeDayDiscount_21_Up+FedExExrpessEarnedDiscount))*'3Day Base'!B53),2),ROUND(MinBase3Day*(1+ExpressFuelSurcharge),2),ROUND(((1-(ThreeDayDiscount_21_Up+FedExExrpessEarnedDiscount))*'3Day Base'!B53)*(1+ExpressFuelSurcharge),2))*(1+FedEx_Markup),2)</f>
        <v>55.18</v>
      </c>
      <c r="C56" s="218">
        <f>ROUND(IF(MinBase3Day&gt;ROUND(((1-(ThreeDayDiscount_21_Up+FedExExrpessEarnedDiscount))*'3Day Base'!C53),2),ROUND(MinBase3Day*(1+ExpressFuelSurcharge),2),ROUND(((1-(ThreeDayDiscount_21_Up+FedExExrpessEarnedDiscount))*'3Day Base'!C53)*(1+ExpressFuelSurcharge),2))*(1+FedEx_Markup),2)</f>
        <v>64.400000000000006</v>
      </c>
      <c r="D56" s="218">
        <f>ROUND(IF(MinBase3Day&gt;ROUND(((1-(ThreeDayDiscount_21_Up+FedExExrpessEarnedDiscount))*'3Day Base'!D53),2),ROUND(MinBase3Day*(1+ExpressFuelSurcharge),2),ROUND(((1-(ThreeDayDiscount_21_Up+FedExExrpessEarnedDiscount))*'3Day Base'!D53)*(1+ExpressFuelSurcharge),2))*(1+FedEx_Markup),2)</f>
        <v>85.13</v>
      </c>
      <c r="E56" s="218">
        <f>ROUND(IF(MinBase3Day&gt;ROUND(((1-(ThreeDayDiscount_21_Up+FedExExrpessEarnedDiscount))*'3Day Base'!E53),2),ROUND(MinBase3Day*(1+ExpressFuelSurcharge),2),ROUND(((1-(ThreeDayDiscount_21_Up+FedExExrpessEarnedDiscount))*'3Day Base'!E53)*(1+ExpressFuelSurcharge),2))*(1+FedEx_Markup),2)</f>
        <v>109.23</v>
      </c>
      <c r="F56" s="218">
        <f>ROUND(IF(MinBase3Day&gt;ROUND(((1-(ThreeDayDiscount_21_Up+FedExExrpessEarnedDiscount))*'3Day Base'!F53),2),ROUND(MinBase3Day*(1+ExpressFuelSurcharge),2),ROUND(((1-(ThreeDayDiscount_21_Up+FedExExrpessEarnedDiscount))*'3Day Base'!F53)*(1+ExpressFuelSurcharge),2))*(1+FedEx_Markup),2)</f>
        <v>142.80000000000001</v>
      </c>
      <c r="G56" s="218">
        <f>ROUND(IF(MinBase3Day&gt;ROUND(((1-(ThreeDayDiscount_21_Up+FedExExrpessEarnedDiscount))*'3Day Base'!G53),2),ROUND(MinBase3Day*(1+ExpressFuelSurcharge),2),ROUND(((1-(ThreeDayDiscount_21_Up+FedExExrpessEarnedDiscount))*'3Day Base'!G53)*(1+ExpressFuelSurcharge),2))*(1+FedEx_Markup),2)</f>
        <v>172.6</v>
      </c>
      <c r="H56" s="218">
        <f>ROUND(IF(MinBase3Day&gt;ROUND(((1-(ThreeDayDiscount_21_Up+FedExExrpessEarnedDiscount))*'3Day Base'!H53),2),ROUND(MinBase3Day*(1+ExpressFuelSurcharge),2),ROUND(((1-(ThreeDayDiscount_21_Up+FedExExrpessEarnedDiscount))*'3Day Base'!H53)*(1+ExpressFuelSurcharge),2))*(1+FedEx_Markup),2)</f>
        <v>209.83</v>
      </c>
    </row>
    <row r="57" spans="1:8" ht="12.75" customHeight="1">
      <c r="A57" s="217">
        <v>52</v>
      </c>
      <c r="B57" s="218">
        <f>ROUND(IF(MinBase3Day&gt;ROUND(((1-(ThreeDayDiscount_21_Up+FedExExrpessEarnedDiscount))*'3Day Base'!B54),2),ROUND(MinBase3Day*(1+ExpressFuelSurcharge),2),ROUND(((1-(ThreeDayDiscount_21_Up+FedExExrpessEarnedDiscount))*'3Day Base'!B54)*(1+ExpressFuelSurcharge),2))*(1+FedEx_Markup),2)</f>
        <v>56.44</v>
      </c>
      <c r="C57" s="218">
        <f>ROUND(IF(MinBase3Day&gt;ROUND(((1-(ThreeDayDiscount_21_Up+FedExExrpessEarnedDiscount))*'3Day Base'!C54),2),ROUND(MinBase3Day*(1+ExpressFuelSurcharge),2),ROUND(((1-(ThreeDayDiscount_21_Up+FedExExrpessEarnedDiscount))*'3Day Base'!C54)*(1+ExpressFuelSurcharge),2))*(1+FedEx_Markup),2)</f>
        <v>67.489999999999995</v>
      </c>
      <c r="D57" s="218">
        <f>ROUND(IF(MinBase3Day&gt;ROUND(((1-(ThreeDayDiscount_21_Up+FedExExrpessEarnedDiscount))*'3Day Base'!D54),2),ROUND(MinBase3Day*(1+ExpressFuelSurcharge),2),ROUND(((1-(ThreeDayDiscount_21_Up+FedExExrpessEarnedDiscount))*'3Day Base'!D54)*(1+ExpressFuelSurcharge),2))*(1+FedEx_Markup),2)</f>
        <v>85.71</v>
      </c>
      <c r="E57" s="218">
        <f>ROUND(IF(MinBase3Day&gt;ROUND(((1-(ThreeDayDiscount_21_Up+FedExExrpessEarnedDiscount))*'3Day Base'!E54),2),ROUND(MinBase3Day*(1+ExpressFuelSurcharge),2),ROUND(((1-(ThreeDayDiscount_21_Up+FedExExrpessEarnedDiscount))*'3Day Base'!E54)*(1+ExpressFuelSurcharge),2))*(1+FedEx_Markup),2)</f>
        <v>113.3</v>
      </c>
      <c r="F57" s="218">
        <f>ROUND(IF(MinBase3Day&gt;ROUND(((1-(ThreeDayDiscount_21_Up+FedExExrpessEarnedDiscount))*'3Day Base'!F54),2),ROUND(MinBase3Day*(1+ExpressFuelSurcharge),2),ROUND(((1-(ThreeDayDiscount_21_Up+FedExExrpessEarnedDiscount))*'3Day Base'!F54)*(1+ExpressFuelSurcharge),2))*(1+FedEx_Markup),2)</f>
        <v>159.9</v>
      </c>
      <c r="G57" s="218">
        <f>ROUND(IF(MinBase3Day&gt;ROUND(((1-(ThreeDayDiscount_21_Up+FedExExrpessEarnedDiscount))*'3Day Base'!G54),2),ROUND(MinBase3Day*(1+ExpressFuelSurcharge),2),ROUND(((1-(ThreeDayDiscount_21_Up+FedExExrpessEarnedDiscount))*'3Day Base'!G54)*(1+ExpressFuelSurcharge),2))*(1+FedEx_Markup),2)</f>
        <v>172.81</v>
      </c>
      <c r="H57" s="218">
        <f>ROUND(IF(MinBase3Day&gt;ROUND(((1-(ThreeDayDiscount_21_Up+FedExExrpessEarnedDiscount))*'3Day Base'!H54),2),ROUND(MinBase3Day*(1+ExpressFuelSurcharge),2),ROUND(((1-(ThreeDayDiscount_21_Up+FedExExrpessEarnedDiscount))*'3Day Base'!H54)*(1+ExpressFuelSurcharge),2))*(1+FedEx_Markup),2)</f>
        <v>213.52</v>
      </c>
    </row>
    <row r="58" spans="1:8" ht="12.75" customHeight="1">
      <c r="A58" s="217">
        <v>53</v>
      </c>
      <c r="B58" s="218">
        <f>ROUND(IF(MinBase3Day&gt;ROUND(((1-(ThreeDayDiscount_21_Up+FedExExrpessEarnedDiscount))*'3Day Base'!B55),2),ROUND(MinBase3Day*(1+ExpressFuelSurcharge),2),ROUND(((1-(ThreeDayDiscount_21_Up+FedExExrpessEarnedDiscount))*'3Day Base'!B55)*(1+ExpressFuelSurcharge),2))*(1+FedEx_Markup),2)</f>
        <v>58.62</v>
      </c>
      <c r="C58" s="218">
        <f>ROUND(IF(MinBase3Day&gt;ROUND(((1-(ThreeDayDiscount_21_Up+FedExExrpessEarnedDiscount))*'3Day Base'!C55),2),ROUND(MinBase3Day*(1+ExpressFuelSurcharge),2),ROUND(((1-(ThreeDayDiscount_21_Up+FedExExrpessEarnedDiscount))*'3Day Base'!C55)*(1+ExpressFuelSurcharge),2))*(1+FedEx_Markup),2)</f>
        <v>69.72</v>
      </c>
      <c r="D58" s="218">
        <f>ROUND(IF(MinBase3Day&gt;ROUND(((1-(ThreeDayDiscount_21_Up+FedExExrpessEarnedDiscount))*'3Day Base'!D55),2),ROUND(MinBase3Day*(1+ExpressFuelSurcharge),2),ROUND(((1-(ThreeDayDiscount_21_Up+FedExExrpessEarnedDiscount))*'3Day Base'!D55)*(1+ExpressFuelSurcharge),2))*(1+FedEx_Markup),2)</f>
        <v>86.97</v>
      </c>
      <c r="E58" s="218">
        <f>ROUND(IF(MinBase3Day&gt;ROUND(((1-(ThreeDayDiscount_21_Up+FedExExrpessEarnedDiscount))*'3Day Base'!E55),2),ROUND(MinBase3Day*(1+ExpressFuelSurcharge),2),ROUND(((1-(ThreeDayDiscount_21_Up+FedExExrpessEarnedDiscount))*'3Day Base'!E55)*(1+ExpressFuelSurcharge),2))*(1+FedEx_Markup),2)</f>
        <v>117.44</v>
      </c>
      <c r="F58" s="218">
        <f>ROUND(IF(MinBase3Day&gt;ROUND(((1-(ThreeDayDiscount_21_Up+FedExExrpessEarnedDiscount))*'3Day Base'!F55),2),ROUND(MinBase3Day*(1+ExpressFuelSurcharge),2),ROUND(((1-(ThreeDayDiscount_21_Up+FedExExrpessEarnedDiscount))*'3Day Base'!F55)*(1+ExpressFuelSurcharge),2))*(1+FedEx_Markup),2)</f>
        <v>161.61000000000001</v>
      </c>
      <c r="G58" s="218">
        <f>ROUND(IF(MinBase3Day&gt;ROUND(((1-(ThreeDayDiscount_21_Up+FedExExrpessEarnedDiscount))*'3Day Base'!G55),2),ROUND(MinBase3Day*(1+ExpressFuelSurcharge),2),ROUND(((1-(ThreeDayDiscount_21_Up+FedExExrpessEarnedDiscount))*'3Day Base'!G55)*(1+ExpressFuelSurcharge),2))*(1+FedEx_Markup),2)</f>
        <v>175.15</v>
      </c>
      <c r="H58" s="218">
        <f>ROUND(IF(MinBase3Day&gt;ROUND(((1-(ThreeDayDiscount_21_Up+FedExExrpessEarnedDiscount))*'3Day Base'!H55),2),ROUND(MinBase3Day*(1+ExpressFuelSurcharge),2),ROUND(((1-(ThreeDayDiscount_21_Up+FedExExrpessEarnedDiscount))*'3Day Base'!H55)*(1+ExpressFuelSurcharge),2))*(1+FedEx_Markup),2)</f>
        <v>217.04</v>
      </c>
    </row>
    <row r="59" spans="1:8" ht="12.75" customHeight="1">
      <c r="A59" s="217">
        <v>54</v>
      </c>
      <c r="B59" s="218">
        <f>ROUND(IF(MinBase3Day&gt;ROUND(((1-(ThreeDayDiscount_21_Up+FedExExrpessEarnedDiscount))*'3Day Base'!B56),2),ROUND(MinBase3Day*(1+ExpressFuelSurcharge),2),ROUND(((1-(ThreeDayDiscount_21_Up+FedExExrpessEarnedDiscount))*'3Day Base'!B56)*(1+ExpressFuelSurcharge),2))*(1+FedEx_Markup),2)</f>
        <v>58.95</v>
      </c>
      <c r="C59" s="218">
        <f>ROUND(IF(MinBase3Day&gt;ROUND(((1-(ThreeDayDiscount_21_Up+FedExExrpessEarnedDiscount))*'3Day Base'!C56),2),ROUND(MinBase3Day*(1+ExpressFuelSurcharge),2),ROUND(((1-(ThreeDayDiscount_21_Up+FedExExrpessEarnedDiscount))*'3Day Base'!C56)*(1+ExpressFuelSurcharge),2))*(1+FedEx_Markup),2)</f>
        <v>69.94</v>
      </c>
      <c r="D59" s="218">
        <f>ROUND(IF(MinBase3Day&gt;ROUND(((1-(ThreeDayDiscount_21_Up+FedExExrpessEarnedDiscount))*'3Day Base'!D56),2),ROUND(MinBase3Day*(1+ExpressFuelSurcharge),2),ROUND(((1-(ThreeDayDiscount_21_Up+FedExExrpessEarnedDiscount))*'3Day Base'!D56)*(1+ExpressFuelSurcharge),2))*(1+FedEx_Markup),2)</f>
        <v>87.3</v>
      </c>
      <c r="E59" s="218">
        <f>ROUND(IF(MinBase3Day&gt;ROUND(((1-(ThreeDayDiscount_21_Up+FedExExrpessEarnedDiscount))*'3Day Base'!E56),2),ROUND(MinBase3Day*(1+ExpressFuelSurcharge),2),ROUND(((1-(ThreeDayDiscount_21_Up+FedExExrpessEarnedDiscount))*'3Day Base'!E56)*(1+ExpressFuelSurcharge),2))*(1+FedEx_Markup),2)</f>
        <v>117.86</v>
      </c>
      <c r="F59" s="218">
        <f>ROUND(IF(MinBase3Day&gt;ROUND(((1-(ThreeDayDiscount_21_Up+FedExExrpessEarnedDiscount))*'3Day Base'!F56),2),ROUND(MinBase3Day*(1+ExpressFuelSurcharge),2),ROUND(((1-(ThreeDayDiscount_21_Up+FedExExrpessEarnedDiscount))*'3Day Base'!F56)*(1+ExpressFuelSurcharge),2))*(1+FedEx_Markup),2)</f>
        <v>161.83000000000001</v>
      </c>
      <c r="G59" s="218">
        <f>ROUND(IF(MinBase3Day&gt;ROUND(((1-(ThreeDayDiscount_21_Up+FedExExrpessEarnedDiscount))*'3Day Base'!G56),2),ROUND(MinBase3Day*(1+ExpressFuelSurcharge),2),ROUND(((1-(ThreeDayDiscount_21_Up+FedExExrpessEarnedDiscount))*'3Day Base'!G56)*(1+ExpressFuelSurcharge),2))*(1+FedEx_Markup),2)</f>
        <v>178.89</v>
      </c>
      <c r="H59" s="218">
        <f>ROUND(IF(MinBase3Day&gt;ROUND(((1-(ThreeDayDiscount_21_Up+FedExExrpessEarnedDiscount))*'3Day Base'!H56),2),ROUND(MinBase3Day*(1+ExpressFuelSurcharge),2),ROUND(((1-(ThreeDayDiscount_21_Up+FedExExrpessEarnedDiscount))*'3Day Base'!H56)*(1+ExpressFuelSurcharge),2))*(1+FedEx_Markup),2)</f>
        <v>217.4</v>
      </c>
    </row>
    <row r="60" spans="1:8" ht="12.75" customHeight="1">
      <c r="A60" s="217">
        <v>55</v>
      </c>
      <c r="B60" s="218">
        <f>ROUND(IF(MinBase3Day&gt;ROUND(((1-(ThreeDayDiscount_21_Up+FedExExrpessEarnedDiscount))*'3Day Base'!B57),2),ROUND(MinBase3Day*(1+ExpressFuelSurcharge),2),ROUND(((1-(ThreeDayDiscount_21_Up+FedExExrpessEarnedDiscount))*'3Day Base'!B57)*(1+ExpressFuelSurcharge),2))*(1+FedEx_Markup),2)</f>
        <v>59.24</v>
      </c>
      <c r="C60" s="218">
        <f>ROUND(IF(MinBase3Day&gt;ROUND(((1-(ThreeDayDiscount_21_Up+FedExExrpessEarnedDiscount))*'3Day Base'!C57),2),ROUND(MinBase3Day*(1+ExpressFuelSurcharge),2),ROUND(((1-(ThreeDayDiscount_21_Up+FedExExrpessEarnedDiscount))*'3Day Base'!C57)*(1+ExpressFuelSurcharge),2))*(1+FedEx_Markup),2)</f>
        <v>72.58</v>
      </c>
      <c r="D60" s="218">
        <f>ROUND(IF(MinBase3Day&gt;ROUND(((1-(ThreeDayDiscount_21_Up+FedExExrpessEarnedDiscount))*'3Day Base'!D57),2),ROUND(MinBase3Day*(1+ExpressFuelSurcharge),2),ROUND(((1-(ThreeDayDiscount_21_Up+FedExExrpessEarnedDiscount))*'3Day Base'!D57)*(1+ExpressFuelSurcharge),2))*(1+FedEx_Markup),2)</f>
        <v>90.05</v>
      </c>
      <c r="E60" s="218">
        <f>ROUND(IF(MinBase3Day&gt;ROUND(((1-(ThreeDayDiscount_21_Up+FedExExrpessEarnedDiscount))*'3Day Base'!E57),2),ROUND(MinBase3Day*(1+ExpressFuelSurcharge),2),ROUND(((1-(ThreeDayDiscount_21_Up+FedExExrpessEarnedDiscount))*'3Day Base'!E57)*(1+ExpressFuelSurcharge),2))*(1+FedEx_Markup),2)</f>
        <v>119.6</v>
      </c>
      <c r="F60" s="218">
        <f>ROUND(IF(MinBase3Day&gt;ROUND(((1-(ThreeDayDiscount_21_Up+FedExExrpessEarnedDiscount))*'3Day Base'!F57),2),ROUND(MinBase3Day*(1+ExpressFuelSurcharge),2),ROUND(((1-(ThreeDayDiscount_21_Up+FedExExrpessEarnedDiscount))*'3Day Base'!F57)*(1+ExpressFuelSurcharge),2))*(1+FedEx_Markup),2)</f>
        <v>162.22999999999999</v>
      </c>
      <c r="G60" s="218">
        <f>ROUND(IF(MinBase3Day&gt;ROUND(((1-(ThreeDayDiscount_21_Up+FedExExrpessEarnedDiscount))*'3Day Base'!G57),2),ROUND(MinBase3Day*(1+ExpressFuelSurcharge),2),ROUND(((1-(ThreeDayDiscount_21_Up+FedExExrpessEarnedDiscount))*'3Day Base'!G57)*(1+ExpressFuelSurcharge),2))*(1+FedEx_Markup),2)</f>
        <v>183.09</v>
      </c>
      <c r="H60" s="218">
        <f>ROUND(IF(MinBase3Day&gt;ROUND(((1-(ThreeDayDiscount_21_Up+FedExExrpessEarnedDiscount))*'3Day Base'!H57),2),ROUND(MinBase3Day*(1+ExpressFuelSurcharge),2),ROUND(((1-(ThreeDayDiscount_21_Up+FedExExrpessEarnedDiscount))*'3Day Base'!H57)*(1+ExpressFuelSurcharge),2))*(1+FedEx_Markup),2)</f>
        <v>217.7</v>
      </c>
    </row>
    <row r="61" spans="1:8" ht="12.75" customHeight="1">
      <c r="A61" s="217">
        <v>56</v>
      </c>
      <c r="B61" s="218">
        <f>ROUND(IF(MinBase3Day&gt;ROUND(((1-(ThreeDayDiscount_21_Up+FedExExrpessEarnedDiscount))*'3Day Base'!B58),2),ROUND(MinBase3Day*(1+ExpressFuelSurcharge),2),ROUND(((1-(ThreeDayDiscount_21_Up+FedExExrpessEarnedDiscount))*'3Day Base'!B58)*(1+ExpressFuelSurcharge),2))*(1+FedEx_Markup),2)</f>
        <v>59.51</v>
      </c>
      <c r="C61" s="218">
        <f>ROUND(IF(MinBase3Day&gt;ROUND(((1-(ThreeDayDiscount_21_Up+FedExExrpessEarnedDiscount))*'3Day Base'!C58),2),ROUND(MinBase3Day*(1+ExpressFuelSurcharge),2),ROUND(((1-(ThreeDayDiscount_21_Up+FedExExrpessEarnedDiscount))*'3Day Base'!C58)*(1+ExpressFuelSurcharge),2))*(1+FedEx_Markup),2)</f>
        <v>72.86</v>
      </c>
      <c r="D61" s="218">
        <f>ROUND(IF(MinBase3Day&gt;ROUND(((1-(ThreeDayDiscount_21_Up+FedExExrpessEarnedDiscount))*'3Day Base'!D58),2),ROUND(MinBase3Day*(1+ExpressFuelSurcharge),2),ROUND(((1-(ThreeDayDiscount_21_Up+FedExExrpessEarnedDiscount))*'3Day Base'!D58)*(1+ExpressFuelSurcharge),2))*(1+FedEx_Markup),2)</f>
        <v>90.36</v>
      </c>
      <c r="E61" s="218">
        <f>ROUND(IF(MinBase3Day&gt;ROUND(((1-(ThreeDayDiscount_21_Up+FedExExrpessEarnedDiscount))*'3Day Base'!E58),2),ROUND(MinBase3Day*(1+ExpressFuelSurcharge),2),ROUND(((1-(ThreeDayDiscount_21_Up+FedExExrpessEarnedDiscount))*'3Day Base'!E58)*(1+ExpressFuelSurcharge),2))*(1+FedEx_Markup),2)</f>
        <v>125.86</v>
      </c>
      <c r="F61" s="218">
        <f>ROUND(IF(MinBase3Day&gt;ROUND(((1-(ThreeDayDiscount_21_Up+FedExExrpessEarnedDiscount))*'3Day Base'!F58),2),ROUND(MinBase3Day*(1+ExpressFuelSurcharge),2),ROUND(((1-(ThreeDayDiscount_21_Up+FedExExrpessEarnedDiscount))*'3Day Base'!F58)*(1+ExpressFuelSurcharge),2))*(1+FedEx_Markup),2)</f>
        <v>170.33</v>
      </c>
      <c r="G61" s="218">
        <f>ROUND(IF(MinBase3Day&gt;ROUND(((1-(ThreeDayDiscount_21_Up+FedExExrpessEarnedDiscount))*'3Day Base'!G58),2),ROUND(MinBase3Day*(1+ExpressFuelSurcharge),2),ROUND(((1-(ThreeDayDiscount_21_Up+FedExExrpessEarnedDiscount))*'3Day Base'!G58)*(1+ExpressFuelSurcharge),2))*(1+FedEx_Markup),2)</f>
        <v>183.95</v>
      </c>
      <c r="H61" s="218">
        <f>ROUND(IF(MinBase3Day&gt;ROUND(((1-(ThreeDayDiscount_21_Up+FedExExrpessEarnedDiscount))*'3Day Base'!H58),2),ROUND(MinBase3Day*(1+ExpressFuelSurcharge),2),ROUND(((1-(ThreeDayDiscount_21_Up+FedExExrpessEarnedDiscount))*'3Day Base'!H58)*(1+ExpressFuelSurcharge),2))*(1+FedEx_Markup),2)</f>
        <v>220.12</v>
      </c>
    </row>
    <row r="62" spans="1:8" ht="12.75" customHeight="1">
      <c r="A62" s="217">
        <v>57</v>
      </c>
      <c r="B62" s="218">
        <f>ROUND(IF(MinBase3Day&gt;ROUND(((1-(ThreeDayDiscount_21_Up+FedExExrpessEarnedDiscount))*'3Day Base'!B59),2),ROUND(MinBase3Day*(1+ExpressFuelSurcharge),2),ROUND(((1-(ThreeDayDiscount_21_Up+FedExExrpessEarnedDiscount))*'3Day Base'!B59)*(1+ExpressFuelSurcharge),2))*(1+FedEx_Markup),2)</f>
        <v>59.8</v>
      </c>
      <c r="C62" s="218">
        <f>ROUND(IF(MinBase3Day&gt;ROUND(((1-(ThreeDayDiscount_21_Up+FedExExrpessEarnedDiscount))*'3Day Base'!C59),2),ROUND(MinBase3Day*(1+ExpressFuelSurcharge),2),ROUND(((1-(ThreeDayDiscount_21_Up+FedExExrpessEarnedDiscount))*'3Day Base'!C59)*(1+ExpressFuelSurcharge),2))*(1+FedEx_Markup),2)</f>
        <v>73.14</v>
      </c>
      <c r="D62" s="218">
        <f>ROUND(IF(MinBase3Day&gt;ROUND(((1-(ThreeDayDiscount_21_Up+FedExExrpessEarnedDiscount))*'3Day Base'!D59),2),ROUND(MinBase3Day*(1+ExpressFuelSurcharge),2),ROUND(((1-(ThreeDayDiscount_21_Up+FedExExrpessEarnedDiscount))*'3Day Base'!D59)*(1+ExpressFuelSurcharge),2))*(1+FedEx_Markup),2)</f>
        <v>92.61</v>
      </c>
      <c r="E62" s="218">
        <f>ROUND(IF(MinBase3Day&gt;ROUND(((1-(ThreeDayDiscount_21_Up+FedExExrpessEarnedDiscount))*'3Day Base'!E59),2),ROUND(MinBase3Day*(1+ExpressFuelSurcharge),2),ROUND(((1-(ThreeDayDiscount_21_Up+FedExExrpessEarnedDiscount))*'3Day Base'!E59)*(1+ExpressFuelSurcharge),2))*(1+FedEx_Markup),2)</f>
        <v>127.8</v>
      </c>
      <c r="F62" s="218">
        <f>ROUND(IF(MinBase3Day&gt;ROUND(((1-(ThreeDayDiscount_21_Up+FedExExrpessEarnedDiscount))*'3Day Base'!F59),2),ROUND(MinBase3Day*(1+ExpressFuelSurcharge),2),ROUND(((1-(ThreeDayDiscount_21_Up+FedExExrpessEarnedDiscount))*'3Day Base'!F59)*(1+ExpressFuelSurcharge),2))*(1+FedEx_Markup),2)</f>
        <v>171.14</v>
      </c>
      <c r="G62" s="218">
        <f>ROUND(IF(MinBase3Day&gt;ROUND(((1-(ThreeDayDiscount_21_Up+FedExExrpessEarnedDiscount))*'3Day Base'!G59),2),ROUND(MinBase3Day*(1+ExpressFuelSurcharge),2),ROUND(((1-(ThreeDayDiscount_21_Up+FedExExrpessEarnedDiscount))*'3Day Base'!G59)*(1+ExpressFuelSurcharge),2))*(1+FedEx_Markup),2)</f>
        <v>201.08</v>
      </c>
      <c r="H62" s="218">
        <f>ROUND(IF(MinBase3Day&gt;ROUND(((1-(ThreeDayDiscount_21_Up+FedExExrpessEarnedDiscount))*'3Day Base'!H59),2),ROUND(MinBase3Day*(1+ExpressFuelSurcharge),2),ROUND(((1-(ThreeDayDiscount_21_Up+FedExExrpessEarnedDiscount))*'3Day Base'!H59)*(1+ExpressFuelSurcharge),2))*(1+FedEx_Markup),2)</f>
        <v>224.53</v>
      </c>
    </row>
    <row r="63" spans="1:8" ht="12.75" customHeight="1">
      <c r="A63" s="217">
        <v>58</v>
      </c>
      <c r="B63" s="218">
        <f>ROUND(IF(MinBase3Day&gt;ROUND(((1-(ThreeDayDiscount_21_Up+FedExExrpessEarnedDiscount))*'3Day Base'!B60),2),ROUND(MinBase3Day*(1+ExpressFuelSurcharge),2),ROUND(((1-(ThreeDayDiscount_21_Up+FedExExrpessEarnedDiscount))*'3Day Base'!B60)*(1+ExpressFuelSurcharge),2))*(1+FedEx_Markup),2)</f>
        <v>60.09</v>
      </c>
      <c r="C63" s="218">
        <f>ROUND(IF(MinBase3Day&gt;ROUND(((1-(ThreeDayDiscount_21_Up+FedExExrpessEarnedDiscount))*'3Day Base'!C60),2),ROUND(MinBase3Day*(1+ExpressFuelSurcharge),2),ROUND(((1-(ThreeDayDiscount_21_Up+FedExExrpessEarnedDiscount))*'3Day Base'!C60)*(1+ExpressFuelSurcharge),2))*(1+FedEx_Markup),2)</f>
        <v>73.430000000000007</v>
      </c>
      <c r="D63" s="218">
        <f>ROUND(IF(MinBase3Day&gt;ROUND(((1-(ThreeDayDiscount_21_Up+FedExExrpessEarnedDiscount))*'3Day Base'!D60),2),ROUND(MinBase3Day*(1+ExpressFuelSurcharge),2),ROUND(((1-(ThreeDayDiscount_21_Up+FedExExrpessEarnedDiscount))*'3Day Base'!D60)*(1+ExpressFuelSurcharge),2))*(1+FedEx_Markup),2)</f>
        <v>92.94</v>
      </c>
      <c r="E63" s="218">
        <f>ROUND(IF(MinBase3Day&gt;ROUND(((1-(ThreeDayDiscount_21_Up+FedExExrpessEarnedDiscount))*'3Day Base'!E60),2),ROUND(MinBase3Day*(1+ExpressFuelSurcharge),2),ROUND(((1-(ThreeDayDiscount_21_Up+FedExExrpessEarnedDiscount))*'3Day Base'!E60)*(1+ExpressFuelSurcharge),2))*(1+FedEx_Markup),2)</f>
        <v>129.80000000000001</v>
      </c>
      <c r="F63" s="218">
        <f>ROUND(IF(MinBase3Day&gt;ROUND(((1-(ThreeDayDiscount_21_Up+FedExExrpessEarnedDiscount))*'3Day Base'!F60),2),ROUND(MinBase3Day*(1+ExpressFuelSurcharge),2),ROUND(((1-(ThreeDayDiscount_21_Up+FedExExrpessEarnedDiscount))*'3Day Base'!F60)*(1+ExpressFuelSurcharge),2))*(1+FedEx_Markup),2)</f>
        <v>179.65</v>
      </c>
      <c r="G63" s="218">
        <f>ROUND(IF(MinBase3Day&gt;ROUND(((1-(ThreeDayDiscount_21_Up+FedExExrpessEarnedDiscount))*'3Day Base'!G60),2),ROUND(MinBase3Day*(1+ExpressFuelSurcharge),2),ROUND(((1-(ThreeDayDiscount_21_Up+FedExExrpessEarnedDiscount))*'3Day Base'!G60)*(1+ExpressFuelSurcharge),2))*(1+FedEx_Markup),2)</f>
        <v>202.8</v>
      </c>
      <c r="H63" s="218">
        <f>ROUND(IF(MinBase3Day&gt;ROUND(((1-(ThreeDayDiscount_21_Up+FedExExrpessEarnedDiscount))*'3Day Base'!H60),2),ROUND(MinBase3Day*(1+ExpressFuelSurcharge),2),ROUND(((1-(ThreeDayDiscount_21_Up+FedExExrpessEarnedDiscount))*'3Day Base'!H60)*(1+ExpressFuelSurcharge),2))*(1+FedEx_Markup),2)</f>
        <v>228.19</v>
      </c>
    </row>
    <row r="64" spans="1:8" ht="12.75" customHeight="1">
      <c r="A64" s="217">
        <v>59</v>
      </c>
      <c r="B64" s="218">
        <f>ROUND(IF(MinBase3Day&gt;ROUND(((1-(ThreeDayDiscount_21_Up+FedExExrpessEarnedDiscount))*'3Day Base'!B61),2),ROUND(MinBase3Day*(1+ExpressFuelSurcharge),2),ROUND(((1-(ThreeDayDiscount_21_Up+FedExExrpessEarnedDiscount))*'3Day Base'!B61)*(1+ExpressFuelSurcharge),2))*(1+FedEx_Markup),2)</f>
        <v>60.38</v>
      </c>
      <c r="C64" s="218">
        <f>ROUND(IF(MinBase3Day&gt;ROUND(((1-(ThreeDayDiscount_21_Up+FedExExrpessEarnedDiscount))*'3Day Base'!C61),2),ROUND(MinBase3Day*(1+ExpressFuelSurcharge),2),ROUND(((1-(ThreeDayDiscount_21_Up+FedExExrpessEarnedDiscount))*'3Day Base'!C61)*(1+ExpressFuelSurcharge),2))*(1+FedEx_Markup),2)</f>
        <v>73.760000000000005</v>
      </c>
      <c r="D64" s="218">
        <f>ROUND(IF(MinBase3Day&gt;ROUND(((1-(ThreeDayDiscount_21_Up+FedExExrpessEarnedDiscount))*'3Day Base'!D61),2),ROUND(MinBase3Day*(1+ExpressFuelSurcharge),2),ROUND(((1-(ThreeDayDiscount_21_Up+FedExExrpessEarnedDiscount))*'3Day Base'!D61)*(1+ExpressFuelSurcharge),2))*(1+FedEx_Markup),2)</f>
        <v>93.24</v>
      </c>
      <c r="E64" s="218">
        <f>ROUND(IF(MinBase3Day&gt;ROUND(((1-(ThreeDayDiscount_21_Up+FedExExrpessEarnedDiscount))*'3Day Base'!E61),2),ROUND(MinBase3Day*(1+ExpressFuelSurcharge),2),ROUND(((1-(ThreeDayDiscount_21_Up+FedExExrpessEarnedDiscount))*'3Day Base'!E61)*(1+ExpressFuelSurcharge),2))*(1+FedEx_Markup),2)</f>
        <v>131.43</v>
      </c>
      <c r="F64" s="218">
        <f>ROUND(IF(MinBase3Day&gt;ROUND(((1-(ThreeDayDiscount_21_Up+FedExExrpessEarnedDiscount))*'3Day Base'!F61),2),ROUND(MinBase3Day*(1+ExpressFuelSurcharge),2),ROUND(((1-(ThreeDayDiscount_21_Up+FedExExrpessEarnedDiscount))*'3Day Base'!F61)*(1+ExpressFuelSurcharge),2))*(1+FedEx_Markup),2)</f>
        <v>180.52</v>
      </c>
      <c r="G64" s="218">
        <f>ROUND(IF(MinBase3Day&gt;ROUND(((1-(ThreeDayDiscount_21_Up+FedExExrpessEarnedDiscount))*'3Day Base'!G61),2),ROUND(MinBase3Day*(1+ExpressFuelSurcharge),2),ROUND(((1-(ThreeDayDiscount_21_Up+FedExExrpessEarnedDiscount))*'3Day Base'!G61)*(1+ExpressFuelSurcharge),2))*(1+FedEx_Markup),2)</f>
        <v>205.98</v>
      </c>
      <c r="H64" s="218">
        <f>ROUND(IF(MinBase3Day&gt;ROUND(((1-(ThreeDayDiscount_21_Up+FedExExrpessEarnedDiscount))*'3Day Base'!H61),2),ROUND(MinBase3Day*(1+ExpressFuelSurcharge),2),ROUND(((1-(ThreeDayDiscount_21_Up+FedExExrpessEarnedDiscount))*'3Day Base'!H61)*(1+ExpressFuelSurcharge),2))*(1+FedEx_Markup),2)</f>
        <v>232.39</v>
      </c>
    </row>
    <row r="65" spans="1:8" ht="12.75" customHeight="1">
      <c r="A65" s="217">
        <v>60</v>
      </c>
      <c r="B65" s="218">
        <f>ROUND(IF(MinBase3Day&gt;ROUND(((1-(ThreeDayDiscount_21_Up+FedExExrpessEarnedDiscount))*'3Day Base'!B62),2),ROUND(MinBase3Day*(1+ExpressFuelSurcharge),2),ROUND(((1-(ThreeDayDiscount_21_Up+FedExExrpessEarnedDiscount))*'3Day Base'!B62)*(1+ExpressFuelSurcharge),2))*(1+FedEx_Markup),2)</f>
        <v>61.47</v>
      </c>
      <c r="C65" s="218">
        <f>ROUND(IF(MinBase3Day&gt;ROUND(((1-(ThreeDayDiscount_21_Up+FedExExrpessEarnedDiscount))*'3Day Base'!C62),2),ROUND(MinBase3Day*(1+ExpressFuelSurcharge),2),ROUND(((1-(ThreeDayDiscount_21_Up+FedExExrpessEarnedDiscount))*'3Day Base'!C62)*(1+ExpressFuelSurcharge),2))*(1+FedEx_Markup),2)</f>
        <v>76.14</v>
      </c>
      <c r="D65" s="218">
        <f>ROUND(IF(MinBase3Day&gt;ROUND(((1-(ThreeDayDiscount_21_Up+FedExExrpessEarnedDiscount))*'3Day Base'!D62),2),ROUND(MinBase3Day*(1+ExpressFuelSurcharge),2),ROUND(((1-(ThreeDayDiscount_21_Up+FedExExrpessEarnedDiscount))*'3Day Base'!D62)*(1+ExpressFuelSurcharge),2))*(1+FedEx_Markup),2)</f>
        <v>93.55</v>
      </c>
      <c r="E65" s="218">
        <f>ROUND(IF(MinBase3Day&gt;ROUND(((1-(ThreeDayDiscount_21_Up+FedExExrpessEarnedDiscount))*'3Day Base'!E62),2),ROUND(MinBase3Day*(1+ExpressFuelSurcharge),2),ROUND(((1-(ThreeDayDiscount_21_Up+FedExExrpessEarnedDiscount))*'3Day Base'!E62)*(1+ExpressFuelSurcharge),2))*(1+FedEx_Markup),2)</f>
        <v>131.77000000000001</v>
      </c>
      <c r="F65" s="218">
        <f>ROUND(IF(MinBase3Day&gt;ROUND(((1-(ThreeDayDiscount_21_Up+FedExExrpessEarnedDiscount))*'3Day Base'!F62),2),ROUND(MinBase3Day*(1+ExpressFuelSurcharge),2),ROUND(((1-(ThreeDayDiscount_21_Up+FedExExrpessEarnedDiscount))*'3Day Base'!F62)*(1+ExpressFuelSurcharge),2))*(1+FedEx_Markup),2)</f>
        <v>181</v>
      </c>
      <c r="G65" s="218">
        <f>ROUND(IF(MinBase3Day&gt;ROUND(((1-(ThreeDayDiscount_21_Up+FedExExrpessEarnedDiscount))*'3Day Base'!G62),2),ROUND(MinBase3Day*(1+ExpressFuelSurcharge),2),ROUND(((1-(ThreeDayDiscount_21_Up+FedExExrpessEarnedDiscount))*'3Day Base'!G62)*(1+ExpressFuelSurcharge),2))*(1+FedEx_Markup),2)</f>
        <v>206.33</v>
      </c>
      <c r="H65" s="218">
        <f>ROUND(IF(MinBase3Day&gt;ROUND(((1-(ThreeDayDiscount_21_Up+FedExExrpessEarnedDiscount))*'3Day Base'!H62),2),ROUND(MinBase3Day*(1+ExpressFuelSurcharge),2),ROUND(((1-(ThreeDayDiscount_21_Up+FedExExrpessEarnedDiscount))*'3Day Base'!H62)*(1+ExpressFuelSurcharge),2))*(1+FedEx_Markup),2)</f>
        <v>236.6</v>
      </c>
    </row>
    <row r="66" spans="1:8" ht="12.75" customHeight="1">
      <c r="A66" s="217">
        <v>61</v>
      </c>
      <c r="B66" s="218">
        <f>ROUND(IF(MinBase3Day&gt;ROUND(((1-(ThreeDayDiscount_21_Up+FedExExrpessEarnedDiscount))*'3Day Base'!B63),2),ROUND(MinBase3Day*(1+ExpressFuelSurcharge),2),ROUND(((1-(ThreeDayDiscount_21_Up+FedExExrpessEarnedDiscount))*'3Day Base'!B63)*(1+ExpressFuelSurcharge),2))*(1+FedEx_Markup),2)</f>
        <v>63.04</v>
      </c>
      <c r="C66" s="218">
        <f>ROUND(IF(MinBase3Day&gt;ROUND(((1-(ThreeDayDiscount_21_Up+FedExExrpessEarnedDiscount))*'3Day Base'!C63),2),ROUND(MinBase3Day*(1+ExpressFuelSurcharge),2),ROUND(((1-(ThreeDayDiscount_21_Up+FedExExrpessEarnedDiscount))*'3Day Base'!C63)*(1+ExpressFuelSurcharge),2))*(1+FedEx_Markup),2)</f>
        <v>78.27</v>
      </c>
      <c r="D66" s="218">
        <f>ROUND(IF(MinBase3Day&gt;ROUND(((1-(ThreeDayDiscount_21_Up+FedExExrpessEarnedDiscount))*'3Day Base'!D63),2),ROUND(MinBase3Day*(1+ExpressFuelSurcharge),2),ROUND(((1-(ThreeDayDiscount_21_Up+FedExExrpessEarnedDiscount))*'3Day Base'!D63)*(1+ExpressFuelSurcharge),2))*(1+FedEx_Markup),2)</f>
        <v>98.51</v>
      </c>
      <c r="E66" s="218">
        <f>ROUND(IF(MinBase3Day&gt;ROUND(((1-(ThreeDayDiscount_21_Up+FedExExrpessEarnedDiscount))*'3Day Base'!E63),2),ROUND(MinBase3Day*(1+ExpressFuelSurcharge),2),ROUND(((1-(ThreeDayDiscount_21_Up+FedExExrpessEarnedDiscount))*'3Day Base'!E63)*(1+ExpressFuelSurcharge),2))*(1+FedEx_Markup),2)</f>
        <v>136.24</v>
      </c>
      <c r="F66" s="218">
        <f>ROUND(IF(MinBase3Day&gt;ROUND(((1-(ThreeDayDiscount_21_Up+FedExExrpessEarnedDiscount))*'3Day Base'!F63),2),ROUND(MinBase3Day*(1+ExpressFuelSurcharge),2),ROUND(((1-(ThreeDayDiscount_21_Up+FedExExrpessEarnedDiscount))*'3Day Base'!F63)*(1+ExpressFuelSurcharge),2))*(1+FedEx_Markup),2)</f>
        <v>181.45</v>
      </c>
      <c r="G66" s="218">
        <f>ROUND(IF(MinBase3Day&gt;ROUND(((1-(ThreeDayDiscount_21_Up+FedExExrpessEarnedDiscount))*'3Day Base'!G63),2),ROUND(MinBase3Day*(1+ExpressFuelSurcharge),2),ROUND(((1-(ThreeDayDiscount_21_Up+FedExExrpessEarnedDiscount))*'3Day Base'!G63)*(1+ExpressFuelSurcharge),2))*(1+FedEx_Markup),2)</f>
        <v>213.04</v>
      </c>
      <c r="H66" s="218">
        <f>ROUND(IF(MinBase3Day&gt;ROUND(((1-(ThreeDayDiscount_21_Up+FedExExrpessEarnedDiscount))*'3Day Base'!H63),2),ROUND(MinBase3Day*(1+ExpressFuelSurcharge),2),ROUND(((1-(ThreeDayDiscount_21_Up+FedExExrpessEarnedDiscount))*'3Day Base'!H63)*(1+ExpressFuelSurcharge),2))*(1+FedEx_Markup),2)</f>
        <v>240.38</v>
      </c>
    </row>
    <row r="67" spans="1:8" ht="12.75" customHeight="1">
      <c r="A67" s="217">
        <v>62</v>
      </c>
      <c r="B67" s="218">
        <f>ROUND(IF(MinBase3Day&gt;ROUND(((1-(ThreeDayDiscount_21_Up+FedExExrpessEarnedDiscount))*'3Day Base'!B64),2),ROUND(MinBase3Day*(1+ExpressFuelSurcharge),2),ROUND(((1-(ThreeDayDiscount_21_Up+FedExExrpessEarnedDiscount))*'3Day Base'!B64)*(1+ExpressFuelSurcharge),2))*(1+FedEx_Markup),2)</f>
        <v>64.069999999999993</v>
      </c>
      <c r="C67" s="218">
        <f>ROUND(IF(MinBase3Day&gt;ROUND(((1-(ThreeDayDiscount_21_Up+FedExExrpessEarnedDiscount))*'3Day Base'!C64),2),ROUND(MinBase3Day*(1+ExpressFuelSurcharge),2),ROUND(((1-(ThreeDayDiscount_21_Up+FedExExrpessEarnedDiscount))*'3Day Base'!C64)*(1+ExpressFuelSurcharge),2))*(1+FedEx_Markup),2)</f>
        <v>78.58</v>
      </c>
      <c r="D67" s="218">
        <f>ROUND(IF(MinBase3Day&gt;ROUND(((1-(ThreeDayDiscount_21_Up+FedExExrpessEarnedDiscount))*'3Day Base'!D64),2),ROUND(MinBase3Day*(1+ExpressFuelSurcharge),2),ROUND(((1-(ThreeDayDiscount_21_Up+FedExExrpessEarnedDiscount))*'3Day Base'!D64)*(1+ExpressFuelSurcharge),2))*(1+FedEx_Markup),2)</f>
        <v>100.08</v>
      </c>
      <c r="E67" s="218">
        <f>ROUND(IF(MinBase3Day&gt;ROUND(((1-(ThreeDayDiscount_21_Up+FedExExrpessEarnedDiscount))*'3Day Base'!E64),2),ROUND(MinBase3Day*(1+ExpressFuelSurcharge),2),ROUND(((1-(ThreeDayDiscount_21_Up+FedExExrpessEarnedDiscount))*'3Day Base'!E64)*(1+ExpressFuelSurcharge),2))*(1+FedEx_Markup),2)</f>
        <v>138.12</v>
      </c>
      <c r="F67" s="218">
        <f>ROUND(IF(MinBase3Day&gt;ROUND(((1-(ThreeDayDiscount_21_Up+FedExExrpessEarnedDiscount))*'3Day Base'!F64),2),ROUND(MinBase3Day*(1+ExpressFuelSurcharge),2),ROUND(((1-(ThreeDayDiscount_21_Up+FedExExrpessEarnedDiscount))*'3Day Base'!F64)*(1+ExpressFuelSurcharge),2))*(1+FedEx_Markup),2)</f>
        <v>190.5</v>
      </c>
      <c r="G67" s="218">
        <f>ROUND(IF(MinBase3Day&gt;ROUND(((1-(ThreeDayDiscount_21_Up+FedExExrpessEarnedDiscount))*'3Day Base'!G64),2),ROUND(MinBase3Day*(1+ExpressFuelSurcharge),2),ROUND(((1-(ThreeDayDiscount_21_Up+FedExExrpessEarnedDiscount))*'3Day Base'!G64)*(1+ExpressFuelSurcharge),2))*(1+FedEx_Markup),2)</f>
        <v>216.71</v>
      </c>
      <c r="H67" s="218">
        <f>ROUND(IF(MinBase3Day&gt;ROUND(((1-(ThreeDayDiscount_21_Up+FedExExrpessEarnedDiscount))*'3Day Base'!H64),2),ROUND(MinBase3Day*(1+ExpressFuelSurcharge),2),ROUND(((1-(ThreeDayDiscount_21_Up+FedExExrpessEarnedDiscount))*'3Day Base'!H64)*(1+ExpressFuelSurcharge),2))*(1+FedEx_Markup),2)</f>
        <v>240.79</v>
      </c>
    </row>
    <row r="68" spans="1:8" ht="12.75" customHeight="1">
      <c r="A68" s="217">
        <v>63</v>
      </c>
      <c r="B68" s="218">
        <f>ROUND(IF(MinBase3Day&gt;ROUND(((1-(ThreeDayDiscount_21_Up+FedExExrpessEarnedDiscount))*'3Day Base'!B65),2),ROUND(MinBase3Day*(1+ExpressFuelSurcharge),2),ROUND(((1-(ThreeDayDiscount_21_Up+FedExExrpessEarnedDiscount))*'3Day Base'!B65)*(1+ExpressFuelSurcharge),2))*(1+FedEx_Markup),2)</f>
        <v>64.78</v>
      </c>
      <c r="C68" s="218">
        <f>ROUND(IF(MinBase3Day&gt;ROUND(((1-(ThreeDayDiscount_21_Up+FedExExrpessEarnedDiscount))*'3Day Base'!C65),2),ROUND(MinBase3Day*(1+ExpressFuelSurcharge),2),ROUND(((1-(ThreeDayDiscount_21_Up+FedExExrpessEarnedDiscount))*'3Day Base'!C65)*(1+ExpressFuelSurcharge),2))*(1+FedEx_Markup),2)</f>
        <v>78.87</v>
      </c>
      <c r="D68" s="218">
        <f>ROUND(IF(MinBase3Day&gt;ROUND(((1-(ThreeDayDiscount_21_Up+FedExExrpessEarnedDiscount))*'3Day Base'!D65),2),ROUND(MinBase3Day*(1+ExpressFuelSurcharge),2),ROUND(((1-(ThreeDayDiscount_21_Up+FedExExrpessEarnedDiscount))*'3Day Base'!D65)*(1+ExpressFuelSurcharge),2))*(1+FedEx_Markup),2)</f>
        <v>100.41</v>
      </c>
      <c r="E68" s="218">
        <f>ROUND(IF(MinBase3Day&gt;ROUND(((1-(ThreeDayDiscount_21_Up+FedExExrpessEarnedDiscount))*'3Day Base'!E65),2),ROUND(MinBase3Day*(1+ExpressFuelSurcharge),2),ROUND(((1-(ThreeDayDiscount_21_Up+FedExExrpessEarnedDiscount))*'3Day Base'!E65)*(1+ExpressFuelSurcharge),2))*(1+FedEx_Markup),2)</f>
        <v>140.28</v>
      </c>
      <c r="F68" s="218">
        <f>ROUND(IF(MinBase3Day&gt;ROUND(((1-(ThreeDayDiscount_21_Up+FedExExrpessEarnedDiscount))*'3Day Base'!F65),2),ROUND(MinBase3Day*(1+ExpressFuelSurcharge),2),ROUND(((1-(ThreeDayDiscount_21_Up+FedExExrpessEarnedDiscount))*'3Day Base'!F65)*(1+ExpressFuelSurcharge),2))*(1+FedEx_Markup),2)</f>
        <v>196.45</v>
      </c>
      <c r="G68" s="218">
        <f>ROUND(IF(MinBase3Day&gt;ROUND(((1-(ThreeDayDiscount_21_Up+FedExExrpessEarnedDiscount))*'3Day Base'!G65),2),ROUND(MinBase3Day*(1+ExpressFuelSurcharge),2),ROUND(((1-(ThreeDayDiscount_21_Up+FedExExrpessEarnedDiscount))*'3Day Base'!G65)*(1+ExpressFuelSurcharge),2))*(1+FedEx_Markup),2)</f>
        <v>220.18</v>
      </c>
      <c r="H68" s="218">
        <f>ROUND(IF(MinBase3Day&gt;ROUND(((1-(ThreeDayDiscount_21_Up+FedExExrpessEarnedDiscount))*'3Day Base'!H65),2),ROUND(MinBase3Day*(1+ExpressFuelSurcharge),2),ROUND(((1-(ThreeDayDiscount_21_Up+FedExExrpessEarnedDiscount))*'3Day Base'!H65)*(1+ExpressFuelSurcharge),2))*(1+FedEx_Markup),2)</f>
        <v>248.34</v>
      </c>
    </row>
    <row r="69" spans="1:8" ht="12.75" customHeight="1">
      <c r="A69" s="217">
        <v>64</v>
      </c>
      <c r="B69" s="218">
        <f>ROUND(IF(MinBase3Day&gt;ROUND(((1-(ThreeDayDiscount_21_Up+FedExExrpessEarnedDiscount))*'3Day Base'!B66),2),ROUND(MinBase3Day*(1+ExpressFuelSurcharge),2),ROUND(((1-(ThreeDayDiscount_21_Up+FedExExrpessEarnedDiscount))*'3Day Base'!B66)*(1+ExpressFuelSurcharge),2))*(1+FedEx_Markup),2)</f>
        <v>66.36</v>
      </c>
      <c r="C69" s="218">
        <f>ROUND(IF(MinBase3Day&gt;ROUND(((1-(ThreeDayDiscount_21_Up+FedExExrpessEarnedDiscount))*'3Day Base'!C66),2),ROUND(MinBase3Day*(1+ExpressFuelSurcharge),2),ROUND(((1-(ThreeDayDiscount_21_Up+FedExExrpessEarnedDiscount))*'3Day Base'!C66)*(1+ExpressFuelSurcharge),2))*(1+FedEx_Markup),2)</f>
        <v>80.400000000000006</v>
      </c>
      <c r="D69" s="218">
        <f>ROUND(IF(MinBase3Day&gt;ROUND(((1-(ThreeDayDiscount_21_Up+FedExExrpessEarnedDiscount))*'3Day Base'!D66),2),ROUND(MinBase3Day*(1+ExpressFuelSurcharge),2),ROUND(((1-(ThreeDayDiscount_21_Up+FedExExrpessEarnedDiscount))*'3Day Base'!D66)*(1+ExpressFuelSurcharge),2))*(1+FedEx_Markup),2)</f>
        <v>100.71</v>
      </c>
      <c r="E69" s="218">
        <f>ROUND(IF(MinBase3Day&gt;ROUND(((1-(ThreeDayDiscount_21_Up+FedExExrpessEarnedDiscount))*'3Day Base'!E66),2),ROUND(MinBase3Day*(1+ExpressFuelSurcharge),2),ROUND(((1-(ThreeDayDiscount_21_Up+FedExExrpessEarnedDiscount))*'3Day Base'!E66)*(1+ExpressFuelSurcharge),2))*(1+FedEx_Markup),2)</f>
        <v>142.15</v>
      </c>
      <c r="F69" s="218">
        <f>ROUND(IF(MinBase3Day&gt;ROUND(((1-(ThreeDayDiscount_21_Up+FedExExrpessEarnedDiscount))*'3Day Base'!F66),2),ROUND(MinBase3Day*(1+ExpressFuelSurcharge),2),ROUND(((1-(ThreeDayDiscount_21_Up+FedExExrpessEarnedDiscount))*'3Day Base'!F66)*(1+ExpressFuelSurcharge),2))*(1+FedEx_Markup),2)</f>
        <v>199.54</v>
      </c>
      <c r="G69" s="218">
        <f>ROUND(IF(MinBase3Day&gt;ROUND(((1-(ThreeDayDiscount_21_Up+FedExExrpessEarnedDiscount))*'3Day Base'!G66),2),ROUND(MinBase3Day*(1+ExpressFuelSurcharge),2),ROUND(((1-(ThreeDayDiscount_21_Up+FedExExrpessEarnedDiscount))*'3Day Base'!G66)*(1+ExpressFuelSurcharge),2))*(1+FedEx_Markup),2)</f>
        <v>223.66</v>
      </c>
      <c r="H69" s="218">
        <f>ROUND(IF(MinBase3Day&gt;ROUND(((1-(ThreeDayDiscount_21_Up+FedExExrpessEarnedDiscount))*'3Day Base'!H66),2),ROUND(MinBase3Day*(1+ExpressFuelSurcharge),2),ROUND(((1-(ThreeDayDiscount_21_Up+FedExExrpessEarnedDiscount))*'3Day Base'!H66)*(1+ExpressFuelSurcharge),2))*(1+FedEx_Markup),2)</f>
        <v>252.3</v>
      </c>
    </row>
    <row r="70" spans="1:8" ht="12.75" customHeight="1">
      <c r="A70" s="217">
        <v>65</v>
      </c>
      <c r="B70" s="218">
        <f>ROUND(IF(MinBase3Day&gt;ROUND(((1-(ThreeDayDiscount_21_Up+FedExExrpessEarnedDiscount))*'3Day Base'!B67),2),ROUND(MinBase3Day*(1+ExpressFuelSurcharge),2),ROUND(((1-(ThreeDayDiscount_21_Up+FedExExrpessEarnedDiscount))*'3Day Base'!B67)*(1+ExpressFuelSurcharge),2))*(1+FedEx_Markup),2)</f>
        <v>66.63</v>
      </c>
      <c r="C70" s="218">
        <f>ROUND(IF(MinBase3Day&gt;ROUND(((1-(ThreeDayDiscount_21_Up+FedExExrpessEarnedDiscount))*'3Day Base'!C67),2),ROUND(MinBase3Day*(1+ExpressFuelSurcharge),2),ROUND(((1-(ThreeDayDiscount_21_Up+FedExExrpessEarnedDiscount))*'3Day Base'!C67)*(1+ExpressFuelSurcharge),2))*(1+FedEx_Markup),2)</f>
        <v>82.52</v>
      </c>
      <c r="D70" s="218">
        <f>ROUND(IF(MinBase3Day&gt;ROUND(((1-(ThreeDayDiscount_21_Up+FedExExrpessEarnedDiscount))*'3Day Base'!D67),2),ROUND(MinBase3Day*(1+ExpressFuelSurcharge),2),ROUND(((1-(ThreeDayDiscount_21_Up+FedExExrpessEarnedDiscount))*'3Day Base'!D67)*(1+ExpressFuelSurcharge),2))*(1+FedEx_Markup),2)</f>
        <v>103.21</v>
      </c>
      <c r="E70" s="218">
        <f>ROUND(IF(MinBase3Day&gt;ROUND(((1-(ThreeDayDiscount_21_Up+FedExExrpessEarnedDiscount))*'3Day Base'!E67),2),ROUND(MinBase3Day*(1+ExpressFuelSurcharge),2),ROUND(((1-(ThreeDayDiscount_21_Up+FedExExrpessEarnedDiscount))*'3Day Base'!E67)*(1+ExpressFuelSurcharge),2))*(1+FedEx_Markup),2)</f>
        <v>143.63999999999999</v>
      </c>
      <c r="F70" s="218">
        <f>ROUND(IF(MinBase3Day&gt;ROUND(((1-(ThreeDayDiscount_21_Up+FedExExrpessEarnedDiscount))*'3Day Base'!F67),2),ROUND(MinBase3Day*(1+ExpressFuelSurcharge),2),ROUND(((1-(ThreeDayDiscount_21_Up+FedExExrpessEarnedDiscount))*'3Day Base'!F67)*(1+ExpressFuelSurcharge),2))*(1+FedEx_Markup),2)</f>
        <v>199.88</v>
      </c>
      <c r="G70" s="218">
        <f>ROUND(IF(MinBase3Day&gt;ROUND(((1-(ThreeDayDiscount_21_Up+FedExExrpessEarnedDiscount))*'3Day Base'!G67),2),ROUND(MinBase3Day*(1+ExpressFuelSurcharge),2),ROUND(((1-(ThreeDayDiscount_21_Up+FedExExrpessEarnedDiscount))*'3Day Base'!G67)*(1+ExpressFuelSurcharge),2))*(1+FedEx_Markup),2)</f>
        <v>227.11</v>
      </c>
      <c r="H70" s="218">
        <f>ROUND(IF(MinBase3Day&gt;ROUND(((1-(ThreeDayDiscount_21_Up+FedExExrpessEarnedDiscount))*'3Day Base'!H67),2),ROUND(MinBase3Day*(1+ExpressFuelSurcharge),2),ROUND(((1-(ThreeDayDiscount_21_Up+FedExExrpessEarnedDiscount))*'3Day Base'!H67)*(1+ExpressFuelSurcharge),2))*(1+FedEx_Markup),2)</f>
        <v>258.3</v>
      </c>
    </row>
    <row r="71" spans="1:8" ht="12.75" customHeight="1">
      <c r="A71" s="217">
        <v>66</v>
      </c>
      <c r="B71" s="218">
        <f>ROUND(IF(MinBase3Day&gt;ROUND(((1-(ThreeDayDiscount_21_Up+FedExExrpessEarnedDiscount))*'3Day Base'!B68),2),ROUND(MinBase3Day*(1+ExpressFuelSurcharge),2),ROUND(((1-(ThreeDayDiscount_21_Up+FedExExrpessEarnedDiscount))*'3Day Base'!B68)*(1+ExpressFuelSurcharge),2))*(1+FedEx_Markup),2)</f>
        <v>66.930000000000007</v>
      </c>
      <c r="C71" s="218">
        <f>ROUND(IF(MinBase3Day&gt;ROUND(((1-(ThreeDayDiscount_21_Up+FedExExrpessEarnedDiscount))*'3Day Base'!C68),2),ROUND(MinBase3Day*(1+ExpressFuelSurcharge),2),ROUND(((1-(ThreeDayDiscount_21_Up+FedExExrpessEarnedDiscount))*'3Day Base'!C68)*(1+ExpressFuelSurcharge),2))*(1+FedEx_Markup),2)</f>
        <v>82.82</v>
      </c>
      <c r="D71" s="218">
        <f>ROUND(IF(MinBase3Day&gt;ROUND(((1-(ThreeDayDiscount_21_Up+FedExExrpessEarnedDiscount))*'3Day Base'!D68),2),ROUND(MinBase3Day*(1+ExpressFuelSurcharge),2),ROUND(((1-(ThreeDayDiscount_21_Up+FedExExrpessEarnedDiscount))*'3Day Base'!D68)*(1+ExpressFuelSurcharge),2))*(1+FedEx_Markup),2)</f>
        <v>104.36</v>
      </c>
      <c r="E71" s="218">
        <f>ROUND(IF(MinBase3Day&gt;ROUND(((1-(ThreeDayDiscount_21_Up+FedExExrpessEarnedDiscount))*'3Day Base'!E68),2),ROUND(MinBase3Day*(1+ExpressFuelSurcharge),2),ROUND(((1-(ThreeDayDiscount_21_Up+FedExExrpessEarnedDiscount))*'3Day Base'!E68)*(1+ExpressFuelSurcharge),2))*(1+FedEx_Markup),2)</f>
        <v>143.97999999999999</v>
      </c>
      <c r="F71" s="218">
        <f>ROUND(IF(MinBase3Day&gt;ROUND(((1-(ThreeDayDiscount_21_Up+FedExExrpessEarnedDiscount))*'3Day Base'!F68),2),ROUND(MinBase3Day*(1+ExpressFuelSurcharge),2),ROUND(((1-(ThreeDayDiscount_21_Up+FedExExrpessEarnedDiscount))*'3Day Base'!F68)*(1+ExpressFuelSurcharge),2))*(1+FedEx_Markup),2)</f>
        <v>201.25</v>
      </c>
      <c r="G71" s="218">
        <f>ROUND(IF(MinBase3Day&gt;ROUND(((1-(ThreeDayDiscount_21_Up+FedExExrpessEarnedDiscount))*'3Day Base'!G68),2),ROUND(MinBase3Day*(1+ExpressFuelSurcharge),2),ROUND(((1-(ThreeDayDiscount_21_Up+FedExExrpessEarnedDiscount))*'3Day Base'!G68)*(1+ExpressFuelSurcharge),2))*(1+FedEx_Markup),2)</f>
        <v>227.46</v>
      </c>
      <c r="H71" s="218">
        <f>ROUND(IF(MinBase3Day&gt;ROUND(((1-(ThreeDayDiscount_21_Up+FedExExrpessEarnedDiscount))*'3Day Base'!H68),2),ROUND(MinBase3Day*(1+ExpressFuelSurcharge),2),ROUND(((1-(ThreeDayDiscount_21_Up+FedExExrpessEarnedDiscount))*'3Day Base'!H68)*(1+ExpressFuelSurcharge),2))*(1+FedEx_Markup),2)</f>
        <v>263.79000000000002</v>
      </c>
    </row>
    <row r="72" spans="1:8" ht="12.75" customHeight="1">
      <c r="A72" s="217">
        <v>67</v>
      </c>
      <c r="B72" s="218">
        <f>ROUND(IF(MinBase3Day&gt;ROUND(((1-(ThreeDayDiscount_21_Up+FedExExrpessEarnedDiscount))*'3Day Base'!B69),2),ROUND(MinBase3Day*(1+ExpressFuelSurcharge),2),ROUND(((1-(ThreeDayDiscount_21_Up+FedExExrpessEarnedDiscount))*'3Day Base'!B69)*(1+ExpressFuelSurcharge),2))*(1+FedEx_Markup),2)</f>
        <v>67.209999999999994</v>
      </c>
      <c r="C72" s="218">
        <f>ROUND(IF(MinBase3Day&gt;ROUND(((1-(ThreeDayDiscount_21_Up+FedExExrpessEarnedDiscount))*'3Day Base'!C69),2),ROUND(MinBase3Day*(1+ExpressFuelSurcharge),2),ROUND(((1-(ThreeDayDiscount_21_Up+FedExExrpessEarnedDiscount))*'3Day Base'!C69)*(1+ExpressFuelSurcharge),2))*(1+FedEx_Markup),2)</f>
        <v>84.48</v>
      </c>
      <c r="D72" s="218">
        <f>ROUND(IF(MinBase3Day&gt;ROUND(((1-(ThreeDayDiscount_21_Up+FedExExrpessEarnedDiscount))*'3Day Base'!D69),2),ROUND(MinBase3Day*(1+ExpressFuelSurcharge),2),ROUND(((1-(ThreeDayDiscount_21_Up+FedExExrpessEarnedDiscount))*'3Day Base'!D69)*(1+ExpressFuelSurcharge),2))*(1+FedEx_Markup),2)</f>
        <v>104.63</v>
      </c>
      <c r="E72" s="218">
        <f>ROUND(IF(MinBase3Day&gt;ROUND(((1-(ThreeDayDiscount_21_Up+FedExExrpessEarnedDiscount))*'3Day Base'!E69),2),ROUND(MinBase3Day*(1+ExpressFuelSurcharge),2),ROUND(((1-(ThreeDayDiscount_21_Up+FedExExrpessEarnedDiscount))*'3Day Base'!E69)*(1+ExpressFuelSurcharge),2))*(1+FedEx_Markup),2)</f>
        <v>144.33000000000001</v>
      </c>
      <c r="F72" s="218">
        <f>ROUND(IF(MinBase3Day&gt;ROUND(((1-(ThreeDayDiscount_21_Up+FedExExrpessEarnedDiscount))*'3Day Base'!F69),2),ROUND(MinBase3Day*(1+ExpressFuelSurcharge),2),ROUND(((1-(ThreeDayDiscount_21_Up+FedExExrpessEarnedDiscount))*'3Day Base'!F69)*(1+ExpressFuelSurcharge),2))*(1+FedEx_Markup),2)</f>
        <v>201.61</v>
      </c>
      <c r="G72" s="218">
        <f>ROUND(IF(MinBase3Day&gt;ROUND(((1-(ThreeDayDiscount_21_Up+FedExExrpessEarnedDiscount))*'3Day Base'!G69),2),ROUND(MinBase3Day*(1+ExpressFuelSurcharge),2),ROUND(((1-(ThreeDayDiscount_21_Up+FedExExrpessEarnedDiscount))*'3Day Base'!G69)*(1+ExpressFuelSurcharge),2))*(1+FedEx_Markup),2)</f>
        <v>230.58</v>
      </c>
      <c r="H72" s="218">
        <f>ROUND(IF(MinBase3Day&gt;ROUND(((1-(ThreeDayDiscount_21_Up+FedExExrpessEarnedDiscount))*'3Day Base'!H69),2),ROUND(MinBase3Day*(1+ExpressFuelSurcharge),2),ROUND(((1-(ThreeDayDiscount_21_Up+FedExExrpessEarnedDiscount))*'3Day Base'!H69)*(1+ExpressFuelSurcharge),2))*(1+FedEx_Markup),2)</f>
        <v>264.33999999999997</v>
      </c>
    </row>
    <row r="73" spans="1:8" ht="12.75" customHeight="1">
      <c r="A73" s="217">
        <v>68</v>
      </c>
      <c r="B73" s="218">
        <f>ROUND(IF(MinBase3Day&gt;ROUND(((1-(ThreeDayDiscount_21_Up+FedExExrpessEarnedDiscount))*'3Day Base'!B70),2),ROUND(MinBase3Day*(1+ExpressFuelSurcharge),2),ROUND(((1-(ThreeDayDiscount_21_Up+FedExExrpessEarnedDiscount))*'3Day Base'!B70)*(1+ExpressFuelSurcharge),2))*(1+FedEx_Markup),2)</f>
        <v>67.489999999999995</v>
      </c>
      <c r="C73" s="218">
        <f>ROUND(IF(MinBase3Day&gt;ROUND(((1-(ThreeDayDiscount_21_Up+FedExExrpessEarnedDiscount))*'3Day Base'!C70),2),ROUND(MinBase3Day*(1+ExpressFuelSurcharge),2),ROUND(((1-(ThreeDayDiscount_21_Up+FedExExrpessEarnedDiscount))*'3Day Base'!C70)*(1+ExpressFuelSurcharge),2))*(1+FedEx_Markup),2)</f>
        <v>85.17</v>
      </c>
      <c r="D73" s="218">
        <f>ROUND(IF(MinBase3Day&gt;ROUND(((1-(ThreeDayDiscount_21_Up+FedExExrpessEarnedDiscount))*'3Day Base'!D70),2),ROUND(MinBase3Day*(1+ExpressFuelSurcharge),2),ROUND(((1-(ThreeDayDiscount_21_Up+FedExExrpessEarnedDiscount))*'3Day Base'!D70)*(1+ExpressFuelSurcharge),2))*(1+FedEx_Markup),2)</f>
        <v>107.54</v>
      </c>
      <c r="E73" s="218">
        <f>ROUND(IF(MinBase3Day&gt;ROUND(((1-(ThreeDayDiscount_21_Up+FedExExrpessEarnedDiscount))*'3Day Base'!E70),2),ROUND(MinBase3Day*(1+ExpressFuelSurcharge),2),ROUND(((1-(ThreeDayDiscount_21_Up+FedExExrpessEarnedDiscount))*'3Day Base'!E70)*(1+ExpressFuelSurcharge),2))*(1+FedEx_Markup),2)</f>
        <v>149.85</v>
      </c>
      <c r="F73" s="218">
        <f>ROUND(IF(MinBase3Day&gt;ROUND(((1-(ThreeDayDiscount_21_Up+FedExExrpessEarnedDiscount))*'3Day Base'!F70),2),ROUND(MinBase3Day*(1+ExpressFuelSurcharge),2),ROUND(((1-(ThreeDayDiscount_21_Up+FedExExrpessEarnedDiscount))*'3Day Base'!F70)*(1+ExpressFuelSurcharge),2))*(1+FedEx_Markup),2)</f>
        <v>201.95</v>
      </c>
      <c r="G73" s="218">
        <f>ROUND(IF(MinBase3Day&gt;ROUND(((1-(ThreeDayDiscount_21_Up+FedExExrpessEarnedDiscount))*'3Day Base'!G70),2),ROUND(MinBase3Day*(1+ExpressFuelSurcharge),2),ROUND(((1-(ThreeDayDiscount_21_Up+FedExExrpessEarnedDiscount))*'3Day Base'!G70)*(1+ExpressFuelSurcharge),2))*(1+FedEx_Markup),2)</f>
        <v>230.91</v>
      </c>
      <c r="H73" s="218">
        <f>ROUND(IF(MinBase3Day&gt;ROUND(((1-(ThreeDayDiscount_21_Up+FedExExrpessEarnedDiscount))*'3Day Base'!H70),2),ROUND(MinBase3Day*(1+ExpressFuelSurcharge),2),ROUND(((1-(ThreeDayDiscount_21_Up+FedExExrpessEarnedDiscount))*'3Day Base'!H70)*(1+ExpressFuelSurcharge),2))*(1+FedEx_Markup),2)</f>
        <v>275.3</v>
      </c>
    </row>
    <row r="74" spans="1:8" ht="12.75" customHeight="1">
      <c r="A74" s="217">
        <v>69</v>
      </c>
      <c r="B74" s="218">
        <f>ROUND(IF(MinBase3Day&gt;ROUND(((1-(ThreeDayDiscount_21_Up+FedExExrpessEarnedDiscount))*'3Day Base'!B71),2),ROUND(MinBase3Day*(1+ExpressFuelSurcharge),2),ROUND(((1-(ThreeDayDiscount_21_Up+FedExExrpessEarnedDiscount))*'3Day Base'!B71)*(1+ExpressFuelSurcharge),2))*(1+FedEx_Markup),2)</f>
        <v>67.78</v>
      </c>
      <c r="C74" s="218">
        <f>ROUND(IF(MinBase3Day&gt;ROUND(((1-(ThreeDayDiscount_21_Up+FedExExrpessEarnedDiscount))*'3Day Base'!C71),2),ROUND(MinBase3Day*(1+ExpressFuelSurcharge),2),ROUND(((1-(ThreeDayDiscount_21_Up+FedExExrpessEarnedDiscount))*'3Day Base'!C71)*(1+ExpressFuelSurcharge),2))*(1+FedEx_Markup),2)</f>
        <v>86.89</v>
      </c>
      <c r="D74" s="218">
        <f>ROUND(IF(MinBase3Day&gt;ROUND(((1-(ThreeDayDiscount_21_Up+FedExExrpessEarnedDiscount))*'3Day Base'!D71),2),ROUND(MinBase3Day*(1+ExpressFuelSurcharge),2),ROUND(((1-(ThreeDayDiscount_21_Up+FedExExrpessEarnedDiscount))*'3Day Base'!D71)*(1+ExpressFuelSurcharge),2))*(1+FedEx_Markup),2)</f>
        <v>107.84</v>
      </c>
      <c r="E74" s="218">
        <f>ROUND(IF(MinBase3Day&gt;ROUND(((1-(ThreeDayDiscount_21_Up+FedExExrpessEarnedDiscount))*'3Day Base'!E71),2),ROUND(MinBase3Day*(1+ExpressFuelSurcharge),2),ROUND(((1-(ThreeDayDiscount_21_Up+FedExExrpessEarnedDiscount))*'3Day Base'!E71)*(1+ExpressFuelSurcharge),2))*(1+FedEx_Markup),2)</f>
        <v>150.41</v>
      </c>
      <c r="F74" s="218">
        <f>ROUND(IF(MinBase3Day&gt;ROUND(((1-(ThreeDayDiscount_21_Up+FedExExrpessEarnedDiscount))*'3Day Base'!F71),2),ROUND(MinBase3Day*(1+ExpressFuelSurcharge),2),ROUND(((1-(ThreeDayDiscount_21_Up+FedExExrpessEarnedDiscount))*'3Day Base'!F71)*(1+ExpressFuelSurcharge),2))*(1+FedEx_Markup),2)</f>
        <v>202.31</v>
      </c>
      <c r="G74" s="218">
        <f>ROUND(IF(MinBase3Day&gt;ROUND(((1-(ThreeDayDiscount_21_Up+FedExExrpessEarnedDiscount))*'3Day Base'!G71),2),ROUND(MinBase3Day*(1+ExpressFuelSurcharge),2),ROUND(((1-(ThreeDayDiscount_21_Up+FedExExrpessEarnedDiscount))*'3Day Base'!G71)*(1+ExpressFuelSurcharge),2))*(1+FedEx_Markup),2)</f>
        <v>231.41</v>
      </c>
      <c r="H74" s="218">
        <f>ROUND(IF(MinBase3Day&gt;ROUND(((1-(ThreeDayDiscount_21_Up+FedExExrpessEarnedDiscount))*'3Day Base'!H71),2),ROUND(MinBase3Day*(1+ExpressFuelSurcharge),2),ROUND(((1-(ThreeDayDiscount_21_Up+FedExExrpessEarnedDiscount))*'3Day Base'!H71)*(1+ExpressFuelSurcharge),2))*(1+FedEx_Markup),2)</f>
        <v>276.39</v>
      </c>
    </row>
    <row r="75" spans="1:8" ht="12.75" customHeight="1">
      <c r="A75" s="217">
        <v>70</v>
      </c>
      <c r="B75" s="218">
        <f>ROUND(IF(MinBase3Day&gt;ROUND(((1-(ThreeDayDiscount_21_Up+FedExExrpessEarnedDiscount))*'3Day Base'!B72),2),ROUND(MinBase3Day*(1+ExpressFuelSurcharge),2),ROUND(((1-(ThreeDayDiscount_21_Up+FedExExrpessEarnedDiscount))*'3Day Base'!B72)*(1+ExpressFuelSurcharge),2))*(1+FedEx_Markup),2)</f>
        <v>69.45</v>
      </c>
      <c r="C75" s="218">
        <f>ROUND(IF(MinBase3Day&gt;ROUND(((1-(ThreeDayDiscount_21_Up+FedExExrpessEarnedDiscount))*'3Day Base'!C72),2),ROUND(MinBase3Day*(1+ExpressFuelSurcharge),2),ROUND(((1-(ThreeDayDiscount_21_Up+FedExExrpessEarnedDiscount))*'3Day Base'!C72)*(1+ExpressFuelSurcharge),2))*(1+FedEx_Markup),2)</f>
        <v>89.34</v>
      </c>
      <c r="D75" s="218">
        <f>ROUND(IF(MinBase3Day&gt;ROUND(((1-(ThreeDayDiscount_21_Up+FedExExrpessEarnedDiscount))*'3Day Base'!D72),2),ROUND(MinBase3Day*(1+ExpressFuelSurcharge),2),ROUND(((1-(ThreeDayDiscount_21_Up+FedExExrpessEarnedDiscount))*'3Day Base'!D72)*(1+ExpressFuelSurcharge),2))*(1+FedEx_Markup),2)</f>
        <v>110.39</v>
      </c>
      <c r="E75" s="218">
        <f>ROUND(IF(MinBase3Day&gt;ROUND(((1-(ThreeDayDiscount_21_Up+FedExExrpessEarnedDiscount))*'3Day Base'!E72),2),ROUND(MinBase3Day*(1+ExpressFuelSurcharge),2),ROUND(((1-(ThreeDayDiscount_21_Up+FedExExrpessEarnedDiscount))*'3Day Base'!E72)*(1+ExpressFuelSurcharge),2))*(1+FedEx_Markup),2)</f>
        <v>154.19999999999999</v>
      </c>
      <c r="F75" s="218">
        <f>ROUND(IF(MinBase3Day&gt;ROUND(((1-(ThreeDayDiscount_21_Up+FedExExrpessEarnedDiscount))*'3Day Base'!F72),2),ROUND(MinBase3Day*(1+ExpressFuelSurcharge),2),ROUND(((1-(ThreeDayDiscount_21_Up+FedExExrpessEarnedDiscount))*'3Day Base'!F72)*(1+ExpressFuelSurcharge),2))*(1+FedEx_Markup),2)</f>
        <v>202.64</v>
      </c>
      <c r="G75" s="218">
        <f>ROUND(IF(MinBase3Day&gt;ROUND(((1-(ThreeDayDiscount_21_Up+FedExExrpessEarnedDiscount))*'3Day Base'!G72),2),ROUND(MinBase3Day*(1+ExpressFuelSurcharge),2),ROUND(((1-(ThreeDayDiscount_21_Up+FedExExrpessEarnedDiscount))*'3Day Base'!G72)*(1+ExpressFuelSurcharge),2))*(1+FedEx_Markup),2)</f>
        <v>241.3</v>
      </c>
      <c r="H75" s="218">
        <f>ROUND(IF(MinBase3Day&gt;ROUND(((1-(ThreeDayDiscount_21_Up+FedExExrpessEarnedDiscount))*'3Day Base'!H72),2),ROUND(MinBase3Day*(1+ExpressFuelSurcharge),2),ROUND(((1-(ThreeDayDiscount_21_Up+FedExExrpessEarnedDiscount))*'3Day Base'!H72)*(1+ExpressFuelSurcharge),2))*(1+FedEx_Markup),2)</f>
        <v>276.77</v>
      </c>
    </row>
    <row r="76" spans="1:8" ht="12.75" customHeight="1">
      <c r="A76" s="217">
        <v>71</v>
      </c>
      <c r="B76" s="218">
        <f>ROUND(IF(MinBase3Day&gt;ROUND(((1-(ThreeDayDiscount_21_Up+FedExExrpessEarnedDiscount))*'3Day Base'!B73),2),ROUND(MinBase3Day*(1+ExpressFuelSurcharge),2),ROUND(((1-(ThreeDayDiscount_21_Up+FedExExrpessEarnedDiscount))*'3Day Base'!B73)*(1+ExpressFuelSurcharge),2))*(1+FedEx_Markup),2)</f>
        <v>69.760000000000005</v>
      </c>
      <c r="C76" s="218">
        <f>ROUND(IF(MinBase3Day&gt;ROUND(((1-(ThreeDayDiscount_21_Up+FedExExrpessEarnedDiscount))*'3Day Base'!C73),2),ROUND(MinBase3Day*(1+ExpressFuelSurcharge),2),ROUND(((1-(ThreeDayDiscount_21_Up+FedExExrpessEarnedDiscount))*'3Day Base'!C73)*(1+ExpressFuelSurcharge),2))*(1+FedEx_Markup),2)</f>
        <v>89.65</v>
      </c>
      <c r="D76" s="218">
        <f>ROUND(IF(MinBase3Day&gt;ROUND(((1-(ThreeDayDiscount_21_Up+FedExExrpessEarnedDiscount))*'3Day Base'!D73),2),ROUND(MinBase3Day*(1+ExpressFuelSurcharge),2),ROUND(((1-(ThreeDayDiscount_21_Up+FedExExrpessEarnedDiscount))*'3Day Base'!D73)*(1+ExpressFuelSurcharge),2))*(1+FedEx_Markup),2)</f>
        <v>110.65</v>
      </c>
      <c r="E76" s="218">
        <f>ROUND(IF(MinBase3Day&gt;ROUND(((1-(ThreeDayDiscount_21_Up+FedExExrpessEarnedDiscount))*'3Day Base'!E73),2),ROUND(MinBase3Day*(1+ExpressFuelSurcharge),2),ROUND(((1-(ThreeDayDiscount_21_Up+FedExExrpessEarnedDiscount))*'3Day Base'!E73)*(1+ExpressFuelSurcharge),2))*(1+FedEx_Markup),2)</f>
        <v>155.51</v>
      </c>
      <c r="F76" s="218">
        <f>ROUND(IF(MinBase3Day&gt;ROUND(((1-(ThreeDayDiscount_21_Up+FedExExrpessEarnedDiscount))*'3Day Base'!F73),2),ROUND(MinBase3Day*(1+ExpressFuelSurcharge),2),ROUND(((1-(ThreeDayDiscount_21_Up+FedExExrpessEarnedDiscount))*'3Day Base'!F73)*(1+ExpressFuelSurcharge),2))*(1+FedEx_Markup),2)</f>
        <v>203</v>
      </c>
      <c r="G76" s="218">
        <f>ROUND(IF(MinBase3Day&gt;ROUND(((1-(ThreeDayDiscount_21_Up+FedExExrpessEarnedDiscount))*'3Day Base'!G73),2),ROUND(MinBase3Day*(1+ExpressFuelSurcharge),2),ROUND(((1-(ThreeDayDiscount_21_Up+FedExExrpessEarnedDiscount))*'3Day Base'!G73)*(1+ExpressFuelSurcharge),2))*(1+FedEx_Markup),2)</f>
        <v>247.28</v>
      </c>
      <c r="H76" s="218">
        <f>ROUND(IF(MinBase3Day&gt;ROUND(((1-(ThreeDayDiscount_21_Up+FedExExrpessEarnedDiscount))*'3Day Base'!H73),2),ROUND(MinBase3Day*(1+ExpressFuelSurcharge),2),ROUND(((1-(ThreeDayDiscount_21_Up+FedExExrpessEarnedDiscount))*'3Day Base'!H73)*(1+ExpressFuelSurcharge),2))*(1+FedEx_Markup),2)</f>
        <v>283.97000000000003</v>
      </c>
    </row>
    <row r="77" spans="1:8" ht="12.75" customHeight="1">
      <c r="A77" s="217">
        <v>72</v>
      </c>
      <c r="B77" s="218">
        <f>ROUND(IF(MinBase3Day&gt;ROUND(((1-(ThreeDayDiscount_21_Up+FedExExrpessEarnedDiscount))*'3Day Base'!B74),2),ROUND(MinBase3Day*(1+ExpressFuelSurcharge),2),ROUND(((1-(ThreeDayDiscount_21_Up+FedExExrpessEarnedDiscount))*'3Day Base'!B74)*(1+ExpressFuelSurcharge),2))*(1+FedEx_Markup),2)</f>
        <v>71.400000000000006</v>
      </c>
      <c r="C77" s="218">
        <f>ROUND(IF(MinBase3Day&gt;ROUND(((1-(ThreeDayDiscount_21_Up+FedExExrpessEarnedDiscount))*'3Day Base'!C74),2),ROUND(MinBase3Day*(1+ExpressFuelSurcharge),2),ROUND(((1-(ThreeDayDiscount_21_Up+FedExExrpessEarnedDiscount))*'3Day Base'!C74)*(1+ExpressFuelSurcharge),2))*(1+FedEx_Markup),2)</f>
        <v>89.96</v>
      </c>
      <c r="D77" s="218">
        <f>ROUND(IF(MinBase3Day&gt;ROUND(((1-(ThreeDayDiscount_21_Up+FedExExrpessEarnedDiscount))*'3Day Base'!D74),2),ROUND(MinBase3Day*(1+ExpressFuelSurcharge),2),ROUND(((1-(ThreeDayDiscount_21_Up+FedExExrpessEarnedDiscount))*'3Day Base'!D74)*(1+ExpressFuelSurcharge),2))*(1+FedEx_Markup),2)</f>
        <v>110.86</v>
      </c>
      <c r="E77" s="218">
        <f>ROUND(IF(MinBase3Day&gt;ROUND(((1-(ThreeDayDiscount_21_Up+FedExExrpessEarnedDiscount))*'3Day Base'!E74),2),ROUND(MinBase3Day*(1+ExpressFuelSurcharge),2),ROUND(((1-(ThreeDayDiscount_21_Up+FedExExrpessEarnedDiscount))*'3Day Base'!E74)*(1+ExpressFuelSurcharge),2))*(1+FedEx_Markup),2)</f>
        <v>157.68</v>
      </c>
      <c r="F77" s="218">
        <f>ROUND(IF(MinBase3Day&gt;ROUND(((1-(ThreeDayDiscount_21_Up+FedExExrpessEarnedDiscount))*'3Day Base'!F74),2),ROUND(MinBase3Day*(1+ExpressFuelSurcharge),2),ROUND(((1-(ThreeDayDiscount_21_Up+FedExExrpessEarnedDiscount))*'3Day Base'!F74)*(1+ExpressFuelSurcharge),2))*(1+FedEx_Markup),2)</f>
        <v>203.34</v>
      </c>
      <c r="G77" s="218">
        <f>ROUND(IF(MinBase3Day&gt;ROUND(((1-(ThreeDayDiscount_21_Up+FedExExrpessEarnedDiscount))*'3Day Base'!G74),2),ROUND(MinBase3Day*(1+ExpressFuelSurcharge),2),ROUND(((1-(ThreeDayDiscount_21_Up+FedExExrpessEarnedDiscount))*'3Day Base'!G74)*(1+ExpressFuelSurcharge),2))*(1+FedEx_Markup),2)</f>
        <v>249.98</v>
      </c>
      <c r="H77" s="218">
        <f>ROUND(IF(MinBase3Day&gt;ROUND(((1-(ThreeDayDiscount_21_Up+FedExExrpessEarnedDiscount))*'3Day Base'!H74),2),ROUND(MinBase3Day*(1+ExpressFuelSurcharge),2),ROUND(((1-(ThreeDayDiscount_21_Up+FedExExrpessEarnedDiscount))*'3Day Base'!H74)*(1+ExpressFuelSurcharge),2))*(1+FedEx_Markup),2)</f>
        <v>284.69</v>
      </c>
    </row>
    <row r="78" spans="1:8" ht="12.75" customHeight="1">
      <c r="A78" s="217">
        <v>73</v>
      </c>
      <c r="B78" s="218">
        <f>ROUND(IF(MinBase3Day&gt;ROUND(((1-(ThreeDayDiscount_21_Up+FedExExrpessEarnedDiscount))*'3Day Base'!B75),2),ROUND(MinBase3Day*(1+ExpressFuelSurcharge),2),ROUND(((1-(ThreeDayDiscount_21_Up+FedExExrpessEarnedDiscount))*'3Day Base'!B75)*(1+ExpressFuelSurcharge),2))*(1+FedEx_Markup),2)</f>
        <v>71.69</v>
      </c>
      <c r="C78" s="218">
        <f>ROUND(IF(MinBase3Day&gt;ROUND(((1-(ThreeDayDiscount_21_Up+FedExExrpessEarnedDiscount))*'3Day Base'!C75),2),ROUND(MinBase3Day*(1+ExpressFuelSurcharge),2),ROUND(((1-(ThreeDayDiscount_21_Up+FedExExrpessEarnedDiscount))*'3Day Base'!C75)*(1+ExpressFuelSurcharge),2))*(1+FedEx_Markup),2)</f>
        <v>90.28</v>
      </c>
      <c r="D78" s="218">
        <f>ROUND(IF(MinBase3Day&gt;ROUND(((1-(ThreeDayDiscount_21_Up+FedExExrpessEarnedDiscount))*'3Day Base'!D75),2),ROUND(MinBase3Day*(1+ExpressFuelSurcharge),2),ROUND(((1-(ThreeDayDiscount_21_Up+FedExExrpessEarnedDiscount))*'3Day Base'!D75)*(1+ExpressFuelSurcharge),2))*(1+FedEx_Markup),2)</f>
        <v>111.92</v>
      </c>
      <c r="E78" s="218">
        <f>ROUND(IF(MinBase3Day&gt;ROUND(((1-(ThreeDayDiscount_21_Up+FedExExrpessEarnedDiscount))*'3Day Base'!E75),2),ROUND(MinBase3Day*(1+ExpressFuelSurcharge),2),ROUND(((1-(ThreeDayDiscount_21_Up+FedExExrpessEarnedDiscount))*'3Day Base'!E75)*(1+ExpressFuelSurcharge),2))*(1+FedEx_Markup),2)</f>
        <v>158.36000000000001</v>
      </c>
      <c r="F78" s="218">
        <f>ROUND(IF(MinBase3Day&gt;ROUND(((1-(ThreeDayDiscount_21_Up+FedExExrpessEarnedDiscount))*'3Day Base'!F75),2),ROUND(MinBase3Day*(1+ExpressFuelSurcharge),2),ROUND(((1-(ThreeDayDiscount_21_Up+FedExExrpessEarnedDiscount))*'3Day Base'!F75)*(1+ExpressFuelSurcharge),2))*(1+FedEx_Markup),2)</f>
        <v>203.69</v>
      </c>
      <c r="G78" s="218">
        <f>ROUND(IF(MinBase3Day&gt;ROUND(((1-(ThreeDayDiscount_21_Up+FedExExrpessEarnedDiscount))*'3Day Base'!G75),2),ROUND(MinBase3Day*(1+ExpressFuelSurcharge),2),ROUND(((1-(ThreeDayDiscount_21_Up+FedExExrpessEarnedDiscount))*'3Day Base'!G75)*(1+ExpressFuelSurcharge),2))*(1+FedEx_Markup),2)</f>
        <v>250.31</v>
      </c>
      <c r="H78" s="218">
        <f>ROUND(IF(MinBase3Day&gt;ROUND(((1-(ThreeDayDiscount_21_Up+FedExExrpessEarnedDiscount))*'3Day Base'!H75),2),ROUND(MinBase3Day*(1+ExpressFuelSurcharge),2),ROUND(((1-(ThreeDayDiscount_21_Up+FedExExrpessEarnedDiscount))*'3Day Base'!H75)*(1+ExpressFuelSurcharge),2))*(1+FedEx_Markup),2)</f>
        <v>285</v>
      </c>
    </row>
    <row r="79" spans="1:8" ht="12.75" customHeight="1">
      <c r="A79" s="217">
        <v>74</v>
      </c>
      <c r="B79" s="218">
        <f>ROUND(IF(MinBase3Day&gt;ROUND(((1-(ThreeDayDiscount_21_Up+FedExExrpessEarnedDiscount))*'3Day Base'!B76),2),ROUND(MinBase3Day*(1+ExpressFuelSurcharge),2),ROUND(((1-(ThreeDayDiscount_21_Up+FedExExrpessEarnedDiscount))*'3Day Base'!B76)*(1+ExpressFuelSurcharge),2))*(1+FedEx_Markup),2)</f>
        <v>71.97</v>
      </c>
      <c r="C79" s="218">
        <f>ROUND(IF(MinBase3Day&gt;ROUND(((1-(ThreeDayDiscount_21_Up+FedExExrpessEarnedDiscount))*'3Day Base'!C76),2),ROUND(MinBase3Day*(1+ExpressFuelSurcharge),2),ROUND(((1-(ThreeDayDiscount_21_Up+FedExExrpessEarnedDiscount))*'3Day Base'!C76)*(1+ExpressFuelSurcharge),2))*(1+FedEx_Markup),2)</f>
        <v>90.48</v>
      </c>
      <c r="D79" s="218">
        <f>ROUND(IF(MinBase3Day&gt;ROUND(((1-(ThreeDayDiscount_21_Up+FedExExrpessEarnedDiscount))*'3Day Base'!D76),2),ROUND(MinBase3Day*(1+ExpressFuelSurcharge),2),ROUND(((1-(ThreeDayDiscount_21_Up+FedExExrpessEarnedDiscount))*'3Day Base'!D76)*(1+ExpressFuelSurcharge),2))*(1+FedEx_Markup),2)</f>
        <v>112.23</v>
      </c>
      <c r="E79" s="218">
        <f>ROUND(IF(MinBase3Day&gt;ROUND(((1-(ThreeDayDiscount_21_Up+FedExExrpessEarnedDiscount))*'3Day Base'!E76),2),ROUND(MinBase3Day*(1+ExpressFuelSurcharge),2),ROUND(((1-(ThreeDayDiscount_21_Up+FedExExrpessEarnedDiscount))*'3Day Base'!E76)*(1+ExpressFuelSurcharge),2))*(1+FedEx_Markup),2)</f>
        <v>158.56</v>
      </c>
      <c r="F79" s="218">
        <f>ROUND(IF(MinBase3Day&gt;ROUND(((1-(ThreeDayDiscount_21_Up+FedExExrpessEarnedDiscount))*'3Day Base'!F76),2),ROUND(MinBase3Day*(1+ExpressFuelSurcharge),2),ROUND(((1-(ThreeDayDiscount_21_Up+FedExExrpessEarnedDiscount))*'3Day Base'!F76)*(1+ExpressFuelSurcharge),2))*(1+FedEx_Markup),2)</f>
        <v>203.9</v>
      </c>
      <c r="G79" s="218">
        <f>ROUND(IF(MinBase3Day&gt;ROUND(((1-(ThreeDayDiscount_21_Up+FedExExrpessEarnedDiscount))*'3Day Base'!G76),2),ROUND(MinBase3Day*(1+ExpressFuelSurcharge),2),ROUND(((1-(ThreeDayDiscount_21_Up+FedExExrpessEarnedDiscount))*'3Day Base'!G76)*(1+ExpressFuelSurcharge),2))*(1+FedEx_Markup),2)</f>
        <v>250.52</v>
      </c>
      <c r="H79" s="218">
        <f>ROUND(IF(MinBase3Day&gt;ROUND(((1-(ThreeDayDiscount_21_Up+FedExExrpessEarnedDiscount))*'3Day Base'!H76),2),ROUND(MinBase3Day*(1+ExpressFuelSurcharge),2),ROUND(((1-(ThreeDayDiscount_21_Up+FedExExrpessEarnedDiscount))*'3Day Base'!H76)*(1+ExpressFuelSurcharge),2))*(1+FedEx_Markup),2)</f>
        <v>285.32</v>
      </c>
    </row>
    <row r="80" spans="1:8" ht="12.75" customHeight="1">
      <c r="A80" s="217">
        <v>75</v>
      </c>
      <c r="B80" s="218">
        <f>ROUND(IF(MinBase3Day&gt;ROUND(((1-(ThreeDayDiscount_21_Up+FedExExrpessEarnedDiscount))*'3Day Base'!B77),2),ROUND(MinBase3Day*(1+ExpressFuelSurcharge),2),ROUND(((1-(ThreeDayDiscount_21_Up+FedExExrpessEarnedDiscount))*'3Day Base'!B77)*(1+ExpressFuelSurcharge),2))*(1+FedEx_Markup),2)</f>
        <v>72.599999999999994</v>
      </c>
      <c r="C80" s="218">
        <f>ROUND(IF(MinBase3Day&gt;ROUND(((1-(ThreeDayDiscount_21_Up+FedExExrpessEarnedDiscount))*'3Day Base'!C77),2),ROUND(MinBase3Day*(1+ExpressFuelSurcharge),2),ROUND(((1-(ThreeDayDiscount_21_Up+FedExExrpessEarnedDiscount))*'3Day Base'!C77)*(1+ExpressFuelSurcharge),2))*(1+FedEx_Markup),2)</f>
        <v>91.22</v>
      </c>
      <c r="D80" s="218">
        <f>ROUND(IF(MinBase3Day&gt;ROUND(((1-(ThreeDayDiscount_21_Up+FedExExrpessEarnedDiscount))*'3Day Base'!D77),2),ROUND(MinBase3Day*(1+ExpressFuelSurcharge),2),ROUND(((1-(ThreeDayDiscount_21_Up+FedExExrpessEarnedDiscount))*'3Day Base'!D77)*(1+ExpressFuelSurcharge),2))*(1+FedEx_Markup),2)</f>
        <v>112.85</v>
      </c>
      <c r="E80" s="218">
        <f>ROUND(IF(MinBase3Day&gt;ROUND(((1-(ThreeDayDiscount_21_Up+FedExExrpessEarnedDiscount))*'3Day Base'!E77),2),ROUND(MinBase3Day*(1+ExpressFuelSurcharge),2),ROUND(((1-(ThreeDayDiscount_21_Up+FedExExrpessEarnedDiscount))*'3Day Base'!E77)*(1+ExpressFuelSurcharge),2))*(1+FedEx_Markup),2)</f>
        <v>159.4</v>
      </c>
      <c r="F80" s="218">
        <f>ROUND(IF(MinBase3Day&gt;ROUND(((1-(ThreeDayDiscount_21_Up+FedExExrpessEarnedDiscount))*'3Day Base'!F77),2),ROUND(MinBase3Day*(1+ExpressFuelSurcharge),2),ROUND(((1-(ThreeDayDiscount_21_Up+FedExExrpessEarnedDiscount))*'3Day Base'!F77)*(1+ExpressFuelSurcharge),2))*(1+FedEx_Markup),2)</f>
        <v>204.73</v>
      </c>
      <c r="G80" s="218">
        <f>ROUND(IF(MinBase3Day&gt;ROUND(((1-(ThreeDayDiscount_21_Up+FedExExrpessEarnedDiscount))*'3Day Base'!G77),2),ROUND(MinBase3Day*(1+ExpressFuelSurcharge),2),ROUND(((1-(ThreeDayDiscount_21_Up+FedExExrpessEarnedDiscount))*'3Day Base'!G77)*(1+ExpressFuelSurcharge),2))*(1+FedEx_Markup),2)</f>
        <v>251.37</v>
      </c>
      <c r="H80" s="218">
        <f>ROUND(IF(MinBase3Day&gt;ROUND(((1-(ThreeDayDiscount_21_Up+FedExExrpessEarnedDiscount))*'3Day Base'!H77),2),ROUND(MinBase3Day*(1+ExpressFuelSurcharge),2),ROUND(((1-(ThreeDayDiscount_21_Up+FedExExrpessEarnedDiscount))*'3Day Base'!H77)*(1+ExpressFuelSurcharge),2))*(1+FedEx_Markup),2)</f>
        <v>286.08999999999997</v>
      </c>
    </row>
    <row r="81" spans="1:26" ht="12.75" customHeight="1">
      <c r="A81" s="217">
        <v>76</v>
      </c>
      <c r="B81" s="218">
        <f>ROUND(IF(MinBase3Day&gt;ROUND(((1-(ThreeDayDiscount_21_Up+FedExExrpessEarnedDiscount))*'3Day Base'!B78),2),ROUND(MinBase3Day*(1+ExpressFuelSurcharge),2),ROUND(((1-(ThreeDayDiscount_21_Up+FedExExrpessEarnedDiscount))*'3Day Base'!B78)*(1+ExpressFuelSurcharge),2))*(1+FedEx_Markup),2)</f>
        <v>73.510000000000005</v>
      </c>
      <c r="C81" s="218">
        <f>ROUND(IF(MinBase3Day&gt;ROUND(((1-(ThreeDayDiscount_21_Up+FedExExrpessEarnedDiscount))*'3Day Base'!C78),2),ROUND(MinBase3Day*(1+ExpressFuelSurcharge),2),ROUND(((1-(ThreeDayDiscount_21_Up+FedExExrpessEarnedDiscount))*'3Day Base'!C78)*(1+ExpressFuelSurcharge),2))*(1+FedEx_Markup),2)</f>
        <v>91.84</v>
      </c>
      <c r="D81" s="218">
        <f>ROUND(IF(MinBase3Day&gt;ROUND(((1-(ThreeDayDiscount_21_Up+FedExExrpessEarnedDiscount))*'3Day Base'!D78),2),ROUND(MinBase3Day*(1+ExpressFuelSurcharge),2),ROUND(((1-(ThreeDayDiscount_21_Up+FedExExrpessEarnedDiscount))*'3Day Base'!D78)*(1+ExpressFuelSurcharge),2))*(1+FedEx_Markup),2)</f>
        <v>113.47</v>
      </c>
      <c r="E81" s="218">
        <f>ROUND(IF(MinBase3Day&gt;ROUND(((1-(ThreeDayDiscount_21_Up+FedExExrpessEarnedDiscount))*'3Day Base'!E78),2),ROUND(MinBase3Day*(1+ExpressFuelSurcharge),2),ROUND(((1-(ThreeDayDiscount_21_Up+FedExExrpessEarnedDiscount))*'3Day Base'!E78)*(1+ExpressFuelSurcharge),2))*(1+FedEx_Markup),2)</f>
        <v>160.08000000000001</v>
      </c>
      <c r="F81" s="218">
        <f>ROUND(IF(MinBase3Day&gt;ROUND(((1-(ThreeDayDiscount_21_Up+FedExExrpessEarnedDiscount))*'3Day Base'!F78),2),ROUND(MinBase3Day*(1+ExpressFuelSurcharge),2),ROUND(((1-(ThreeDayDiscount_21_Up+FedExExrpessEarnedDiscount))*'3Day Base'!F78)*(1+ExpressFuelSurcharge),2))*(1+FedEx_Markup),2)</f>
        <v>205.44</v>
      </c>
      <c r="G81" s="218">
        <f>ROUND(IF(MinBase3Day&gt;ROUND(((1-(ThreeDayDiscount_21_Up+FedExExrpessEarnedDiscount))*'3Day Base'!G78),2),ROUND(MinBase3Day*(1+ExpressFuelSurcharge),2),ROUND(((1-(ThreeDayDiscount_21_Up+FedExExrpessEarnedDiscount))*'3Day Base'!G78)*(1+ExpressFuelSurcharge),2))*(1+FedEx_Markup),2)</f>
        <v>257.75</v>
      </c>
      <c r="H81" s="218">
        <f>ROUND(IF(MinBase3Day&gt;ROUND(((1-(ThreeDayDiscount_21_Up+FedExExrpessEarnedDiscount))*'3Day Base'!H78),2),ROUND(MinBase3Day*(1+ExpressFuelSurcharge),2),ROUND(((1-(ThreeDayDiscount_21_Up+FedExExrpessEarnedDiscount))*'3Day Base'!H78)*(1+ExpressFuelSurcharge),2))*(1+FedEx_Markup),2)</f>
        <v>301.42</v>
      </c>
      <c r="L81" s="4"/>
    </row>
    <row r="82" spans="1:26" ht="12.75" customHeight="1">
      <c r="A82" s="217">
        <v>77</v>
      </c>
      <c r="B82" s="218">
        <f>ROUND(IF(MinBase3Day&gt;ROUND(((1-(ThreeDayDiscount_21_Up+FedExExrpessEarnedDiscount))*'3Day Base'!B79),2),ROUND(MinBase3Day*(1+ExpressFuelSurcharge),2),ROUND(((1-(ThreeDayDiscount_21_Up+FedExExrpessEarnedDiscount))*'3Day Base'!B79)*(1+ExpressFuelSurcharge),2))*(1+FedEx_Markup),2)</f>
        <v>74.08</v>
      </c>
      <c r="C82" s="218">
        <f>ROUND(IF(MinBase3Day&gt;ROUND(((1-(ThreeDayDiscount_21_Up+FedExExrpessEarnedDiscount))*'3Day Base'!C79),2),ROUND(MinBase3Day*(1+ExpressFuelSurcharge),2),ROUND(((1-(ThreeDayDiscount_21_Up+FedExExrpessEarnedDiscount))*'3Day Base'!C79)*(1+ExpressFuelSurcharge),2))*(1+FedEx_Markup),2)</f>
        <v>92.25</v>
      </c>
      <c r="D82" s="218">
        <f>ROUND(IF(MinBase3Day&gt;ROUND(((1-(ThreeDayDiscount_21_Up+FedExExrpessEarnedDiscount))*'3Day Base'!D79),2),ROUND(MinBase3Day*(1+ExpressFuelSurcharge),2),ROUND(((1-(ThreeDayDiscount_21_Up+FedExExrpessEarnedDiscount))*'3Day Base'!D79)*(1+ExpressFuelSurcharge),2))*(1+FedEx_Markup),2)</f>
        <v>114.1</v>
      </c>
      <c r="E82" s="218">
        <f>ROUND(IF(MinBase3Day&gt;ROUND(((1-(ThreeDayDiscount_21_Up+FedExExrpessEarnedDiscount))*'3Day Base'!E79),2),ROUND(MinBase3Day*(1+ExpressFuelSurcharge),2),ROUND(((1-(ThreeDayDiscount_21_Up+FedExExrpessEarnedDiscount))*'3Day Base'!E79)*(1+ExpressFuelSurcharge),2))*(1+FedEx_Markup),2)</f>
        <v>160.78</v>
      </c>
      <c r="F82" s="218">
        <f>ROUND(IF(MinBase3Day&gt;ROUND(((1-(ThreeDayDiscount_21_Up+FedExExrpessEarnedDiscount))*'3Day Base'!F79),2),ROUND(MinBase3Day*(1+ExpressFuelSurcharge),2),ROUND(((1-(ThreeDayDiscount_21_Up+FedExExrpessEarnedDiscount))*'3Day Base'!F79)*(1+ExpressFuelSurcharge),2))*(1+FedEx_Markup),2)</f>
        <v>205.85</v>
      </c>
      <c r="G82" s="218">
        <f>ROUND(IF(MinBase3Day&gt;ROUND(((1-(ThreeDayDiscount_21_Up+FedExExrpessEarnedDiscount))*'3Day Base'!G79),2),ROUND(MinBase3Day*(1+ExpressFuelSurcharge),2),ROUND(((1-(ThreeDayDiscount_21_Up+FedExExrpessEarnedDiscount))*'3Day Base'!G79)*(1+ExpressFuelSurcharge),2))*(1+FedEx_Markup),2)</f>
        <v>258.45</v>
      </c>
      <c r="H82" s="218">
        <f>ROUND(IF(MinBase3Day&gt;ROUND(((1-(ThreeDayDiscount_21_Up+FedExExrpessEarnedDiscount))*'3Day Base'!H79),2),ROUND(MinBase3Day*(1+ExpressFuelSurcharge),2),ROUND(((1-(ThreeDayDiscount_21_Up+FedExExrpessEarnedDiscount))*'3Day Base'!H79)*(1+ExpressFuelSurcharge),2))*(1+FedEx_Markup),2)</f>
        <v>302.95999999999998</v>
      </c>
    </row>
    <row r="83" spans="1:26" ht="12.75" customHeight="1">
      <c r="A83" s="217">
        <v>78</v>
      </c>
      <c r="B83" s="218">
        <f>ROUND(IF(MinBase3Day&gt;ROUND(((1-(ThreeDayDiscount_21_Up+FedExExrpessEarnedDiscount))*'3Day Base'!B80),2),ROUND(MinBase3Day*(1+ExpressFuelSurcharge),2),ROUND(((1-(ThreeDayDiscount_21_Up+FedExExrpessEarnedDiscount))*'3Day Base'!B80)*(1+ExpressFuelSurcharge),2))*(1+FedEx_Markup),2)</f>
        <v>74.64</v>
      </c>
      <c r="C83" s="218">
        <f>ROUND(IF(MinBase3Day&gt;ROUND(((1-(ThreeDayDiscount_21_Up+FedExExrpessEarnedDiscount))*'3Day Base'!C80),2),ROUND(MinBase3Day*(1+ExpressFuelSurcharge),2),ROUND(((1-(ThreeDayDiscount_21_Up+FedExExrpessEarnedDiscount))*'3Day Base'!C80)*(1+ExpressFuelSurcharge),2))*(1+FedEx_Markup),2)</f>
        <v>92.68</v>
      </c>
      <c r="D83" s="218">
        <f>ROUND(IF(MinBase3Day&gt;ROUND(((1-(ThreeDayDiscount_21_Up+FedExExrpessEarnedDiscount))*'3Day Base'!D80),2),ROUND(MinBase3Day*(1+ExpressFuelSurcharge),2),ROUND(((1-(ThreeDayDiscount_21_Up+FedExExrpessEarnedDiscount))*'3Day Base'!D80)*(1+ExpressFuelSurcharge),2))*(1+FedEx_Markup),2)</f>
        <v>114.74</v>
      </c>
      <c r="E83" s="218">
        <f>ROUND(IF(MinBase3Day&gt;ROUND(((1-(ThreeDayDiscount_21_Up+FedExExrpessEarnedDiscount))*'3Day Base'!E80),2),ROUND(MinBase3Day*(1+ExpressFuelSurcharge),2),ROUND(((1-(ThreeDayDiscount_21_Up+FedExExrpessEarnedDiscount))*'3Day Base'!E80)*(1+ExpressFuelSurcharge),2))*(1+FedEx_Markup),2)</f>
        <v>161.47</v>
      </c>
      <c r="F83" s="218">
        <f>ROUND(IF(MinBase3Day&gt;ROUND(((1-(ThreeDayDiscount_21_Up+FedExExrpessEarnedDiscount))*'3Day Base'!F80),2),ROUND(MinBase3Day*(1+ExpressFuelSurcharge),2),ROUND(((1-(ThreeDayDiscount_21_Up+FedExExrpessEarnedDiscount))*'3Day Base'!F80)*(1+ExpressFuelSurcharge),2))*(1+FedEx_Markup),2)</f>
        <v>206.28</v>
      </c>
      <c r="G83" s="218">
        <f>ROUND(IF(MinBase3Day&gt;ROUND(((1-(ThreeDayDiscount_21_Up+FedExExrpessEarnedDiscount))*'3Day Base'!G80),2),ROUND(MinBase3Day*(1+ExpressFuelSurcharge),2),ROUND(((1-(ThreeDayDiscount_21_Up+FedExExrpessEarnedDiscount))*'3Day Base'!G80)*(1+ExpressFuelSurcharge),2))*(1+FedEx_Markup),2)</f>
        <v>259.16000000000003</v>
      </c>
      <c r="H83" s="218">
        <f>ROUND(IF(MinBase3Day&gt;ROUND(((1-(ThreeDayDiscount_21_Up+FedExExrpessEarnedDiscount))*'3Day Base'!H80),2),ROUND(MinBase3Day*(1+ExpressFuelSurcharge),2),ROUND(((1-(ThreeDayDiscount_21_Up+FedExExrpessEarnedDiscount))*'3Day Base'!H80)*(1+ExpressFuelSurcharge),2))*(1+FedEx_Markup),2)</f>
        <v>304.36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>
      <c r="A84" s="217">
        <v>79</v>
      </c>
      <c r="B84" s="218">
        <f>ROUND(IF(MinBase3Day&gt;ROUND(((1-(ThreeDayDiscount_21_Up+FedExExrpessEarnedDiscount))*'3Day Base'!B81),2),ROUND(MinBase3Day*(1+ExpressFuelSurcharge),2),ROUND(((1-(ThreeDayDiscount_21_Up+FedExExrpessEarnedDiscount))*'3Day Base'!B81)*(1+ExpressFuelSurcharge),2))*(1+FedEx_Markup),2)</f>
        <v>75.22</v>
      </c>
      <c r="C84" s="218">
        <f>ROUND(IF(MinBase3Day&gt;ROUND(((1-(ThreeDayDiscount_21_Up+FedExExrpessEarnedDiscount))*'3Day Base'!C81),2),ROUND(MinBase3Day*(1+ExpressFuelSurcharge),2),ROUND(((1-(ThreeDayDiscount_21_Up+FedExExrpessEarnedDiscount))*'3Day Base'!C81)*(1+ExpressFuelSurcharge),2))*(1+FedEx_Markup),2)</f>
        <v>93.09</v>
      </c>
      <c r="D84" s="218">
        <f>ROUND(IF(MinBase3Day&gt;ROUND(((1-(ThreeDayDiscount_21_Up+FedExExrpessEarnedDiscount))*'3Day Base'!D81),2),ROUND(MinBase3Day*(1+ExpressFuelSurcharge),2),ROUND(((1-(ThreeDayDiscount_21_Up+FedExExrpessEarnedDiscount))*'3Day Base'!D81)*(1+ExpressFuelSurcharge),2))*(1+FedEx_Markup),2)</f>
        <v>115.36</v>
      </c>
      <c r="E84" s="218">
        <f>ROUND(IF(MinBase3Day&gt;ROUND(((1-(ThreeDayDiscount_21_Up+FedExExrpessEarnedDiscount))*'3Day Base'!E81),2),ROUND(MinBase3Day*(1+ExpressFuelSurcharge),2),ROUND(((1-(ThreeDayDiscount_21_Up+FedExExrpessEarnedDiscount))*'3Day Base'!E81)*(1+ExpressFuelSurcharge),2))*(1+FedEx_Markup),2)</f>
        <v>162.16999999999999</v>
      </c>
      <c r="F84" s="218">
        <f>ROUND(IF(MinBase3Day&gt;ROUND(((1-(ThreeDayDiscount_21_Up+FedExExrpessEarnedDiscount))*'3Day Base'!F81),2),ROUND(MinBase3Day*(1+ExpressFuelSurcharge),2),ROUND(((1-(ThreeDayDiscount_21_Up+FedExExrpessEarnedDiscount))*'3Day Base'!F81)*(1+ExpressFuelSurcharge),2))*(1+FedEx_Markup),2)</f>
        <v>206.7</v>
      </c>
      <c r="G84" s="218">
        <f>ROUND(IF(MinBase3Day&gt;ROUND(((1-(ThreeDayDiscount_21_Up+FedExExrpessEarnedDiscount))*'3Day Base'!G81),2),ROUND(MinBase3Day*(1+ExpressFuelSurcharge),2),ROUND(((1-(ThreeDayDiscount_21_Up+FedExExrpessEarnedDiscount))*'3Day Base'!G81)*(1+ExpressFuelSurcharge),2))*(1+FedEx_Markup),2)</f>
        <v>259.85000000000002</v>
      </c>
      <c r="H84" s="218">
        <f>ROUND(IF(MinBase3Day&gt;ROUND(((1-(ThreeDayDiscount_21_Up+FedExExrpessEarnedDiscount))*'3Day Base'!H81),2),ROUND(MinBase3Day*(1+ExpressFuelSurcharge),2),ROUND(((1-(ThreeDayDiscount_21_Up+FedExExrpessEarnedDiscount))*'3Day Base'!H81)*(1+ExpressFuelSurcharge),2))*(1+FedEx_Markup),2)</f>
        <v>307.20999999999998</v>
      </c>
    </row>
    <row r="85" spans="1:26" ht="12.75" customHeight="1">
      <c r="A85" s="217">
        <v>80</v>
      </c>
      <c r="B85" s="218">
        <f>ROUND(IF(MinBase3Day&gt;ROUND(((1-(ThreeDayDiscount_21_Up+FedExExrpessEarnedDiscount))*'3Day Base'!B82),2),ROUND(MinBase3Day*(1+ExpressFuelSurcharge),2),ROUND(((1-(ThreeDayDiscount_21_Up+FedExExrpessEarnedDiscount))*'3Day Base'!B82)*(1+ExpressFuelSurcharge),2))*(1+FedEx_Markup),2)</f>
        <v>75.790000000000006</v>
      </c>
      <c r="C85" s="218">
        <f>ROUND(IF(MinBase3Day&gt;ROUND(((1-(ThreeDayDiscount_21_Up+FedExExrpessEarnedDiscount))*'3Day Base'!C82),2),ROUND(MinBase3Day*(1+ExpressFuelSurcharge),2),ROUND(((1-(ThreeDayDiscount_21_Up+FedExExrpessEarnedDiscount))*'3Day Base'!C82)*(1+ExpressFuelSurcharge),2))*(1+FedEx_Markup),2)</f>
        <v>93.52</v>
      </c>
      <c r="D85" s="218">
        <f>ROUND(IF(MinBase3Day&gt;ROUND(((1-(ThreeDayDiscount_21_Up+FedExExrpessEarnedDiscount))*'3Day Base'!D82),2),ROUND(MinBase3Day*(1+ExpressFuelSurcharge),2),ROUND(((1-(ThreeDayDiscount_21_Up+FedExExrpessEarnedDiscount))*'3Day Base'!D82)*(1+ExpressFuelSurcharge),2))*(1+FedEx_Markup),2)</f>
        <v>116.05</v>
      </c>
      <c r="E85" s="218">
        <f>ROUND(IF(MinBase3Day&gt;ROUND(((1-(ThreeDayDiscount_21_Up+FedExExrpessEarnedDiscount))*'3Day Base'!E82),2),ROUND(MinBase3Day*(1+ExpressFuelSurcharge),2),ROUND(((1-(ThreeDayDiscount_21_Up+FedExExrpessEarnedDiscount))*'3Day Base'!E82)*(1+ExpressFuelSurcharge),2))*(1+FedEx_Markup),2)</f>
        <v>162.85</v>
      </c>
      <c r="F85" s="218">
        <f>ROUND(IF(MinBase3Day&gt;ROUND(((1-(ThreeDayDiscount_21_Up+FedExExrpessEarnedDiscount))*'3Day Base'!F82),2),ROUND(MinBase3Day*(1+ExpressFuelSurcharge),2),ROUND(((1-(ThreeDayDiscount_21_Up+FedExExrpessEarnedDiscount))*'3Day Base'!F82)*(1+ExpressFuelSurcharge),2))*(1+FedEx_Markup),2)</f>
        <v>207.12</v>
      </c>
      <c r="G85" s="218">
        <f>ROUND(IF(MinBase3Day&gt;ROUND(((1-(ThreeDayDiscount_21_Up+FedExExrpessEarnedDiscount))*'3Day Base'!G82),2),ROUND(MinBase3Day*(1+ExpressFuelSurcharge),2),ROUND(((1-(ThreeDayDiscount_21_Up+FedExExrpessEarnedDiscount))*'3Day Base'!G82)*(1+ExpressFuelSurcharge),2))*(1+FedEx_Markup),2)</f>
        <v>260.56</v>
      </c>
      <c r="H85" s="218">
        <f>ROUND(IF(MinBase3Day&gt;ROUND(((1-(ThreeDayDiscount_21_Up+FedExExrpessEarnedDiscount))*'3Day Base'!H82),2),ROUND(MinBase3Day*(1+ExpressFuelSurcharge),2),ROUND(((1-(ThreeDayDiscount_21_Up+FedExExrpessEarnedDiscount))*'3Day Base'!H82)*(1+ExpressFuelSurcharge),2))*(1+FedEx_Markup),2)</f>
        <v>307.89999999999998</v>
      </c>
    </row>
    <row r="86" spans="1:26" ht="12.75" customHeight="1">
      <c r="A86" s="217">
        <v>81</v>
      </c>
      <c r="B86" s="218">
        <f>ROUND(IF(MinBase3Day&gt;ROUND(((1-(ThreeDayDiscount_21_Up+FedExExrpessEarnedDiscount))*'3Day Base'!B83),2),ROUND(MinBase3Day*(1+ExpressFuelSurcharge),2),ROUND(((1-(ThreeDayDiscount_21_Up+FedExExrpessEarnedDiscount))*'3Day Base'!B83)*(1+ExpressFuelSurcharge),2))*(1+FedEx_Markup),2)</f>
        <v>76.36</v>
      </c>
      <c r="C86" s="218">
        <f>ROUND(IF(MinBase3Day&gt;ROUND(((1-(ThreeDayDiscount_21_Up+FedExExrpessEarnedDiscount))*'3Day Base'!C83),2),ROUND(MinBase3Day*(1+ExpressFuelSurcharge),2),ROUND(((1-(ThreeDayDiscount_21_Up+FedExExrpessEarnedDiscount))*'3Day Base'!C83)*(1+ExpressFuelSurcharge),2))*(1+FedEx_Markup),2)</f>
        <v>95.91</v>
      </c>
      <c r="D86" s="218">
        <f>ROUND(IF(MinBase3Day&gt;ROUND(((1-(ThreeDayDiscount_21_Up+FedExExrpessEarnedDiscount))*'3Day Base'!D83),2),ROUND(MinBase3Day*(1+ExpressFuelSurcharge),2),ROUND(((1-(ThreeDayDiscount_21_Up+FedExExrpessEarnedDiscount))*'3Day Base'!D83)*(1+ExpressFuelSurcharge),2))*(1+FedEx_Markup),2)</f>
        <v>116.61</v>
      </c>
      <c r="E86" s="218">
        <f>ROUND(IF(MinBase3Day&gt;ROUND(((1-(ThreeDayDiscount_21_Up+FedExExrpessEarnedDiscount))*'3Day Base'!E83),2),ROUND(MinBase3Day*(1+ExpressFuelSurcharge),2),ROUND(((1-(ThreeDayDiscount_21_Up+FedExExrpessEarnedDiscount))*'3Day Base'!E83)*(1+ExpressFuelSurcharge),2))*(1+FedEx_Markup),2)</f>
        <v>163.62</v>
      </c>
      <c r="F86" s="218">
        <f>ROUND(IF(MinBase3Day&gt;ROUND(((1-(ThreeDayDiscount_21_Up+FedExExrpessEarnedDiscount))*'3Day Base'!F83),2),ROUND(MinBase3Day*(1+ExpressFuelSurcharge),2),ROUND(((1-(ThreeDayDiscount_21_Up+FedExExrpessEarnedDiscount))*'3Day Base'!F83)*(1+ExpressFuelSurcharge),2))*(1+FedEx_Markup),2)</f>
        <v>210.7</v>
      </c>
      <c r="G86" s="218">
        <f>ROUND(IF(MinBase3Day&gt;ROUND(((1-(ThreeDayDiscount_21_Up+FedExExrpessEarnedDiscount))*'3Day Base'!G83),2),ROUND(MinBase3Day*(1+ExpressFuelSurcharge),2),ROUND(((1-(ThreeDayDiscount_21_Up+FedExExrpessEarnedDiscount))*'3Day Base'!G83)*(1+ExpressFuelSurcharge),2))*(1+FedEx_Markup),2)</f>
        <v>261.72000000000003</v>
      </c>
      <c r="H86" s="218">
        <f>ROUND(IF(MinBase3Day&gt;ROUND(((1-(ThreeDayDiscount_21_Up+FedExExrpessEarnedDiscount))*'3Day Base'!H83),2),ROUND(MinBase3Day*(1+ExpressFuelSurcharge),2),ROUND(((1-(ThreeDayDiscount_21_Up+FedExExrpessEarnedDiscount))*'3Day Base'!H83)*(1+ExpressFuelSurcharge),2))*(1+FedEx_Markup),2)</f>
        <v>308.60000000000002</v>
      </c>
    </row>
    <row r="87" spans="1:26" ht="12.75" customHeight="1">
      <c r="A87" s="217">
        <v>82</v>
      </c>
      <c r="B87" s="218">
        <f>ROUND(IF(MinBase3Day&gt;ROUND(((1-(ThreeDayDiscount_21_Up+FedExExrpessEarnedDiscount))*'3Day Base'!B84),2),ROUND(MinBase3Day*(1+ExpressFuelSurcharge),2),ROUND(((1-(ThreeDayDiscount_21_Up+FedExExrpessEarnedDiscount))*'3Day Base'!B84)*(1+ExpressFuelSurcharge),2))*(1+FedEx_Markup),2)</f>
        <v>77.42</v>
      </c>
      <c r="C87" s="218">
        <f>ROUND(IF(MinBase3Day&gt;ROUND(((1-(ThreeDayDiscount_21_Up+FedExExrpessEarnedDiscount))*'3Day Base'!C84),2),ROUND(MinBase3Day*(1+ExpressFuelSurcharge),2),ROUND(((1-(ThreeDayDiscount_21_Up+FedExExrpessEarnedDiscount))*'3Day Base'!C84)*(1+ExpressFuelSurcharge),2))*(1+FedEx_Markup),2)</f>
        <v>99.92</v>
      </c>
      <c r="D87" s="218">
        <f>ROUND(IF(MinBase3Day&gt;ROUND(((1-(ThreeDayDiscount_21_Up+FedExExrpessEarnedDiscount))*'3Day Base'!D84),2),ROUND(MinBase3Day*(1+ExpressFuelSurcharge),2),ROUND(((1-(ThreeDayDiscount_21_Up+FedExExrpessEarnedDiscount))*'3Day Base'!D84)*(1+ExpressFuelSurcharge),2))*(1+FedEx_Markup),2)</f>
        <v>120.45</v>
      </c>
      <c r="E87" s="218">
        <f>ROUND(IF(MinBase3Day&gt;ROUND(((1-(ThreeDayDiscount_21_Up+FedExExrpessEarnedDiscount))*'3Day Base'!E84),2),ROUND(MinBase3Day*(1+ExpressFuelSurcharge),2),ROUND(((1-(ThreeDayDiscount_21_Up+FedExExrpessEarnedDiscount))*'3Day Base'!E84)*(1+ExpressFuelSurcharge),2))*(1+FedEx_Markup),2)</f>
        <v>175.88</v>
      </c>
      <c r="F87" s="218">
        <f>ROUND(IF(MinBase3Day&gt;ROUND(((1-(ThreeDayDiscount_21_Up+FedExExrpessEarnedDiscount))*'3Day Base'!F84),2),ROUND(MinBase3Day*(1+ExpressFuelSurcharge),2),ROUND(((1-(ThreeDayDiscount_21_Up+FedExExrpessEarnedDiscount))*'3Day Base'!F84)*(1+ExpressFuelSurcharge),2))*(1+FedEx_Markup),2)</f>
        <v>226.02</v>
      </c>
      <c r="G87" s="218">
        <f>ROUND(IF(MinBase3Day&gt;ROUND(((1-(ThreeDayDiscount_21_Up+FedExExrpessEarnedDiscount))*'3Day Base'!G84),2),ROUND(MinBase3Day*(1+ExpressFuelSurcharge),2),ROUND(((1-(ThreeDayDiscount_21_Up+FedExExrpessEarnedDiscount))*'3Day Base'!G84)*(1+ExpressFuelSurcharge),2))*(1+FedEx_Markup),2)</f>
        <v>282.19</v>
      </c>
      <c r="H87" s="218">
        <f>ROUND(IF(MinBase3Day&gt;ROUND(((1-(ThreeDayDiscount_21_Up+FedExExrpessEarnedDiscount))*'3Day Base'!H84),2),ROUND(MinBase3Day*(1+ExpressFuelSurcharge),2),ROUND(((1-(ThreeDayDiscount_21_Up+FedExExrpessEarnedDiscount))*'3Day Base'!H84)*(1+ExpressFuelSurcharge),2))*(1+FedEx_Markup),2)</f>
        <v>310.10000000000002</v>
      </c>
    </row>
    <row r="88" spans="1:26" ht="12.75" customHeight="1">
      <c r="A88" s="217">
        <v>83</v>
      </c>
      <c r="B88" s="218">
        <f>ROUND(IF(MinBase3Day&gt;ROUND(((1-(ThreeDayDiscount_21_Up+FedExExrpessEarnedDiscount))*'3Day Base'!B85),2),ROUND(MinBase3Day*(1+ExpressFuelSurcharge),2),ROUND(((1-(ThreeDayDiscount_21_Up+FedExExrpessEarnedDiscount))*'3Day Base'!B85)*(1+ExpressFuelSurcharge),2))*(1+FedEx_Markup),2)</f>
        <v>77.83</v>
      </c>
      <c r="C88" s="218">
        <f>ROUND(IF(MinBase3Day&gt;ROUND(((1-(ThreeDayDiscount_21_Up+FedExExrpessEarnedDiscount))*'3Day Base'!C85),2),ROUND(MinBase3Day*(1+ExpressFuelSurcharge),2),ROUND(((1-(ThreeDayDiscount_21_Up+FedExExrpessEarnedDiscount))*'3Day Base'!C85)*(1+ExpressFuelSurcharge),2))*(1+FedEx_Markup),2)</f>
        <v>100.56</v>
      </c>
      <c r="D88" s="218">
        <f>ROUND(IF(MinBase3Day&gt;ROUND(((1-(ThreeDayDiscount_21_Up+FedExExrpessEarnedDiscount))*'3Day Base'!D85),2),ROUND(MinBase3Day*(1+ExpressFuelSurcharge),2),ROUND(((1-(ThreeDayDiscount_21_Up+FedExExrpessEarnedDiscount))*'3Day Base'!D85)*(1+ExpressFuelSurcharge),2))*(1+FedEx_Markup),2)</f>
        <v>120.88</v>
      </c>
      <c r="E88" s="218">
        <f>ROUND(IF(MinBase3Day&gt;ROUND(((1-(ThreeDayDiscount_21_Up+FedExExrpessEarnedDiscount))*'3Day Base'!E85),2),ROUND(MinBase3Day*(1+ExpressFuelSurcharge),2),ROUND(((1-(ThreeDayDiscount_21_Up+FedExExrpessEarnedDiscount))*'3Day Base'!E85)*(1+ExpressFuelSurcharge),2))*(1+FedEx_Markup),2)</f>
        <v>177.78</v>
      </c>
      <c r="F88" s="218">
        <f>ROUND(IF(MinBase3Day&gt;ROUND(((1-(ThreeDayDiscount_21_Up+FedExExrpessEarnedDiscount))*'3Day Base'!F85),2),ROUND(MinBase3Day*(1+ExpressFuelSurcharge),2),ROUND(((1-(ThreeDayDiscount_21_Up+FedExExrpessEarnedDiscount))*'3Day Base'!F85)*(1+ExpressFuelSurcharge),2))*(1+FedEx_Markup),2)</f>
        <v>236.43</v>
      </c>
      <c r="G88" s="218">
        <f>ROUND(IF(MinBase3Day&gt;ROUND(((1-(ThreeDayDiscount_21_Up+FedExExrpessEarnedDiscount))*'3Day Base'!G85),2),ROUND(MinBase3Day*(1+ExpressFuelSurcharge),2),ROUND(((1-(ThreeDayDiscount_21_Up+FedExExrpessEarnedDiscount))*'3Day Base'!G85)*(1+ExpressFuelSurcharge),2))*(1+FedEx_Markup),2)</f>
        <v>284.25</v>
      </c>
      <c r="H88" s="218">
        <f>ROUND(IF(MinBase3Day&gt;ROUND(((1-(ThreeDayDiscount_21_Up+FedExExrpessEarnedDiscount))*'3Day Base'!H85),2),ROUND(MinBase3Day*(1+ExpressFuelSurcharge),2),ROUND(((1-(ThreeDayDiscount_21_Up+FedExExrpessEarnedDiscount))*'3Day Base'!H85)*(1+ExpressFuelSurcharge),2))*(1+FedEx_Markup),2)</f>
        <v>318.06</v>
      </c>
    </row>
    <row r="89" spans="1:26" ht="13.5" customHeight="1">
      <c r="A89" s="217">
        <v>84</v>
      </c>
      <c r="B89" s="218">
        <f>ROUND(IF(MinBase3Day&gt;ROUND(((1-(ThreeDayDiscount_21_Up+FedExExrpessEarnedDiscount))*'3Day Base'!B86),2),ROUND(MinBase3Day*(1+ExpressFuelSurcharge),2),ROUND(((1-(ThreeDayDiscount_21_Up+FedExExrpessEarnedDiscount))*'3Day Base'!B86)*(1+ExpressFuelSurcharge),2))*(1+FedEx_Markup),2)</f>
        <v>78.260000000000005</v>
      </c>
      <c r="C89" s="218">
        <f>ROUND(IF(MinBase3Day&gt;ROUND(((1-(ThreeDayDiscount_21_Up+FedExExrpessEarnedDiscount))*'3Day Base'!C86),2),ROUND(MinBase3Day*(1+ExpressFuelSurcharge),2),ROUND(((1-(ThreeDayDiscount_21_Up+FedExExrpessEarnedDiscount))*'3Day Base'!C86)*(1+ExpressFuelSurcharge),2))*(1+FedEx_Markup),2)</f>
        <v>103.81</v>
      </c>
      <c r="D89" s="218">
        <f>ROUND(IF(MinBase3Day&gt;ROUND(((1-(ThreeDayDiscount_21_Up+FedExExrpessEarnedDiscount))*'3Day Base'!D86),2),ROUND(MinBase3Day*(1+ExpressFuelSurcharge),2),ROUND(((1-(ThreeDayDiscount_21_Up+FedExExrpessEarnedDiscount))*'3Day Base'!D86)*(1+ExpressFuelSurcharge),2))*(1+FedEx_Markup),2)</f>
        <v>121.29</v>
      </c>
      <c r="E89" s="218">
        <f>ROUND(IF(MinBase3Day&gt;ROUND(((1-(ThreeDayDiscount_21_Up+FedExExrpessEarnedDiscount))*'3Day Base'!E86),2),ROUND(MinBase3Day*(1+ExpressFuelSurcharge),2),ROUND(((1-(ThreeDayDiscount_21_Up+FedExExrpessEarnedDiscount))*'3Day Base'!E86)*(1+ExpressFuelSurcharge),2))*(1+FedEx_Markup),2)</f>
        <v>178.48</v>
      </c>
      <c r="F89" s="218">
        <f>ROUND(IF(MinBase3Day&gt;ROUND(((1-(ThreeDayDiscount_21_Up+FedExExrpessEarnedDiscount))*'3Day Base'!F86),2),ROUND(MinBase3Day*(1+ExpressFuelSurcharge),2),ROUND(((1-(ThreeDayDiscount_21_Up+FedExExrpessEarnedDiscount))*'3Day Base'!F86)*(1+ExpressFuelSurcharge),2))*(1+FedEx_Markup),2)</f>
        <v>237.46</v>
      </c>
      <c r="G89" s="218">
        <f>ROUND(IF(MinBase3Day&gt;ROUND(((1-(ThreeDayDiscount_21_Up+FedExExrpessEarnedDiscount))*'3Day Base'!G86),2),ROUND(MinBase3Day*(1+ExpressFuelSurcharge),2),ROUND(((1-(ThreeDayDiscount_21_Up+FedExExrpessEarnedDiscount))*'3Day Base'!G86)*(1+ExpressFuelSurcharge),2))*(1+FedEx_Markup),2)</f>
        <v>284.66000000000003</v>
      </c>
      <c r="H89" s="218">
        <f>ROUND(IF(MinBase3Day&gt;ROUND(((1-(ThreeDayDiscount_21_Up+FedExExrpessEarnedDiscount))*'3Day Base'!H86),2),ROUND(MinBase3Day*(1+ExpressFuelSurcharge),2),ROUND(((1-(ThreeDayDiscount_21_Up+FedExExrpessEarnedDiscount))*'3Day Base'!H86)*(1+ExpressFuelSurcharge),2))*(1+FedEx_Markup),2)</f>
        <v>318.86</v>
      </c>
    </row>
    <row r="90" spans="1:26" ht="13.5" customHeight="1">
      <c r="A90" s="217">
        <v>85</v>
      </c>
      <c r="B90" s="218">
        <f>ROUND(IF(MinBase3Day&gt;ROUND(((1-(ThreeDayDiscount_21_Up+FedExExrpessEarnedDiscount))*'3Day Base'!B87),2),ROUND(MinBase3Day*(1+ExpressFuelSurcharge),2),ROUND(((1-(ThreeDayDiscount_21_Up+FedExExrpessEarnedDiscount))*'3Day Base'!B87)*(1+ExpressFuelSurcharge),2))*(1+FedEx_Markup),2)</f>
        <v>78.67</v>
      </c>
      <c r="C90" s="218">
        <f>ROUND(IF(MinBase3Day&gt;ROUND(((1-(ThreeDayDiscount_21_Up+FedExExrpessEarnedDiscount))*'3Day Base'!C87),2),ROUND(MinBase3Day*(1+ExpressFuelSurcharge),2),ROUND(((1-(ThreeDayDiscount_21_Up+FedExExrpessEarnedDiscount))*'3Day Base'!C87)*(1+ExpressFuelSurcharge),2))*(1+FedEx_Markup),2)</f>
        <v>105.62</v>
      </c>
      <c r="D90" s="218">
        <f>ROUND(IF(MinBase3Day&gt;ROUND(((1-(ThreeDayDiscount_21_Up+FedExExrpessEarnedDiscount))*'3Day Base'!D87),2),ROUND(MinBase3Day*(1+ExpressFuelSurcharge),2),ROUND(((1-(ThreeDayDiscount_21_Up+FedExExrpessEarnedDiscount))*'3Day Base'!D87)*(1+ExpressFuelSurcharge),2))*(1+FedEx_Markup),2)</f>
        <v>121.72</v>
      </c>
      <c r="E90" s="218">
        <f>ROUND(IF(MinBase3Day&gt;ROUND(((1-(ThreeDayDiscount_21_Up+FedExExrpessEarnedDiscount))*'3Day Base'!E87),2),ROUND(MinBase3Day*(1+ExpressFuelSurcharge),2),ROUND(((1-(ThreeDayDiscount_21_Up+FedExExrpessEarnedDiscount))*'3Day Base'!E87)*(1+ExpressFuelSurcharge),2))*(1+FedEx_Markup),2)</f>
        <v>179.43</v>
      </c>
      <c r="F90" s="218">
        <f>ROUND(IF(MinBase3Day&gt;ROUND(((1-(ThreeDayDiscount_21_Up+FedExExrpessEarnedDiscount))*'3Day Base'!F87),2),ROUND(MinBase3Day*(1+ExpressFuelSurcharge),2),ROUND(((1-(ThreeDayDiscount_21_Up+FedExExrpessEarnedDiscount))*'3Day Base'!F87)*(1+ExpressFuelSurcharge),2))*(1+FedEx_Markup),2)</f>
        <v>237.89</v>
      </c>
      <c r="G90" s="218">
        <f>ROUND(IF(MinBase3Day&gt;ROUND(((1-(ThreeDayDiscount_21_Up+FedExExrpessEarnedDiscount))*'3Day Base'!G87),2),ROUND(MinBase3Day*(1+ExpressFuelSurcharge),2),ROUND(((1-(ThreeDayDiscount_21_Up+FedExExrpessEarnedDiscount))*'3Day Base'!G87)*(1+ExpressFuelSurcharge),2))*(1+FedEx_Markup),2)</f>
        <v>285.08999999999997</v>
      </c>
      <c r="H90" s="218">
        <f>ROUND(IF(MinBase3Day&gt;ROUND(((1-(ThreeDayDiscount_21_Up+FedExExrpessEarnedDiscount))*'3Day Base'!H87),2),ROUND(MinBase3Day*(1+ExpressFuelSurcharge),2),ROUND(((1-(ThreeDayDiscount_21_Up+FedExExrpessEarnedDiscount))*'3Day Base'!H87)*(1+ExpressFuelSurcharge),2))*(1+FedEx_Markup),2)</f>
        <v>328.81</v>
      </c>
    </row>
    <row r="91" spans="1:26" ht="13.5" customHeight="1">
      <c r="A91" s="217">
        <v>86</v>
      </c>
      <c r="B91" s="218">
        <f>ROUND(IF(MinBase3Day&gt;ROUND(((1-(ThreeDayDiscount_21_Up+FedExExrpessEarnedDiscount))*'3Day Base'!B88),2),ROUND(MinBase3Day*(1+ExpressFuelSurcharge),2),ROUND(((1-(ThreeDayDiscount_21_Up+FedExExrpessEarnedDiscount))*'3Day Base'!B88)*(1+ExpressFuelSurcharge),2))*(1+FedEx_Markup),2)</f>
        <v>79.099999999999994</v>
      </c>
      <c r="C91" s="218">
        <f>ROUND(IF(MinBase3Day&gt;ROUND(((1-(ThreeDayDiscount_21_Up+FedExExrpessEarnedDiscount))*'3Day Base'!C88),2),ROUND(MinBase3Day*(1+ExpressFuelSurcharge),2),ROUND(((1-(ThreeDayDiscount_21_Up+FedExExrpessEarnedDiscount))*'3Day Base'!C88)*(1+ExpressFuelSurcharge),2))*(1+FedEx_Markup),2)</f>
        <v>106.04</v>
      </c>
      <c r="D91" s="218">
        <f>ROUND(IF(MinBase3Day&gt;ROUND(((1-(ThreeDayDiscount_21_Up+FedExExrpessEarnedDiscount))*'3Day Base'!D88),2),ROUND(MinBase3Day*(1+ExpressFuelSurcharge),2),ROUND(((1-(ThreeDayDiscount_21_Up+FedExExrpessEarnedDiscount))*'3Day Base'!D88)*(1+ExpressFuelSurcharge),2))*(1+FedEx_Markup),2)</f>
        <v>122.14</v>
      </c>
      <c r="E91" s="218">
        <f>ROUND(IF(MinBase3Day&gt;ROUND(((1-(ThreeDayDiscount_21_Up+FedExExrpessEarnedDiscount))*'3Day Base'!E88),2),ROUND(MinBase3Day*(1+ExpressFuelSurcharge),2),ROUND(((1-(ThreeDayDiscount_21_Up+FedExExrpessEarnedDiscount))*'3Day Base'!E88)*(1+ExpressFuelSurcharge),2))*(1+FedEx_Markup),2)</f>
        <v>179.86</v>
      </c>
      <c r="F91" s="218">
        <f>ROUND(IF(MinBase3Day&gt;ROUND(((1-(ThreeDayDiscount_21_Up+FedExExrpessEarnedDiscount))*'3Day Base'!F88),2),ROUND(MinBase3Day*(1+ExpressFuelSurcharge),2),ROUND(((1-(ThreeDayDiscount_21_Up+FedExExrpessEarnedDiscount))*'3Day Base'!F88)*(1+ExpressFuelSurcharge),2))*(1+FedEx_Markup),2)</f>
        <v>238.31</v>
      </c>
      <c r="G91" s="218">
        <f>ROUND(IF(MinBase3Day&gt;ROUND(((1-(ThreeDayDiscount_21_Up+FedExExrpessEarnedDiscount))*'3Day Base'!G88),2),ROUND(MinBase3Day*(1+ExpressFuelSurcharge),2),ROUND(((1-(ThreeDayDiscount_21_Up+FedExExrpessEarnedDiscount))*'3Day Base'!G88)*(1+ExpressFuelSurcharge),2))*(1+FedEx_Markup),2)</f>
        <v>285.51</v>
      </c>
      <c r="H91" s="218">
        <f>ROUND(IF(MinBase3Day&gt;ROUND(((1-(ThreeDayDiscount_21_Up+FedExExrpessEarnedDiscount))*'3Day Base'!H88),2),ROUND(MinBase3Day*(1+ExpressFuelSurcharge),2),ROUND(((1-(ThreeDayDiscount_21_Up+FedExExrpessEarnedDiscount))*'3Day Base'!H88)*(1+ExpressFuelSurcharge),2))*(1+FedEx_Markup),2)</f>
        <v>329.81</v>
      </c>
    </row>
    <row r="92" spans="1:26" ht="13.5" customHeight="1">
      <c r="A92" s="217">
        <v>87</v>
      </c>
      <c r="B92" s="218">
        <f>ROUND(IF(MinBase3Day&gt;ROUND(((1-(ThreeDayDiscount_21_Up+FedExExrpessEarnedDiscount))*'3Day Base'!B89),2),ROUND(MinBase3Day*(1+ExpressFuelSurcharge),2),ROUND(((1-(ThreeDayDiscount_21_Up+FedExExrpessEarnedDiscount))*'3Day Base'!B89)*(1+ExpressFuelSurcharge),2))*(1+FedEx_Markup),2)</f>
        <v>79.52</v>
      </c>
      <c r="C92" s="218">
        <f>ROUND(IF(MinBase3Day&gt;ROUND(((1-(ThreeDayDiscount_21_Up+FedExExrpessEarnedDiscount))*'3Day Base'!C89),2),ROUND(MinBase3Day*(1+ExpressFuelSurcharge),2),ROUND(((1-(ThreeDayDiscount_21_Up+FedExExrpessEarnedDiscount))*'3Day Base'!C89)*(1+ExpressFuelSurcharge),2))*(1+FedEx_Markup),2)</f>
        <v>106.46</v>
      </c>
      <c r="D92" s="218">
        <f>ROUND(IF(MinBase3Day&gt;ROUND(((1-(ThreeDayDiscount_21_Up+FedExExrpessEarnedDiscount))*'3Day Base'!D89),2),ROUND(MinBase3Day*(1+ExpressFuelSurcharge),2),ROUND(((1-(ThreeDayDiscount_21_Up+FedExExrpessEarnedDiscount))*'3Day Base'!D89)*(1+ExpressFuelSurcharge),2))*(1+FedEx_Markup),2)</f>
        <v>122.56</v>
      </c>
      <c r="E92" s="218">
        <f>ROUND(IF(MinBase3Day&gt;ROUND(((1-(ThreeDayDiscount_21_Up+FedExExrpessEarnedDiscount))*'3Day Base'!E89),2),ROUND(MinBase3Day*(1+ExpressFuelSurcharge),2),ROUND(((1-(ThreeDayDiscount_21_Up+FedExExrpessEarnedDiscount))*'3Day Base'!E89)*(1+ExpressFuelSurcharge),2))*(1+FedEx_Markup),2)</f>
        <v>180.27</v>
      </c>
      <c r="F92" s="218">
        <f>ROUND(IF(MinBase3Day&gt;ROUND(((1-(ThreeDayDiscount_21_Up+FedExExrpessEarnedDiscount))*'3Day Base'!F89),2),ROUND(MinBase3Day*(1+ExpressFuelSurcharge),2),ROUND(((1-(ThreeDayDiscount_21_Up+FedExExrpessEarnedDiscount))*'3Day Base'!F89)*(1+ExpressFuelSurcharge),2))*(1+FedEx_Markup),2)</f>
        <v>238.73</v>
      </c>
      <c r="G92" s="218">
        <f>ROUND(IF(MinBase3Day&gt;ROUND(((1-(ThreeDayDiscount_21_Up+FedExExrpessEarnedDiscount))*'3Day Base'!G89),2),ROUND(MinBase3Day*(1+ExpressFuelSurcharge),2),ROUND(((1-(ThreeDayDiscount_21_Up+FedExExrpessEarnedDiscount))*'3Day Base'!G89)*(1+ExpressFuelSurcharge),2))*(1+FedEx_Markup),2)</f>
        <v>285.92</v>
      </c>
      <c r="H92" s="218">
        <f>ROUND(IF(MinBase3Day&gt;ROUND(((1-(ThreeDayDiscount_21_Up+FedExExrpessEarnedDiscount))*'3Day Base'!H89),2),ROUND(MinBase3Day*(1+ExpressFuelSurcharge),2),ROUND(((1-(ThreeDayDiscount_21_Up+FedExExrpessEarnedDiscount))*'3Day Base'!H89)*(1+ExpressFuelSurcharge),2))*(1+FedEx_Markup),2)</f>
        <v>330.23</v>
      </c>
    </row>
    <row r="93" spans="1:26" ht="13.5" customHeight="1">
      <c r="A93" s="217">
        <v>88</v>
      </c>
      <c r="B93" s="218">
        <f>ROUND(IF(MinBase3Day&gt;ROUND(((1-(ThreeDayDiscount_21_Up+FedExExrpessEarnedDiscount))*'3Day Base'!B90),2),ROUND(MinBase3Day*(1+ExpressFuelSurcharge),2),ROUND(((1-(ThreeDayDiscount_21_Up+FedExExrpessEarnedDiscount))*'3Day Base'!B90)*(1+ExpressFuelSurcharge),2))*(1+FedEx_Markup),2)</f>
        <v>79.94</v>
      </c>
      <c r="C93" s="218">
        <f>ROUND(IF(MinBase3Day&gt;ROUND(((1-(ThreeDayDiscount_21_Up+FedExExrpessEarnedDiscount))*'3Day Base'!C90),2),ROUND(MinBase3Day*(1+ExpressFuelSurcharge),2),ROUND(((1-(ThreeDayDiscount_21_Up+FedExExrpessEarnedDiscount))*'3Day Base'!C90)*(1+ExpressFuelSurcharge),2))*(1+FedEx_Markup),2)</f>
        <v>106.88</v>
      </c>
      <c r="D93" s="218">
        <f>ROUND(IF(MinBase3Day&gt;ROUND(((1-(ThreeDayDiscount_21_Up+FedExExrpessEarnedDiscount))*'3Day Base'!D90),2),ROUND(MinBase3Day*(1+ExpressFuelSurcharge),2),ROUND(((1-(ThreeDayDiscount_21_Up+FedExExrpessEarnedDiscount))*'3Day Base'!D90)*(1+ExpressFuelSurcharge),2))*(1+FedEx_Markup),2)</f>
        <v>122.98</v>
      </c>
      <c r="E93" s="218">
        <f>ROUND(IF(MinBase3Day&gt;ROUND(((1-(ThreeDayDiscount_21_Up+FedExExrpessEarnedDiscount))*'3Day Base'!E90),2),ROUND(MinBase3Day*(1+ExpressFuelSurcharge),2),ROUND(((1-(ThreeDayDiscount_21_Up+FedExExrpessEarnedDiscount))*'3Day Base'!E90)*(1+ExpressFuelSurcharge),2))*(1+FedEx_Markup),2)</f>
        <v>180.7</v>
      </c>
      <c r="F93" s="218">
        <f>ROUND(IF(MinBase3Day&gt;ROUND(((1-(ThreeDayDiscount_21_Up+FedExExrpessEarnedDiscount))*'3Day Base'!F90),2),ROUND(MinBase3Day*(1+ExpressFuelSurcharge),2),ROUND(((1-(ThreeDayDiscount_21_Up+FedExExrpessEarnedDiscount))*'3Day Base'!F90)*(1+ExpressFuelSurcharge),2))*(1+FedEx_Markup),2)</f>
        <v>239.15</v>
      </c>
      <c r="G93" s="218">
        <f>ROUND(IF(MinBase3Day&gt;ROUND(((1-(ThreeDayDiscount_21_Up+FedExExrpessEarnedDiscount))*'3Day Base'!G90),2),ROUND(MinBase3Day*(1+ExpressFuelSurcharge),2),ROUND(((1-(ThreeDayDiscount_21_Up+FedExExrpessEarnedDiscount))*'3Day Base'!G90)*(1+ExpressFuelSurcharge),2))*(1+FedEx_Markup),2)</f>
        <v>286.35000000000002</v>
      </c>
      <c r="H93" s="218">
        <f>ROUND(IF(MinBase3Day&gt;ROUND(((1-(ThreeDayDiscount_21_Up+FedExExrpessEarnedDiscount))*'3Day Base'!H90),2),ROUND(MinBase3Day*(1+ExpressFuelSurcharge),2),ROUND(((1-(ThreeDayDiscount_21_Up+FedExExrpessEarnedDiscount))*'3Day Base'!H90)*(1+ExpressFuelSurcharge),2))*(1+FedEx_Markup),2)</f>
        <v>330.65</v>
      </c>
    </row>
    <row r="94" spans="1:26" ht="13.5" customHeight="1">
      <c r="A94" s="217">
        <v>89</v>
      </c>
      <c r="B94" s="218">
        <f>ROUND(IF(MinBase3Day&gt;ROUND(((1-(ThreeDayDiscount_21_Up+FedExExrpessEarnedDiscount))*'3Day Base'!B91),2),ROUND(MinBase3Day*(1+ExpressFuelSurcharge),2),ROUND(((1-(ThreeDayDiscount_21_Up+FedExExrpessEarnedDiscount))*'3Day Base'!B91)*(1+ExpressFuelSurcharge),2))*(1+FedEx_Markup),2)</f>
        <v>80.36</v>
      </c>
      <c r="C94" s="218">
        <f>ROUND(IF(MinBase3Day&gt;ROUND(((1-(ThreeDayDiscount_21_Up+FedExExrpessEarnedDiscount))*'3Day Base'!C91),2),ROUND(MinBase3Day*(1+ExpressFuelSurcharge),2),ROUND(((1-(ThreeDayDiscount_21_Up+FedExExrpessEarnedDiscount))*'3Day Base'!C91)*(1+ExpressFuelSurcharge),2))*(1+FedEx_Markup),2)</f>
        <v>107.31</v>
      </c>
      <c r="D94" s="218">
        <f>ROUND(IF(MinBase3Day&gt;ROUND(((1-(ThreeDayDiscount_21_Up+FedExExrpessEarnedDiscount))*'3Day Base'!D91),2),ROUND(MinBase3Day*(1+ExpressFuelSurcharge),2),ROUND(((1-(ThreeDayDiscount_21_Up+FedExExrpessEarnedDiscount))*'3Day Base'!D91)*(1+ExpressFuelSurcharge),2))*(1+FedEx_Markup),2)</f>
        <v>123.4</v>
      </c>
      <c r="E94" s="218">
        <f>ROUND(IF(MinBase3Day&gt;ROUND(((1-(ThreeDayDiscount_21_Up+FedExExrpessEarnedDiscount))*'3Day Base'!E91),2),ROUND(MinBase3Day*(1+ExpressFuelSurcharge),2),ROUND(((1-(ThreeDayDiscount_21_Up+FedExExrpessEarnedDiscount))*'3Day Base'!E91)*(1+ExpressFuelSurcharge),2))*(1+FedEx_Markup),2)</f>
        <v>181.13</v>
      </c>
      <c r="F94" s="218">
        <f>ROUND(IF(MinBase3Day&gt;ROUND(((1-(ThreeDayDiscount_21_Up+FedExExrpessEarnedDiscount))*'3Day Base'!F91),2),ROUND(MinBase3Day*(1+ExpressFuelSurcharge),2),ROUND(((1-(ThreeDayDiscount_21_Up+FedExExrpessEarnedDiscount))*'3Day Base'!F91)*(1+ExpressFuelSurcharge),2))*(1+FedEx_Markup),2)</f>
        <v>239.57</v>
      </c>
      <c r="G94" s="218">
        <f>ROUND(IF(MinBase3Day&gt;ROUND(((1-(ThreeDayDiscount_21_Up+FedExExrpessEarnedDiscount))*'3Day Base'!G91),2),ROUND(MinBase3Day*(1+ExpressFuelSurcharge),2),ROUND(((1-(ThreeDayDiscount_21_Up+FedExExrpessEarnedDiscount))*'3Day Base'!G91)*(1+ExpressFuelSurcharge),2))*(1+FedEx_Markup),2)</f>
        <v>286.76</v>
      </c>
      <c r="H94" s="218">
        <f>ROUND(IF(MinBase3Day&gt;ROUND(((1-(ThreeDayDiscount_21_Up+FedExExrpessEarnedDiscount))*'3Day Base'!H91),2),ROUND(MinBase3Day*(1+ExpressFuelSurcharge),2),ROUND(((1-(ThreeDayDiscount_21_Up+FedExExrpessEarnedDiscount))*'3Day Base'!H91)*(1+ExpressFuelSurcharge),2))*(1+FedEx_Markup),2)</f>
        <v>331.07</v>
      </c>
    </row>
    <row r="95" spans="1:26" ht="13.5" customHeight="1">
      <c r="A95" s="217">
        <v>90</v>
      </c>
      <c r="B95" s="218">
        <f>ROUND(IF(MinBase3Day&gt;ROUND(((1-(ThreeDayDiscount_21_Up+FedExExrpessEarnedDiscount))*'3Day Base'!B92),2),ROUND(MinBase3Day*(1+ExpressFuelSurcharge),2),ROUND(((1-(ThreeDayDiscount_21_Up+FedExExrpessEarnedDiscount))*'3Day Base'!B92)*(1+ExpressFuelSurcharge),2))*(1+FedEx_Markup),2)</f>
        <v>80.790000000000006</v>
      </c>
      <c r="C95" s="218">
        <f>ROUND(IF(MinBase3Day&gt;ROUND(((1-(ThreeDayDiscount_21_Up+FedExExrpessEarnedDiscount))*'3Day Base'!C92),2),ROUND(MinBase3Day*(1+ExpressFuelSurcharge),2),ROUND(((1-(ThreeDayDiscount_21_Up+FedExExrpessEarnedDiscount))*'3Day Base'!C92)*(1+ExpressFuelSurcharge),2))*(1+FedEx_Markup),2)</f>
        <v>107.72</v>
      </c>
      <c r="D95" s="218">
        <f>ROUND(IF(MinBase3Day&gt;ROUND(((1-(ThreeDayDiscount_21_Up+FedExExrpessEarnedDiscount))*'3Day Base'!D92),2),ROUND(MinBase3Day*(1+ExpressFuelSurcharge),2),ROUND(((1-(ThreeDayDiscount_21_Up+FedExExrpessEarnedDiscount))*'3Day Base'!D92)*(1+ExpressFuelSurcharge),2))*(1+FedEx_Markup),2)</f>
        <v>123.82</v>
      </c>
      <c r="E95" s="218">
        <f>ROUND(IF(MinBase3Day&gt;ROUND(((1-(ThreeDayDiscount_21_Up+FedExExrpessEarnedDiscount))*'3Day Base'!E92),2),ROUND(MinBase3Day*(1+ExpressFuelSurcharge),2),ROUND(((1-(ThreeDayDiscount_21_Up+FedExExrpessEarnedDiscount))*'3Day Base'!E92)*(1+ExpressFuelSurcharge),2))*(1+FedEx_Markup),2)</f>
        <v>181.54</v>
      </c>
      <c r="F95" s="218">
        <f>ROUND(IF(MinBase3Day&gt;ROUND(((1-(ThreeDayDiscount_21_Up+FedExExrpessEarnedDiscount))*'3Day Base'!F92),2),ROUND(MinBase3Day*(1+ExpressFuelSurcharge),2),ROUND(((1-(ThreeDayDiscount_21_Up+FedExExrpessEarnedDiscount))*'3Day Base'!F92)*(1+ExpressFuelSurcharge),2))*(1+FedEx_Markup),2)</f>
        <v>239.99</v>
      </c>
      <c r="G95" s="218">
        <f>ROUND(IF(MinBase3Day&gt;ROUND(((1-(ThreeDayDiscount_21_Up+FedExExrpessEarnedDiscount))*'3Day Base'!G92),2),ROUND(MinBase3Day*(1+ExpressFuelSurcharge),2),ROUND(((1-(ThreeDayDiscount_21_Up+FedExExrpessEarnedDiscount))*'3Day Base'!G92)*(1+ExpressFuelSurcharge),2))*(1+FedEx_Markup),2)</f>
        <v>287.19</v>
      </c>
      <c r="H95" s="218">
        <f>ROUND(IF(MinBase3Day&gt;ROUND(((1-(ThreeDayDiscount_21_Up+FedExExrpessEarnedDiscount))*'3Day Base'!H92),2),ROUND(MinBase3Day*(1+ExpressFuelSurcharge),2),ROUND(((1-(ThreeDayDiscount_21_Up+FedExExrpessEarnedDiscount))*'3Day Base'!H92)*(1+ExpressFuelSurcharge),2))*(1+FedEx_Markup),2)</f>
        <v>331.49</v>
      </c>
    </row>
    <row r="96" spans="1:26" ht="13.5" customHeight="1">
      <c r="A96" s="217">
        <v>91</v>
      </c>
      <c r="B96" s="218">
        <f>ROUND(IF(MinBase3Day&gt;ROUND(((1-(ThreeDayDiscount_21_Up+FedExExrpessEarnedDiscount))*'3Day Base'!B93),2),ROUND(MinBase3Day*(1+ExpressFuelSurcharge),2),ROUND(((1-(ThreeDayDiscount_21_Up+FedExExrpessEarnedDiscount))*'3Day Base'!B93)*(1+ExpressFuelSurcharge),2))*(1+FedEx_Markup),2)</f>
        <v>86.74</v>
      </c>
      <c r="C96" s="218">
        <f>ROUND(IF(MinBase3Day&gt;ROUND(((1-(ThreeDayDiscount_21_Up+FedExExrpessEarnedDiscount))*'3Day Base'!C93),2),ROUND(MinBase3Day*(1+ExpressFuelSurcharge),2),ROUND(((1-(ThreeDayDiscount_21_Up+FedExExrpessEarnedDiscount))*'3Day Base'!C93)*(1+ExpressFuelSurcharge),2))*(1+FedEx_Markup),2)</f>
        <v>112.37</v>
      </c>
      <c r="D96" s="218">
        <f>ROUND(IF(MinBase3Day&gt;ROUND(((1-(ThreeDayDiscount_21_Up+FedExExrpessEarnedDiscount))*'3Day Base'!D93),2),ROUND(MinBase3Day*(1+ExpressFuelSurcharge),2),ROUND(((1-(ThreeDayDiscount_21_Up+FedExExrpessEarnedDiscount))*'3Day Base'!D93)*(1+ExpressFuelSurcharge),2))*(1+FedEx_Markup),2)</f>
        <v>132.24</v>
      </c>
      <c r="E96" s="218">
        <f>ROUND(IF(MinBase3Day&gt;ROUND(((1-(ThreeDayDiscount_21_Up+FedExExrpessEarnedDiscount))*'3Day Base'!E93),2),ROUND(MinBase3Day*(1+ExpressFuelSurcharge),2),ROUND(((1-(ThreeDayDiscount_21_Up+FedExExrpessEarnedDiscount))*'3Day Base'!E93)*(1+ExpressFuelSurcharge),2))*(1+FedEx_Markup),2)</f>
        <v>189.04</v>
      </c>
      <c r="F96" s="218">
        <f>ROUND(IF(MinBase3Day&gt;ROUND(((1-(ThreeDayDiscount_21_Up+FedExExrpessEarnedDiscount))*'3Day Base'!F93),2),ROUND(MinBase3Day*(1+ExpressFuelSurcharge),2),ROUND(((1-(ThreeDayDiscount_21_Up+FedExExrpessEarnedDiscount))*'3Day Base'!F93)*(1+ExpressFuelSurcharge),2))*(1+FedEx_Markup),2)</f>
        <v>245.34</v>
      </c>
      <c r="G96" s="218">
        <f>ROUND(IF(MinBase3Day&gt;ROUND(((1-(ThreeDayDiscount_21_Up+FedExExrpessEarnedDiscount))*'3Day Base'!G93),2),ROUND(MinBase3Day*(1+ExpressFuelSurcharge),2),ROUND(((1-(ThreeDayDiscount_21_Up+FedExExrpessEarnedDiscount))*'3Day Base'!G93)*(1+ExpressFuelSurcharge),2))*(1+FedEx_Markup),2)</f>
        <v>289.42</v>
      </c>
      <c r="H96" s="218">
        <f>ROUND(IF(MinBase3Day&gt;ROUND(((1-(ThreeDayDiscount_21_Up+FedExExrpessEarnedDiscount))*'3Day Base'!H93),2),ROUND(MinBase3Day*(1+ExpressFuelSurcharge),2),ROUND(((1-(ThreeDayDiscount_21_Up+FedExExrpessEarnedDiscount))*'3Day Base'!H93)*(1+ExpressFuelSurcharge),2))*(1+FedEx_Markup),2)</f>
        <v>335.39</v>
      </c>
    </row>
    <row r="97" spans="1:8" ht="13.5" customHeight="1">
      <c r="A97" s="217">
        <v>92</v>
      </c>
      <c r="B97" s="218">
        <f>ROUND(IF(MinBase3Day&gt;ROUND(((1-(ThreeDayDiscount_21_Up+FedExExrpessEarnedDiscount))*'3Day Base'!B94),2),ROUND(MinBase3Day*(1+ExpressFuelSurcharge),2),ROUND(((1-(ThreeDayDiscount_21_Up+FedExExrpessEarnedDiscount))*'3Day Base'!B94)*(1+ExpressFuelSurcharge),2))*(1+FedEx_Markup),2)</f>
        <v>87.34</v>
      </c>
      <c r="C97" s="218">
        <f>ROUND(IF(MinBase3Day&gt;ROUND(((1-(ThreeDayDiscount_21_Up+FedExExrpessEarnedDiscount))*'3Day Base'!C94),2),ROUND(MinBase3Day*(1+ExpressFuelSurcharge),2),ROUND(((1-(ThreeDayDiscount_21_Up+FedExExrpessEarnedDiscount))*'3Day Base'!C94)*(1+ExpressFuelSurcharge),2))*(1+FedEx_Markup),2)</f>
        <v>112.95</v>
      </c>
      <c r="D97" s="218">
        <f>ROUND(IF(MinBase3Day&gt;ROUND(((1-(ThreeDayDiscount_21_Up+FedExExrpessEarnedDiscount))*'3Day Base'!D94),2),ROUND(MinBase3Day*(1+ExpressFuelSurcharge),2),ROUND(((1-(ThreeDayDiscount_21_Up+FedExExrpessEarnedDiscount))*'3Day Base'!D94)*(1+ExpressFuelSurcharge),2))*(1+FedEx_Markup),2)</f>
        <v>134.08000000000001</v>
      </c>
      <c r="E97" s="218">
        <f>ROUND(IF(MinBase3Day&gt;ROUND(((1-(ThreeDayDiscount_21_Up+FedExExrpessEarnedDiscount))*'3Day Base'!E94),2),ROUND(MinBase3Day*(1+ExpressFuelSurcharge),2),ROUND(((1-(ThreeDayDiscount_21_Up+FedExExrpessEarnedDiscount))*'3Day Base'!E94)*(1+ExpressFuelSurcharge),2))*(1+FedEx_Markup),2)</f>
        <v>189.78</v>
      </c>
      <c r="F97" s="218">
        <f>ROUND(IF(MinBase3Day&gt;ROUND(((1-(ThreeDayDiscount_21_Up+FedExExrpessEarnedDiscount))*'3Day Base'!F94),2),ROUND(MinBase3Day*(1+ExpressFuelSurcharge),2),ROUND(((1-(ThreeDayDiscount_21_Up+FedExExrpessEarnedDiscount))*'3Day Base'!F94)*(1+ExpressFuelSurcharge),2))*(1+FedEx_Markup),2)</f>
        <v>246.04</v>
      </c>
      <c r="G97" s="218">
        <f>ROUND(IF(MinBase3Day&gt;ROUND(((1-(ThreeDayDiscount_21_Up+FedExExrpessEarnedDiscount))*'3Day Base'!G94),2),ROUND(MinBase3Day*(1+ExpressFuelSurcharge),2),ROUND(((1-(ThreeDayDiscount_21_Up+FedExExrpessEarnedDiscount))*'3Day Base'!G94)*(1+ExpressFuelSurcharge),2))*(1+FedEx_Markup),2)</f>
        <v>289.85000000000002</v>
      </c>
      <c r="H97" s="218">
        <f>ROUND(IF(MinBase3Day&gt;ROUND(((1-(ThreeDayDiscount_21_Up+FedExExrpessEarnedDiscount))*'3Day Base'!H94),2),ROUND(MinBase3Day*(1+ExpressFuelSurcharge),2),ROUND(((1-(ThreeDayDiscount_21_Up+FedExExrpessEarnedDiscount))*'3Day Base'!H94)*(1+ExpressFuelSurcharge),2))*(1+FedEx_Markup),2)</f>
        <v>336.1</v>
      </c>
    </row>
    <row r="98" spans="1:8" ht="13.5" customHeight="1">
      <c r="A98" s="217">
        <v>93</v>
      </c>
      <c r="B98" s="218">
        <f>ROUND(IF(MinBase3Day&gt;ROUND(((1-(ThreeDayDiscount_21_Up+FedExExrpessEarnedDiscount))*'3Day Base'!B95),2),ROUND(MinBase3Day*(1+ExpressFuelSurcharge),2),ROUND(((1-(ThreeDayDiscount_21_Up+FedExExrpessEarnedDiscount))*'3Day Base'!B95)*(1+ExpressFuelSurcharge),2))*(1+FedEx_Markup),2)</f>
        <v>88.07</v>
      </c>
      <c r="C98" s="218">
        <f>ROUND(IF(MinBase3Day&gt;ROUND(((1-(ThreeDayDiscount_21_Up+FedExExrpessEarnedDiscount))*'3Day Base'!C95),2),ROUND(MinBase3Day*(1+ExpressFuelSurcharge),2),ROUND(((1-(ThreeDayDiscount_21_Up+FedExExrpessEarnedDiscount))*'3Day Base'!C95)*(1+ExpressFuelSurcharge),2))*(1+FedEx_Markup),2)</f>
        <v>113.54</v>
      </c>
      <c r="D98" s="218">
        <f>ROUND(IF(MinBase3Day&gt;ROUND(((1-(ThreeDayDiscount_21_Up+FedExExrpessEarnedDiscount))*'3Day Base'!D95),2),ROUND(MinBase3Day*(1+ExpressFuelSurcharge),2),ROUND(((1-(ThreeDayDiscount_21_Up+FedExExrpessEarnedDiscount))*'3Day Base'!D95)*(1+ExpressFuelSurcharge),2))*(1+FedEx_Markup),2)</f>
        <v>134.5</v>
      </c>
      <c r="E98" s="218">
        <f>ROUND(IF(MinBase3Day&gt;ROUND(((1-(ThreeDayDiscount_21_Up+FedExExrpessEarnedDiscount))*'3Day Base'!E95),2),ROUND(MinBase3Day*(1+ExpressFuelSurcharge),2),ROUND(((1-(ThreeDayDiscount_21_Up+FedExExrpessEarnedDiscount))*'3Day Base'!E95)*(1+ExpressFuelSurcharge),2))*(1+FedEx_Markup),2)</f>
        <v>190.21</v>
      </c>
      <c r="F98" s="218">
        <f>ROUND(IF(MinBase3Day&gt;ROUND(((1-(ThreeDayDiscount_21_Up+FedExExrpessEarnedDiscount))*'3Day Base'!F95),2),ROUND(MinBase3Day*(1+ExpressFuelSurcharge),2),ROUND(((1-(ThreeDayDiscount_21_Up+FedExExrpessEarnedDiscount))*'3Day Base'!F95)*(1+ExpressFuelSurcharge),2))*(1+FedEx_Markup),2)</f>
        <v>246.73</v>
      </c>
      <c r="G98" s="218">
        <f>ROUND(IF(MinBase3Day&gt;ROUND(((1-(ThreeDayDiscount_21_Up+FedExExrpessEarnedDiscount))*'3Day Base'!G95),2),ROUND(MinBase3Day*(1+ExpressFuelSurcharge),2),ROUND(((1-(ThreeDayDiscount_21_Up+FedExExrpessEarnedDiscount))*'3Day Base'!G95)*(1+ExpressFuelSurcharge),2))*(1+FedEx_Markup),2)</f>
        <v>290.26</v>
      </c>
      <c r="H98" s="218">
        <f>ROUND(IF(MinBase3Day&gt;ROUND(((1-(ThreeDayDiscount_21_Up+FedExExrpessEarnedDiscount))*'3Day Base'!H95),2),ROUND(MinBase3Day*(1+ExpressFuelSurcharge),2),ROUND(((1-(ThreeDayDiscount_21_Up+FedExExrpessEarnedDiscount))*'3Day Base'!H95)*(1+ExpressFuelSurcharge),2))*(1+FedEx_Markup),2)</f>
        <v>336.78</v>
      </c>
    </row>
    <row r="99" spans="1:8" ht="13.5" customHeight="1">
      <c r="A99" s="217">
        <v>94</v>
      </c>
      <c r="B99" s="218">
        <f>ROUND(IF(MinBase3Day&gt;ROUND(((1-(ThreeDayDiscount_21_Up+FedExExrpessEarnedDiscount))*'3Day Base'!B96),2),ROUND(MinBase3Day*(1+ExpressFuelSurcharge),2),ROUND(((1-(ThreeDayDiscount_21_Up+FedExExrpessEarnedDiscount))*'3Day Base'!B96)*(1+ExpressFuelSurcharge),2))*(1+FedEx_Markup),2)</f>
        <v>88.7</v>
      </c>
      <c r="C99" s="218">
        <f>ROUND(IF(MinBase3Day&gt;ROUND(((1-(ThreeDayDiscount_21_Up+FedExExrpessEarnedDiscount))*'3Day Base'!C96),2),ROUND(MinBase3Day*(1+ExpressFuelSurcharge),2),ROUND(((1-(ThreeDayDiscount_21_Up+FedExExrpessEarnedDiscount))*'3Day Base'!C96)*(1+ExpressFuelSurcharge),2))*(1+FedEx_Markup),2)</f>
        <v>114.14</v>
      </c>
      <c r="D99" s="218">
        <f>ROUND(IF(MinBase3Day&gt;ROUND(((1-(ThreeDayDiscount_21_Up+FedExExrpessEarnedDiscount))*'3Day Base'!D96),2),ROUND(MinBase3Day*(1+ExpressFuelSurcharge),2),ROUND(((1-(ThreeDayDiscount_21_Up+FedExExrpessEarnedDiscount))*'3Day Base'!D96)*(1+ExpressFuelSurcharge),2))*(1+FedEx_Markup),2)</f>
        <v>135.26</v>
      </c>
      <c r="E99" s="218">
        <f>ROUND(IF(MinBase3Day&gt;ROUND(((1-(ThreeDayDiscount_21_Up+FedExExrpessEarnedDiscount))*'3Day Base'!E96),2),ROUND(MinBase3Day*(1+ExpressFuelSurcharge),2),ROUND(((1-(ThreeDayDiscount_21_Up+FedExExrpessEarnedDiscount))*'3Day Base'!E96)*(1+ExpressFuelSurcharge),2))*(1+FedEx_Markup),2)</f>
        <v>191.18</v>
      </c>
      <c r="F99" s="218">
        <f>ROUND(IF(MinBase3Day&gt;ROUND(((1-(ThreeDayDiscount_21_Up+FedExExrpessEarnedDiscount))*'3Day Base'!F96),2),ROUND(MinBase3Day*(1+ExpressFuelSurcharge),2),ROUND(((1-(ThreeDayDiscount_21_Up+FedExExrpessEarnedDiscount))*'3Day Base'!F96)*(1+ExpressFuelSurcharge),2))*(1+FedEx_Markup),2)</f>
        <v>247.43</v>
      </c>
      <c r="G99" s="218">
        <f>ROUND(IF(MinBase3Day&gt;ROUND(((1-(ThreeDayDiscount_21_Up+FedExExrpessEarnedDiscount))*'3Day Base'!G96),2),ROUND(MinBase3Day*(1+ExpressFuelSurcharge),2),ROUND(((1-(ThreeDayDiscount_21_Up+FedExExrpessEarnedDiscount))*'3Day Base'!G96)*(1+ExpressFuelSurcharge),2))*(1+FedEx_Markup),2)</f>
        <v>290.69</v>
      </c>
      <c r="H99" s="218">
        <f>ROUND(IF(MinBase3Day&gt;ROUND(((1-(ThreeDayDiscount_21_Up+FedExExrpessEarnedDiscount))*'3Day Base'!H96),2),ROUND(MinBase3Day*(1+ExpressFuelSurcharge),2),ROUND(((1-(ThreeDayDiscount_21_Up+FedExExrpessEarnedDiscount))*'3Day Base'!H96)*(1+ExpressFuelSurcharge),2))*(1+FedEx_Markup),2)</f>
        <v>337.63</v>
      </c>
    </row>
    <row r="100" spans="1:8" ht="13.5" customHeight="1">
      <c r="A100" s="217">
        <v>95</v>
      </c>
      <c r="B100" s="218">
        <f>ROUND(IF(MinBase3Day&gt;ROUND(((1-(ThreeDayDiscount_21_Up+FedExExrpessEarnedDiscount))*'3Day Base'!B97),2),ROUND(MinBase3Day*(1+ExpressFuelSurcharge),2),ROUND(((1-(ThreeDayDiscount_21_Up+FedExExrpessEarnedDiscount))*'3Day Base'!B97)*(1+ExpressFuelSurcharge),2))*(1+FedEx_Markup),2)</f>
        <v>89.46</v>
      </c>
      <c r="C100" s="218">
        <f>ROUND(IF(MinBase3Day&gt;ROUND(((1-(ThreeDayDiscount_21_Up+FedExExrpessEarnedDiscount))*'3Day Base'!C97),2),ROUND(MinBase3Day*(1+ExpressFuelSurcharge),2),ROUND(((1-(ThreeDayDiscount_21_Up+FedExExrpessEarnedDiscount))*'3Day Base'!C97)*(1+ExpressFuelSurcharge),2))*(1+FedEx_Markup),2)</f>
        <v>114.72</v>
      </c>
      <c r="D100" s="218">
        <f>ROUND(IF(MinBase3Day&gt;ROUND(((1-(ThreeDayDiscount_21_Up+FedExExrpessEarnedDiscount))*'3Day Base'!D97),2),ROUND(MinBase3Day*(1+ExpressFuelSurcharge),2),ROUND(((1-(ThreeDayDiscount_21_Up+FedExExrpessEarnedDiscount))*'3Day Base'!D97)*(1+ExpressFuelSurcharge),2))*(1+FedEx_Markup),2)</f>
        <v>135.85</v>
      </c>
      <c r="E100" s="218">
        <f>ROUND(IF(MinBase3Day&gt;ROUND(((1-(ThreeDayDiscount_21_Up+FedExExrpessEarnedDiscount))*'3Day Base'!E97),2),ROUND(MinBase3Day*(1+ExpressFuelSurcharge),2),ROUND(((1-(ThreeDayDiscount_21_Up+FedExExrpessEarnedDiscount))*'3Day Base'!E97)*(1+ExpressFuelSurcharge),2))*(1+FedEx_Markup),2)</f>
        <v>191.87</v>
      </c>
      <c r="F100" s="218">
        <f>ROUND(IF(MinBase3Day&gt;ROUND(((1-(ThreeDayDiscount_21_Up+FedExExrpessEarnedDiscount))*'3Day Base'!F97),2),ROUND(MinBase3Day*(1+ExpressFuelSurcharge),2),ROUND(((1-(ThreeDayDiscount_21_Up+FedExExrpessEarnedDiscount))*'3Day Base'!F97)*(1+ExpressFuelSurcharge),2))*(1+FedEx_Markup),2)</f>
        <v>248.46</v>
      </c>
      <c r="G100" s="218">
        <f>ROUND(IF(MinBase3Day&gt;ROUND(((1-(ThreeDayDiscount_21_Up+FedExExrpessEarnedDiscount))*'3Day Base'!G97),2),ROUND(MinBase3Day*(1+ExpressFuelSurcharge),2),ROUND(((1-(ThreeDayDiscount_21_Up+FedExExrpessEarnedDiscount))*'3Day Base'!G97)*(1+ExpressFuelSurcharge),2))*(1+FedEx_Markup),2)</f>
        <v>291.11</v>
      </c>
      <c r="H100" s="218">
        <f>ROUND(IF(MinBase3Day&gt;ROUND(((1-(ThreeDayDiscount_21_Up+FedExExrpessEarnedDiscount))*'3Day Base'!H97),2),ROUND(MinBase3Day*(1+ExpressFuelSurcharge),2),ROUND(((1-(ThreeDayDiscount_21_Up+FedExExrpessEarnedDiscount))*'3Day Base'!H97)*(1+ExpressFuelSurcharge),2))*(1+FedEx_Markup),2)</f>
        <v>354.59</v>
      </c>
    </row>
    <row r="101" spans="1:8" ht="13.5" customHeight="1">
      <c r="A101" s="217">
        <v>96</v>
      </c>
      <c r="B101" s="218">
        <f>ROUND(IF(MinBase3Day&gt;ROUND(((1-(ThreeDayDiscount_21_Up+FedExExrpessEarnedDiscount))*'3Day Base'!B98),2),ROUND(MinBase3Day*(1+ExpressFuelSurcharge),2),ROUND(((1-(ThreeDayDiscount_21_Up+FedExExrpessEarnedDiscount))*'3Day Base'!B98)*(1+ExpressFuelSurcharge),2))*(1+FedEx_Markup),2)</f>
        <v>91.47</v>
      </c>
      <c r="C101" s="218">
        <f>ROUND(IF(MinBase3Day&gt;ROUND(((1-(ThreeDayDiscount_21_Up+FedExExrpessEarnedDiscount))*'3Day Base'!C98),2),ROUND(MinBase3Day*(1+ExpressFuelSurcharge),2),ROUND(((1-(ThreeDayDiscount_21_Up+FedExExrpessEarnedDiscount))*'3Day Base'!C98)*(1+ExpressFuelSurcharge),2))*(1+FedEx_Markup),2)</f>
        <v>115.25</v>
      </c>
      <c r="D101" s="218">
        <f>ROUND(IF(MinBase3Day&gt;ROUND(((1-(ThreeDayDiscount_21_Up+FedExExrpessEarnedDiscount))*'3Day Base'!D98),2),ROUND(MinBase3Day*(1+ExpressFuelSurcharge),2),ROUND(((1-(ThreeDayDiscount_21_Up+FedExExrpessEarnedDiscount))*'3Day Base'!D98)*(1+ExpressFuelSurcharge),2))*(1+FedEx_Markup),2)</f>
        <v>138.03</v>
      </c>
      <c r="E101" s="218">
        <f>ROUND(IF(MinBase3Day&gt;ROUND(((1-(ThreeDayDiscount_21_Up+FedExExrpessEarnedDiscount))*'3Day Base'!E98),2),ROUND(MinBase3Day*(1+ExpressFuelSurcharge),2),ROUND(((1-(ThreeDayDiscount_21_Up+FedExExrpessEarnedDiscount))*'3Day Base'!E98)*(1+ExpressFuelSurcharge),2))*(1+FedEx_Markup),2)</f>
        <v>192.29</v>
      </c>
      <c r="F101" s="218">
        <f>ROUND(IF(MinBase3Day&gt;ROUND(((1-(ThreeDayDiscount_21_Up+FedExExrpessEarnedDiscount))*'3Day Base'!F98),2),ROUND(MinBase3Day*(1+ExpressFuelSurcharge),2),ROUND(((1-(ThreeDayDiscount_21_Up+FedExExrpessEarnedDiscount))*'3Day Base'!F98)*(1+ExpressFuelSurcharge),2))*(1+FedEx_Markup),2)</f>
        <v>268.32</v>
      </c>
      <c r="G101" s="218">
        <f>ROUND(IF(MinBase3Day&gt;ROUND(((1-(ThreeDayDiscount_21_Up+FedExExrpessEarnedDiscount))*'3Day Base'!G98),2),ROUND(MinBase3Day*(1+ExpressFuelSurcharge),2),ROUND(((1-(ThreeDayDiscount_21_Up+FedExExrpessEarnedDiscount))*'3Day Base'!G98)*(1+ExpressFuelSurcharge),2))*(1+FedEx_Markup),2)</f>
        <v>291.52999999999997</v>
      </c>
      <c r="H101" s="218">
        <f>ROUND(IF(MinBase3Day&gt;ROUND(((1-(ThreeDayDiscount_21_Up+FedExExrpessEarnedDiscount))*'3Day Base'!H98),2),ROUND(MinBase3Day*(1+ExpressFuelSurcharge),2),ROUND(((1-(ThreeDayDiscount_21_Up+FedExExrpessEarnedDiscount))*'3Day Base'!H98)*(1+ExpressFuelSurcharge),2))*(1+FedEx_Markup),2)</f>
        <v>364.71</v>
      </c>
    </row>
    <row r="102" spans="1:8" ht="13.5" customHeight="1">
      <c r="A102" s="217">
        <v>97</v>
      </c>
      <c r="B102" s="218">
        <f>ROUND(IF(MinBase3Day&gt;ROUND(((1-(ThreeDayDiscount_21_Up+FedExExrpessEarnedDiscount))*'3Day Base'!B99),2),ROUND(MinBase3Day*(1+ExpressFuelSurcharge),2),ROUND(((1-(ThreeDayDiscount_21_Up+FedExExrpessEarnedDiscount))*'3Day Base'!B99)*(1+ExpressFuelSurcharge),2))*(1+FedEx_Markup),2)</f>
        <v>92.03</v>
      </c>
      <c r="C102" s="218">
        <f>ROUND(IF(MinBase3Day&gt;ROUND(((1-(ThreeDayDiscount_21_Up+FedExExrpessEarnedDiscount))*'3Day Base'!C99),2),ROUND(MinBase3Day*(1+ExpressFuelSurcharge),2),ROUND(((1-(ThreeDayDiscount_21_Up+FedExExrpessEarnedDiscount))*'3Day Base'!C99)*(1+ExpressFuelSurcharge),2))*(1+FedEx_Markup),2)</f>
        <v>115.89</v>
      </c>
      <c r="D102" s="218">
        <f>ROUND(IF(MinBase3Day&gt;ROUND(((1-(ThreeDayDiscount_21_Up+FedExExrpessEarnedDiscount))*'3Day Base'!D99),2),ROUND(MinBase3Day*(1+ExpressFuelSurcharge),2),ROUND(((1-(ThreeDayDiscount_21_Up+FedExExrpessEarnedDiscount))*'3Day Base'!D99)*(1+ExpressFuelSurcharge),2))*(1+FedEx_Markup),2)</f>
        <v>138.44999999999999</v>
      </c>
      <c r="E102" s="218">
        <f>ROUND(IF(MinBase3Day&gt;ROUND(((1-(ThreeDayDiscount_21_Up+FedExExrpessEarnedDiscount))*'3Day Base'!E99),2),ROUND(MinBase3Day*(1+ExpressFuelSurcharge),2),ROUND(((1-(ThreeDayDiscount_21_Up+FedExExrpessEarnedDiscount))*'3Day Base'!E99)*(1+ExpressFuelSurcharge),2))*(1+FedEx_Markup),2)</f>
        <v>192.71</v>
      </c>
      <c r="F102" s="218">
        <f>ROUND(IF(MinBase3Day&gt;ROUND(((1-(ThreeDayDiscount_21_Up+FedExExrpessEarnedDiscount))*'3Day Base'!F99),2),ROUND(MinBase3Day*(1+ExpressFuelSurcharge),2),ROUND(((1-(ThreeDayDiscount_21_Up+FedExExrpessEarnedDiscount))*'3Day Base'!F99)*(1+ExpressFuelSurcharge),2))*(1+FedEx_Markup),2)</f>
        <v>270.31</v>
      </c>
      <c r="G102" s="218">
        <f>ROUND(IF(MinBase3Day&gt;ROUND(((1-(ThreeDayDiscount_21_Up+FedExExrpessEarnedDiscount))*'3Day Base'!G99),2),ROUND(MinBase3Day*(1+ExpressFuelSurcharge),2),ROUND(((1-(ThreeDayDiscount_21_Up+FedExExrpessEarnedDiscount))*'3Day Base'!G99)*(1+ExpressFuelSurcharge),2))*(1+FedEx_Markup),2)</f>
        <v>291.95</v>
      </c>
      <c r="H102" s="218">
        <f>ROUND(IF(MinBase3Day&gt;ROUND(((1-(ThreeDayDiscount_21_Up+FedExExrpessEarnedDiscount))*'3Day Base'!H99),2),ROUND(MinBase3Day*(1+ExpressFuelSurcharge),2),ROUND(((1-(ThreeDayDiscount_21_Up+FedExExrpessEarnedDiscount))*'3Day Base'!H99)*(1+ExpressFuelSurcharge),2))*(1+FedEx_Markup),2)</f>
        <v>365.72</v>
      </c>
    </row>
    <row r="103" spans="1:8" ht="13.5" customHeight="1">
      <c r="A103" s="217">
        <v>98</v>
      </c>
      <c r="B103" s="218">
        <f>ROUND(IF(MinBase3Day&gt;ROUND(((1-(ThreeDayDiscount_21_Up+FedExExrpessEarnedDiscount))*'3Day Base'!B100),2),ROUND(MinBase3Day*(1+ExpressFuelSurcharge),2),ROUND(((1-(ThreeDayDiscount_21_Up+FedExExrpessEarnedDiscount))*'3Day Base'!B100)*(1+ExpressFuelSurcharge),2))*(1+FedEx_Markup),2)</f>
        <v>95.8</v>
      </c>
      <c r="C103" s="218">
        <f>ROUND(IF(MinBase3Day&gt;ROUND(((1-(ThreeDayDiscount_21_Up+FedExExrpessEarnedDiscount))*'3Day Base'!C100),2),ROUND(MinBase3Day*(1+ExpressFuelSurcharge),2),ROUND(((1-(ThreeDayDiscount_21_Up+FedExExrpessEarnedDiscount))*'3Day Base'!C100)*(1+ExpressFuelSurcharge),2))*(1+FedEx_Markup),2)</f>
        <v>116.48</v>
      </c>
      <c r="D103" s="218">
        <f>ROUND(IF(MinBase3Day&gt;ROUND(((1-(ThreeDayDiscount_21_Up+FedExExrpessEarnedDiscount))*'3Day Base'!D100),2),ROUND(MinBase3Day*(1+ExpressFuelSurcharge),2),ROUND(((1-(ThreeDayDiscount_21_Up+FedExExrpessEarnedDiscount))*'3Day Base'!D100)*(1+ExpressFuelSurcharge),2))*(1+FedEx_Markup),2)</f>
        <v>143.69</v>
      </c>
      <c r="E103" s="218">
        <f>ROUND(IF(MinBase3Day&gt;ROUND(((1-(ThreeDayDiscount_21_Up+FedExExrpessEarnedDiscount))*'3Day Base'!E100),2),ROUND(MinBase3Day*(1+ExpressFuelSurcharge),2),ROUND(((1-(ThreeDayDiscount_21_Up+FedExExrpessEarnedDiscount))*'3Day Base'!E100)*(1+ExpressFuelSurcharge),2))*(1+FedEx_Markup),2)</f>
        <v>193.14</v>
      </c>
      <c r="F103" s="218">
        <f>ROUND(IF(MinBase3Day&gt;ROUND(((1-(ThreeDayDiscount_21_Up+FedExExrpessEarnedDiscount))*'3Day Base'!F100),2),ROUND(MinBase3Day*(1+ExpressFuelSurcharge),2),ROUND(((1-(ThreeDayDiscount_21_Up+FedExExrpessEarnedDiscount))*'3Day Base'!F100)*(1+ExpressFuelSurcharge),2))*(1+FedEx_Markup),2)</f>
        <v>270.93</v>
      </c>
      <c r="G103" s="218">
        <f>ROUND(IF(MinBase3Day&gt;ROUND(((1-(ThreeDayDiscount_21_Up+FedExExrpessEarnedDiscount))*'3Day Base'!G100),2),ROUND(MinBase3Day*(1+ExpressFuelSurcharge),2),ROUND(((1-(ThreeDayDiscount_21_Up+FedExExrpessEarnedDiscount))*'3Day Base'!G100)*(1+ExpressFuelSurcharge),2))*(1+FedEx_Markup),2)</f>
        <v>292.93</v>
      </c>
      <c r="H103" s="218">
        <f>ROUND(IF(MinBase3Day&gt;ROUND(((1-(ThreeDayDiscount_21_Up+FedExExrpessEarnedDiscount))*'3Day Base'!H100),2),ROUND(MinBase3Day*(1+ExpressFuelSurcharge),2),ROUND(((1-(ThreeDayDiscount_21_Up+FedExExrpessEarnedDiscount))*'3Day Base'!H100)*(1+ExpressFuelSurcharge),2))*(1+FedEx_Markup),2)</f>
        <v>366.26</v>
      </c>
    </row>
    <row r="104" spans="1:8" ht="13.5" customHeight="1">
      <c r="A104" s="217">
        <v>99</v>
      </c>
      <c r="B104" s="218">
        <f>ROUND(IF(MinBase3Day&gt;ROUND(((1-(ThreeDayDiscount_21_Up+FedExExrpessEarnedDiscount))*'3Day Base'!B101),2),ROUND(MinBase3Day*(1+ExpressFuelSurcharge),2),ROUND(((1-(ThreeDayDiscount_21_Up+FedExExrpessEarnedDiscount))*'3Day Base'!B101)*(1+ExpressFuelSurcharge),2))*(1+FedEx_Markup),2)</f>
        <v>96.93</v>
      </c>
      <c r="C104" s="218">
        <f>ROUND(IF(MinBase3Day&gt;ROUND(((1-(ThreeDayDiscount_21_Up+FedExExrpessEarnedDiscount))*'3Day Base'!C101),2),ROUND(MinBase3Day*(1+ExpressFuelSurcharge),2),ROUND(((1-(ThreeDayDiscount_21_Up+FedExExrpessEarnedDiscount))*'3Day Base'!C101)*(1+ExpressFuelSurcharge),2))*(1+FedEx_Markup),2)</f>
        <v>117.07</v>
      </c>
      <c r="D104" s="218">
        <f>ROUND(IF(MinBase3Day&gt;ROUND(((1-(ThreeDayDiscount_21_Up+FedExExrpessEarnedDiscount))*'3Day Base'!D101),2),ROUND(MinBase3Day*(1+ExpressFuelSurcharge),2),ROUND(((1-(ThreeDayDiscount_21_Up+FedExExrpessEarnedDiscount))*'3Day Base'!D101)*(1+ExpressFuelSurcharge),2))*(1+FedEx_Markup),2)</f>
        <v>147.07</v>
      </c>
      <c r="E104" s="218">
        <f>ROUND(IF(MinBase3Day&gt;ROUND(((1-(ThreeDayDiscount_21_Up+FedExExrpessEarnedDiscount))*'3Day Base'!E101),2),ROUND(MinBase3Day*(1+ExpressFuelSurcharge),2),ROUND(((1-(ThreeDayDiscount_21_Up+FedExExrpessEarnedDiscount))*'3Day Base'!E101)*(1+ExpressFuelSurcharge),2))*(1+FedEx_Markup),2)</f>
        <v>201.76</v>
      </c>
      <c r="F104" s="218">
        <f>ROUND(IF(MinBase3Day&gt;ROUND(((1-(ThreeDayDiscount_21_Up+FedExExrpessEarnedDiscount))*'3Day Base'!F101),2),ROUND(MinBase3Day*(1+ExpressFuelSurcharge),2),ROUND(((1-(ThreeDayDiscount_21_Up+FedExExrpessEarnedDiscount))*'3Day Base'!F101)*(1+ExpressFuelSurcharge),2))*(1+FedEx_Markup),2)</f>
        <v>283.11</v>
      </c>
      <c r="G104" s="218">
        <f>ROUND(IF(MinBase3Day&gt;ROUND(((1-(ThreeDayDiscount_21_Up+FedExExrpessEarnedDiscount))*'3Day Base'!G101),2),ROUND(MinBase3Day*(1+ExpressFuelSurcharge),2),ROUND(((1-(ThreeDayDiscount_21_Up+FedExExrpessEarnedDiscount))*'3Day Base'!G101)*(1+ExpressFuelSurcharge),2))*(1+FedEx_Markup),2)</f>
        <v>312.62</v>
      </c>
      <c r="H104" s="218">
        <f>ROUND(IF(MinBase3Day&gt;ROUND(((1-(ThreeDayDiscount_21_Up+FedExExrpessEarnedDiscount))*'3Day Base'!H101),2),ROUND(MinBase3Day*(1+ExpressFuelSurcharge),2),ROUND(((1-(ThreeDayDiscount_21_Up+FedExExrpessEarnedDiscount))*'3Day Base'!H101)*(1+ExpressFuelSurcharge),2))*(1+FedEx_Markup),2)</f>
        <v>377.1</v>
      </c>
    </row>
    <row r="105" spans="1:8" ht="13.5" customHeight="1">
      <c r="A105" s="217">
        <v>100</v>
      </c>
      <c r="B105" s="218">
        <f>ROUND(IF(MinBase3Day&gt;ROUND(((1-(ThreeDayDiscount_21_Up+FedExExrpessEarnedDiscount))*'3Day Base'!B102),2),ROUND(MinBase3Day*(1+ExpressFuelSurcharge),2),ROUND(((1-(ThreeDayDiscount_21_Up+FedExExrpessEarnedDiscount))*'3Day Base'!B102)*(1+ExpressFuelSurcharge),2))*(1+FedEx_Markup),2)</f>
        <v>97.36</v>
      </c>
      <c r="C105" s="218">
        <f>ROUND(IF(MinBase3Day&gt;ROUND(((1-(ThreeDayDiscount_21_Up+FedExExrpessEarnedDiscount))*'3Day Base'!C102),2),ROUND(MinBase3Day*(1+ExpressFuelSurcharge),2),ROUND(((1-(ThreeDayDiscount_21_Up+FedExExrpessEarnedDiscount))*'3Day Base'!C102)*(1+ExpressFuelSurcharge),2))*(1+FedEx_Markup),2)</f>
        <v>125.78</v>
      </c>
      <c r="D105" s="218">
        <f>ROUND(IF(MinBase3Day&gt;ROUND(((1-(ThreeDayDiscount_21_Up+FedExExrpessEarnedDiscount))*'3Day Base'!D102),2),ROUND(MinBase3Day*(1+ExpressFuelSurcharge),2),ROUND(((1-(ThreeDayDiscount_21_Up+FedExExrpessEarnedDiscount))*'3Day Base'!D102)*(1+ExpressFuelSurcharge),2))*(1+FedEx_Markup),2)</f>
        <v>161.03</v>
      </c>
      <c r="E105" s="218">
        <f>ROUND(IF(MinBase3Day&gt;ROUND(((1-(ThreeDayDiscount_21_Up+FedExExrpessEarnedDiscount))*'3Day Base'!E102),2),ROUND(MinBase3Day*(1+ExpressFuelSurcharge),2),ROUND(((1-(ThreeDayDiscount_21_Up+FedExExrpessEarnedDiscount))*'3Day Base'!E102)*(1+ExpressFuelSurcharge),2))*(1+FedEx_Markup),2)</f>
        <v>222.62</v>
      </c>
      <c r="F105" s="218">
        <f>ROUND(IF(MinBase3Day&gt;ROUND(((1-(ThreeDayDiscount_21_Up+FedExExrpessEarnedDiscount))*'3Day Base'!F102),2),ROUND(MinBase3Day*(1+ExpressFuelSurcharge),2),ROUND(((1-(ThreeDayDiscount_21_Up+FedExExrpessEarnedDiscount))*'3Day Base'!F102)*(1+ExpressFuelSurcharge),2))*(1+FedEx_Markup),2)</f>
        <v>313.13</v>
      </c>
      <c r="G105" s="218">
        <f>ROUND(IF(MinBase3Day&gt;ROUND(((1-(ThreeDayDiscount_21_Up+FedExExrpessEarnedDiscount))*'3Day Base'!G102),2),ROUND(MinBase3Day*(1+ExpressFuelSurcharge),2),ROUND(((1-(ThreeDayDiscount_21_Up+FedExExrpessEarnedDiscount))*'3Day Base'!G102)*(1+ExpressFuelSurcharge),2))*(1+FedEx_Markup),2)</f>
        <v>346.29</v>
      </c>
      <c r="H105" s="218">
        <f>ROUND(IF(MinBase3Day&gt;ROUND(((1-(ThreeDayDiscount_21_Up+FedExExrpessEarnedDiscount))*'3Day Base'!H102),2),ROUND(MinBase3Day*(1+ExpressFuelSurcharge),2),ROUND(((1-(ThreeDayDiscount_21_Up+FedExExrpessEarnedDiscount))*'3Day Base'!H102)*(1+ExpressFuelSurcharge),2))*(1+FedEx_Markup),2)</f>
        <v>396.28</v>
      </c>
    </row>
    <row r="106" spans="1:8" ht="13.5" customHeight="1">
      <c r="A106" s="217">
        <v>101</v>
      </c>
      <c r="B106" s="218">
        <f>ROUND(IF(MinBase3Day&gt;ROUND(((1-(ThreeDayDiscount_21_Up+FedExExrpessEarnedDiscount))*'3Day Base'!B103),2),ROUND(MinBase3Day*(1+ExpressFuelSurcharge),2),ROUND(((1-(ThreeDayDiscount_21_Up+FedExExrpessEarnedDiscount))*'3Day Base'!B103)*(1+ExpressFuelSurcharge),2))*(1+FedEx_Markup),2)</f>
        <v>98.34</v>
      </c>
      <c r="C106" s="218">
        <f>ROUND(IF(MinBase3Day&gt;ROUND(((1-(ThreeDayDiscount_21_Up+FedExExrpessEarnedDiscount))*'3Day Base'!C103),2),ROUND(MinBase3Day*(1+ExpressFuelSurcharge),2),ROUND(((1-(ThreeDayDiscount_21_Up+FedExExrpessEarnedDiscount))*'3Day Base'!C103)*(1+ExpressFuelSurcharge),2))*(1+FedEx_Markup),2)</f>
        <v>127.04</v>
      </c>
      <c r="D106" s="218">
        <f>ROUND(IF(MinBase3Day&gt;ROUND(((1-(ThreeDayDiscount_21_Up+FedExExrpessEarnedDiscount))*'3Day Base'!D103),2),ROUND(MinBase3Day*(1+ExpressFuelSurcharge),2),ROUND(((1-(ThreeDayDiscount_21_Up+FedExExrpessEarnedDiscount))*'3Day Base'!D103)*(1+ExpressFuelSurcharge),2))*(1+FedEx_Markup),2)</f>
        <v>162.63999999999999</v>
      </c>
      <c r="E106" s="218">
        <f>ROUND(IF(MinBase3Day&gt;ROUND(((1-(ThreeDayDiscount_21_Up+FedExExrpessEarnedDiscount))*'3Day Base'!E103),2),ROUND(MinBase3Day*(1+ExpressFuelSurcharge),2),ROUND(((1-(ThreeDayDiscount_21_Up+FedExExrpessEarnedDiscount))*'3Day Base'!E103)*(1+ExpressFuelSurcharge),2))*(1+FedEx_Markup),2)</f>
        <v>224.84</v>
      </c>
      <c r="F106" s="218">
        <f>ROUND(IF(MinBase3Day&gt;ROUND(((1-(ThreeDayDiscount_21_Up+FedExExrpessEarnedDiscount))*'3Day Base'!F103),2),ROUND(MinBase3Day*(1+ExpressFuelSurcharge),2),ROUND(((1-(ThreeDayDiscount_21_Up+FedExExrpessEarnedDiscount))*'3Day Base'!F103)*(1+ExpressFuelSurcharge),2))*(1+FedEx_Markup),2)</f>
        <v>316.26</v>
      </c>
      <c r="G106" s="218">
        <f>ROUND(IF(MinBase3Day&gt;ROUND(((1-(ThreeDayDiscount_21_Up+FedExExrpessEarnedDiscount))*'3Day Base'!G103),2),ROUND(MinBase3Day*(1+ExpressFuelSurcharge),2),ROUND(((1-(ThreeDayDiscount_21_Up+FedExExrpessEarnedDiscount))*'3Day Base'!G103)*(1+ExpressFuelSurcharge),2))*(1+FedEx_Markup),2)</f>
        <v>349.75</v>
      </c>
      <c r="H106" s="218">
        <f>ROUND(IF(MinBase3Day&gt;ROUND(((1-(ThreeDayDiscount_21_Up+FedExExrpessEarnedDiscount))*'3Day Base'!H103),2),ROUND(MinBase3Day*(1+ExpressFuelSurcharge),2),ROUND(((1-(ThreeDayDiscount_21_Up+FedExExrpessEarnedDiscount))*'3Day Base'!H103)*(1+ExpressFuelSurcharge),2))*(1+FedEx_Markup),2)</f>
        <v>400.25</v>
      </c>
    </row>
    <row r="107" spans="1:8" ht="13.5" customHeight="1">
      <c r="A107" s="217">
        <v>102</v>
      </c>
      <c r="B107" s="218">
        <f>ROUND(IF(MinBase3Day&gt;ROUND(((1-(ThreeDayDiscount_21_Up+FedExExrpessEarnedDiscount))*'3Day Base'!B104),2),ROUND(MinBase3Day*(1+ExpressFuelSurcharge),2),ROUND(((1-(ThreeDayDiscount_21_Up+FedExExrpessEarnedDiscount))*'3Day Base'!B104)*(1+ExpressFuelSurcharge),2))*(1+FedEx_Markup),2)</f>
        <v>99.3</v>
      </c>
      <c r="C107" s="218">
        <f>ROUND(IF(MinBase3Day&gt;ROUND(((1-(ThreeDayDiscount_21_Up+FedExExrpessEarnedDiscount))*'3Day Base'!C104),2),ROUND(MinBase3Day*(1+ExpressFuelSurcharge),2),ROUND(((1-(ThreeDayDiscount_21_Up+FedExExrpessEarnedDiscount))*'3Day Base'!C104)*(1+ExpressFuelSurcharge),2))*(1+FedEx_Markup),2)</f>
        <v>128.29</v>
      </c>
      <c r="D107" s="218">
        <f>ROUND(IF(MinBase3Day&gt;ROUND(((1-(ThreeDayDiscount_21_Up+FedExExrpessEarnedDiscount))*'3Day Base'!D104),2),ROUND(MinBase3Day*(1+ExpressFuelSurcharge),2),ROUND(((1-(ThreeDayDiscount_21_Up+FedExExrpessEarnedDiscount))*'3Day Base'!D104)*(1+ExpressFuelSurcharge),2))*(1+FedEx_Markup),2)</f>
        <v>164.25</v>
      </c>
      <c r="E107" s="218">
        <f>ROUND(IF(MinBase3Day&gt;ROUND(((1-(ThreeDayDiscount_21_Up+FedExExrpessEarnedDiscount))*'3Day Base'!E104),2),ROUND(MinBase3Day*(1+ExpressFuelSurcharge),2),ROUND(((1-(ThreeDayDiscount_21_Up+FedExExrpessEarnedDiscount))*'3Day Base'!E104)*(1+ExpressFuelSurcharge),2))*(1+FedEx_Markup),2)</f>
        <v>227.07</v>
      </c>
      <c r="F107" s="218">
        <f>ROUND(IF(MinBase3Day&gt;ROUND(((1-(ThreeDayDiscount_21_Up+FedExExrpessEarnedDiscount))*'3Day Base'!F104),2),ROUND(MinBase3Day*(1+ExpressFuelSurcharge),2),ROUND(((1-(ThreeDayDiscount_21_Up+FedExExrpessEarnedDiscount))*'3Day Base'!F104)*(1+ExpressFuelSurcharge),2))*(1+FedEx_Markup),2)</f>
        <v>319.39</v>
      </c>
      <c r="G107" s="218">
        <f>ROUND(IF(MinBase3Day&gt;ROUND(((1-(ThreeDayDiscount_21_Up+FedExExrpessEarnedDiscount))*'3Day Base'!G104),2),ROUND(MinBase3Day*(1+ExpressFuelSurcharge),2),ROUND(((1-(ThreeDayDiscount_21_Up+FedExExrpessEarnedDiscount))*'3Day Base'!G104)*(1+ExpressFuelSurcharge),2))*(1+FedEx_Markup),2)</f>
        <v>353.21</v>
      </c>
      <c r="H107" s="218">
        <f>ROUND(IF(MinBase3Day&gt;ROUND(((1-(ThreeDayDiscount_21_Up+FedExExrpessEarnedDiscount))*'3Day Base'!H104),2),ROUND(MinBase3Day*(1+ExpressFuelSurcharge),2),ROUND(((1-(ThreeDayDiscount_21_Up+FedExExrpessEarnedDiscount))*'3Day Base'!H104)*(1+ExpressFuelSurcharge),2))*(1+FedEx_Markup),2)</f>
        <v>404.2</v>
      </c>
    </row>
    <row r="108" spans="1:8" ht="13.5" customHeight="1">
      <c r="A108" s="217">
        <v>103</v>
      </c>
      <c r="B108" s="218">
        <f>ROUND(IF(MinBase3Day&gt;ROUND(((1-(ThreeDayDiscount_21_Up+FedExExrpessEarnedDiscount))*'3Day Base'!B105),2),ROUND(MinBase3Day*(1+ExpressFuelSurcharge),2),ROUND(((1-(ThreeDayDiscount_21_Up+FedExExrpessEarnedDiscount))*'3Day Base'!B105)*(1+ExpressFuelSurcharge),2))*(1+FedEx_Markup),2)</f>
        <v>100.28</v>
      </c>
      <c r="C108" s="218">
        <f>ROUND(IF(MinBase3Day&gt;ROUND(((1-(ThreeDayDiscount_21_Up+FedExExrpessEarnedDiscount))*'3Day Base'!C105),2),ROUND(MinBase3Day*(1+ExpressFuelSurcharge),2),ROUND(((1-(ThreeDayDiscount_21_Up+FedExExrpessEarnedDiscount))*'3Day Base'!C105)*(1+ExpressFuelSurcharge),2))*(1+FedEx_Markup),2)</f>
        <v>129.55000000000001</v>
      </c>
      <c r="D108" s="218">
        <f>ROUND(IF(MinBase3Day&gt;ROUND(((1-(ThreeDayDiscount_21_Up+FedExExrpessEarnedDiscount))*'3Day Base'!D105),2),ROUND(MinBase3Day*(1+ExpressFuelSurcharge),2),ROUND(((1-(ThreeDayDiscount_21_Up+FedExExrpessEarnedDiscount))*'3Day Base'!D105)*(1+ExpressFuelSurcharge),2))*(1+FedEx_Markup),2)</f>
        <v>165.86</v>
      </c>
      <c r="E108" s="218">
        <f>ROUND(IF(MinBase3Day&gt;ROUND(((1-(ThreeDayDiscount_21_Up+FedExExrpessEarnedDiscount))*'3Day Base'!E105),2),ROUND(MinBase3Day*(1+ExpressFuelSurcharge),2),ROUND(((1-(ThreeDayDiscount_21_Up+FedExExrpessEarnedDiscount))*'3Day Base'!E105)*(1+ExpressFuelSurcharge),2))*(1+FedEx_Markup),2)</f>
        <v>229.29</v>
      </c>
      <c r="F108" s="218">
        <f>ROUND(IF(MinBase3Day&gt;ROUND(((1-(ThreeDayDiscount_21_Up+FedExExrpessEarnedDiscount))*'3Day Base'!F105),2),ROUND(MinBase3Day*(1+ExpressFuelSurcharge),2),ROUND(((1-(ThreeDayDiscount_21_Up+FedExExrpessEarnedDiscount))*'3Day Base'!F105)*(1+ExpressFuelSurcharge),2))*(1+FedEx_Markup),2)</f>
        <v>322.52999999999997</v>
      </c>
      <c r="G108" s="218">
        <f>ROUND(IF(MinBase3Day&gt;ROUND(((1-(ThreeDayDiscount_21_Up+FedExExrpessEarnedDiscount))*'3Day Base'!G105),2),ROUND(MinBase3Day*(1+ExpressFuelSurcharge),2),ROUND(((1-(ThreeDayDiscount_21_Up+FedExExrpessEarnedDiscount))*'3Day Base'!G105)*(1+ExpressFuelSurcharge),2))*(1+FedEx_Markup),2)</f>
        <v>356.67</v>
      </c>
      <c r="H108" s="218">
        <f>ROUND(IF(MinBase3Day&gt;ROUND(((1-(ThreeDayDiscount_21_Up+FedExExrpessEarnedDiscount))*'3Day Base'!H105),2),ROUND(MinBase3Day*(1+ExpressFuelSurcharge),2),ROUND(((1-(ThreeDayDiscount_21_Up+FedExExrpessEarnedDiscount))*'3Day Base'!H105)*(1+ExpressFuelSurcharge),2))*(1+FedEx_Markup),2)</f>
        <v>408.17</v>
      </c>
    </row>
    <row r="109" spans="1:8" ht="13.5" customHeight="1">
      <c r="A109" s="217">
        <v>104</v>
      </c>
      <c r="B109" s="218">
        <f>ROUND(IF(MinBase3Day&gt;ROUND(((1-(ThreeDayDiscount_21_Up+FedExExrpessEarnedDiscount))*'3Day Base'!B106),2),ROUND(MinBase3Day*(1+ExpressFuelSurcharge),2),ROUND(((1-(ThreeDayDiscount_21_Up+FedExExrpessEarnedDiscount))*'3Day Base'!B106)*(1+ExpressFuelSurcharge),2))*(1+FedEx_Markup),2)</f>
        <v>101.26</v>
      </c>
      <c r="C109" s="218">
        <f>ROUND(IF(MinBase3Day&gt;ROUND(((1-(ThreeDayDiscount_21_Up+FedExExrpessEarnedDiscount))*'3Day Base'!C106),2),ROUND(MinBase3Day*(1+ExpressFuelSurcharge),2),ROUND(((1-(ThreeDayDiscount_21_Up+FedExExrpessEarnedDiscount))*'3Day Base'!C106)*(1+ExpressFuelSurcharge),2))*(1+FedEx_Markup),2)</f>
        <v>130.81</v>
      </c>
      <c r="D109" s="218">
        <f>ROUND(IF(MinBase3Day&gt;ROUND(((1-(ThreeDayDiscount_21_Up+FedExExrpessEarnedDiscount))*'3Day Base'!D106),2),ROUND(MinBase3Day*(1+ExpressFuelSurcharge),2),ROUND(((1-(ThreeDayDiscount_21_Up+FedExExrpessEarnedDiscount))*'3Day Base'!D106)*(1+ExpressFuelSurcharge),2))*(1+FedEx_Markup),2)</f>
        <v>167.47</v>
      </c>
      <c r="E109" s="218">
        <f>ROUND(IF(MinBase3Day&gt;ROUND(((1-(ThreeDayDiscount_21_Up+FedExExrpessEarnedDiscount))*'3Day Base'!E106),2),ROUND(MinBase3Day*(1+ExpressFuelSurcharge),2),ROUND(((1-(ThreeDayDiscount_21_Up+FedExExrpessEarnedDiscount))*'3Day Base'!E106)*(1+ExpressFuelSurcharge),2))*(1+FedEx_Markup),2)</f>
        <v>231.52</v>
      </c>
      <c r="F109" s="218">
        <f>ROUND(IF(MinBase3Day&gt;ROUND(((1-(ThreeDayDiscount_21_Up+FedExExrpessEarnedDiscount))*'3Day Base'!F106),2),ROUND(MinBase3Day*(1+ExpressFuelSurcharge),2),ROUND(((1-(ThreeDayDiscount_21_Up+FedExExrpessEarnedDiscount))*'3Day Base'!F106)*(1+ExpressFuelSurcharge),2))*(1+FedEx_Markup),2)</f>
        <v>325.66000000000003</v>
      </c>
      <c r="G109" s="218">
        <f>ROUND(IF(MinBase3Day&gt;ROUND(((1-(ThreeDayDiscount_21_Up+FedExExrpessEarnedDiscount))*'3Day Base'!G106),2),ROUND(MinBase3Day*(1+ExpressFuelSurcharge),2),ROUND(((1-(ThreeDayDiscount_21_Up+FedExExrpessEarnedDiscount))*'3Day Base'!G106)*(1+ExpressFuelSurcharge),2))*(1+FedEx_Markup),2)</f>
        <v>360.13</v>
      </c>
      <c r="H109" s="218">
        <f>ROUND(IF(MinBase3Day&gt;ROUND(((1-(ThreeDayDiscount_21_Up+FedExExrpessEarnedDiscount))*'3Day Base'!H106),2),ROUND(MinBase3Day*(1+ExpressFuelSurcharge),2),ROUND(((1-(ThreeDayDiscount_21_Up+FedExExrpessEarnedDiscount))*'3Day Base'!H106)*(1+ExpressFuelSurcharge),2))*(1+FedEx_Markup),2)</f>
        <v>412.14</v>
      </c>
    </row>
    <row r="110" spans="1:8" ht="12.75" customHeight="1">
      <c r="A110" s="217">
        <v>105</v>
      </c>
      <c r="B110" s="218">
        <f>ROUND(IF(MinBase3Day&gt;ROUND(((1-(ThreeDayDiscount_21_Up+FedExExrpessEarnedDiscount))*'3Day Base'!B107),2),ROUND(MinBase3Day*(1+ExpressFuelSurcharge),2),ROUND(((1-(ThreeDayDiscount_21_Up+FedExExrpessEarnedDiscount))*'3Day Base'!B107)*(1+ExpressFuelSurcharge),2))*(1+FedEx_Markup),2)</f>
        <v>102.22</v>
      </c>
      <c r="C110" s="218">
        <f>ROUND(IF(MinBase3Day&gt;ROUND(((1-(ThreeDayDiscount_21_Up+FedExExrpessEarnedDiscount))*'3Day Base'!C107),2),ROUND(MinBase3Day*(1+ExpressFuelSurcharge),2),ROUND(((1-(ThreeDayDiscount_21_Up+FedExExrpessEarnedDiscount))*'3Day Base'!C107)*(1+ExpressFuelSurcharge),2))*(1+FedEx_Markup),2)</f>
        <v>132.07</v>
      </c>
      <c r="D110" s="218">
        <f>ROUND(IF(MinBase3Day&gt;ROUND(((1-(ThreeDayDiscount_21_Up+FedExExrpessEarnedDiscount))*'3Day Base'!D107),2),ROUND(MinBase3Day*(1+ExpressFuelSurcharge),2),ROUND(((1-(ThreeDayDiscount_21_Up+FedExExrpessEarnedDiscount))*'3Day Base'!D107)*(1+ExpressFuelSurcharge),2))*(1+FedEx_Markup),2)</f>
        <v>169.08</v>
      </c>
      <c r="E110" s="218">
        <f>ROUND(IF(MinBase3Day&gt;ROUND(((1-(ThreeDayDiscount_21_Up+FedExExrpessEarnedDiscount))*'3Day Base'!E107),2),ROUND(MinBase3Day*(1+ExpressFuelSurcharge),2),ROUND(((1-(ThreeDayDiscount_21_Up+FedExExrpessEarnedDiscount))*'3Day Base'!E107)*(1+ExpressFuelSurcharge),2))*(1+FedEx_Markup),2)</f>
        <v>233.74</v>
      </c>
      <c r="F110" s="218">
        <f>ROUND(IF(MinBase3Day&gt;ROUND(((1-(ThreeDayDiscount_21_Up+FedExExrpessEarnedDiscount))*'3Day Base'!F107),2),ROUND(MinBase3Day*(1+ExpressFuelSurcharge),2),ROUND(((1-(ThreeDayDiscount_21_Up+FedExExrpessEarnedDiscount))*'3Day Base'!F107)*(1+ExpressFuelSurcharge),2))*(1+FedEx_Markup),2)</f>
        <v>328.79</v>
      </c>
      <c r="G110" s="218">
        <f>ROUND(IF(MinBase3Day&gt;ROUND(((1-(ThreeDayDiscount_21_Up+FedExExrpessEarnedDiscount))*'3Day Base'!G107),2),ROUND(MinBase3Day*(1+ExpressFuelSurcharge),2),ROUND(((1-(ThreeDayDiscount_21_Up+FedExExrpessEarnedDiscount))*'3Day Base'!G107)*(1+ExpressFuelSurcharge),2))*(1+FedEx_Markup),2)</f>
        <v>363.6</v>
      </c>
      <c r="H110" s="218">
        <f>ROUND(IF(MinBase3Day&gt;ROUND(((1-(ThreeDayDiscount_21_Up+FedExExrpessEarnedDiscount))*'3Day Base'!H107),2),ROUND(MinBase3Day*(1+ExpressFuelSurcharge),2),ROUND(((1-(ThreeDayDiscount_21_Up+FedExExrpessEarnedDiscount))*'3Day Base'!H107)*(1+ExpressFuelSurcharge),2))*(1+FedEx_Markup),2)</f>
        <v>416.09</v>
      </c>
    </row>
    <row r="111" spans="1:8" ht="12.75" customHeight="1">
      <c r="A111" s="217">
        <v>106</v>
      </c>
      <c r="B111" s="218">
        <f>ROUND(IF(MinBase3Day&gt;ROUND(((1-(ThreeDayDiscount_21_Up+FedExExrpessEarnedDiscount))*'3Day Base'!B108),2),ROUND(MinBase3Day*(1+ExpressFuelSurcharge),2),ROUND(((1-(ThreeDayDiscount_21_Up+FedExExrpessEarnedDiscount))*'3Day Base'!B108)*(1+ExpressFuelSurcharge),2))*(1+FedEx_Markup),2)</f>
        <v>103.2</v>
      </c>
      <c r="C111" s="218">
        <f>ROUND(IF(MinBase3Day&gt;ROUND(((1-(ThreeDayDiscount_21_Up+FedExExrpessEarnedDiscount))*'3Day Base'!C108),2),ROUND(MinBase3Day*(1+ExpressFuelSurcharge),2),ROUND(((1-(ThreeDayDiscount_21_Up+FedExExrpessEarnedDiscount))*'3Day Base'!C108)*(1+ExpressFuelSurcharge),2))*(1+FedEx_Markup),2)</f>
        <v>133.32</v>
      </c>
      <c r="D111" s="218">
        <f>ROUND(IF(MinBase3Day&gt;ROUND(((1-(ThreeDayDiscount_21_Up+FedExExrpessEarnedDiscount))*'3Day Base'!D108),2),ROUND(MinBase3Day*(1+ExpressFuelSurcharge),2),ROUND(((1-(ThreeDayDiscount_21_Up+FedExExrpessEarnedDiscount))*'3Day Base'!D108)*(1+ExpressFuelSurcharge),2))*(1+FedEx_Markup),2)</f>
        <v>170.71</v>
      </c>
      <c r="E111" s="218">
        <f>ROUND(IF(MinBase3Day&gt;ROUND(((1-(ThreeDayDiscount_21_Up+FedExExrpessEarnedDiscount))*'3Day Base'!E108),2),ROUND(MinBase3Day*(1+ExpressFuelSurcharge),2),ROUND(((1-(ThreeDayDiscount_21_Up+FedExExrpessEarnedDiscount))*'3Day Base'!E108)*(1+ExpressFuelSurcharge),2))*(1+FedEx_Markup),2)</f>
        <v>235.97</v>
      </c>
      <c r="F111" s="218">
        <f>ROUND(IF(MinBase3Day&gt;ROUND(((1-(ThreeDayDiscount_21_Up+FedExExrpessEarnedDiscount))*'3Day Base'!F108),2),ROUND(MinBase3Day*(1+ExpressFuelSurcharge),2),ROUND(((1-(ThreeDayDiscount_21_Up+FedExExrpessEarnedDiscount))*'3Day Base'!F108)*(1+ExpressFuelSurcharge),2))*(1+FedEx_Markup),2)</f>
        <v>331.91</v>
      </c>
      <c r="G111" s="218">
        <f>ROUND(IF(MinBase3Day&gt;ROUND(((1-(ThreeDayDiscount_21_Up+FedExExrpessEarnedDiscount))*'3Day Base'!G108),2),ROUND(MinBase3Day*(1+ExpressFuelSurcharge),2),ROUND(((1-(ThreeDayDiscount_21_Up+FedExExrpessEarnedDiscount))*'3Day Base'!G108)*(1+ExpressFuelSurcharge),2))*(1+FedEx_Markup),2)</f>
        <v>367.06</v>
      </c>
      <c r="H111" s="218">
        <f>ROUND(IF(MinBase3Day&gt;ROUND(((1-(ThreeDayDiscount_21_Up+FedExExrpessEarnedDiscount))*'3Day Base'!H108),2),ROUND(MinBase3Day*(1+ExpressFuelSurcharge),2),ROUND(((1-(ThreeDayDiscount_21_Up+FedExExrpessEarnedDiscount))*'3Day Base'!H108)*(1+ExpressFuelSurcharge),2))*(1+FedEx_Markup),2)</f>
        <v>420.06</v>
      </c>
    </row>
    <row r="112" spans="1:8" ht="12.75" customHeight="1">
      <c r="A112" s="217">
        <v>107</v>
      </c>
      <c r="B112" s="218">
        <f>ROUND(IF(MinBase3Day&gt;ROUND(((1-(ThreeDayDiscount_21_Up+FedExExrpessEarnedDiscount))*'3Day Base'!B109),2),ROUND(MinBase3Day*(1+ExpressFuelSurcharge),2),ROUND(((1-(ThreeDayDiscount_21_Up+FedExExrpessEarnedDiscount))*'3Day Base'!B109)*(1+ExpressFuelSurcharge),2))*(1+FedEx_Markup),2)</f>
        <v>104.18</v>
      </c>
      <c r="C112" s="218">
        <f>ROUND(IF(MinBase3Day&gt;ROUND(((1-(ThreeDayDiscount_21_Up+FedExExrpessEarnedDiscount))*'3Day Base'!C109),2),ROUND(MinBase3Day*(1+ExpressFuelSurcharge),2),ROUND(((1-(ThreeDayDiscount_21_Up+FedExExrpessEarnedDiscount))*'3Day Base'!C109)*(1+ExpressFuelSurcharge),2))*(1+FedEx_Markup),2)</f>
        <v>134.58000000000001</v>
      </c>
      <c r="D112" s="218">
        <f>ROUND(IF(MinBase3Day&gt;ROUND(((1-(ThreeDayDiscount_21_Up+FedExExrpessEarnedDiscount))*'3Day Base'!D109),2),ROUND(MinBase3Day*(1+ExpressFuelSurcharge),2),ROUND(((1-(ThreeDayDiscount_21_Up+FedExExrpessEarnedDiscount))*'3Day Base'!D109)*(1+ExpressFuelSurcharge),2))*(1+FedEx_Markup),2)</f>
        <v>172.32</v>
      </c>
      <c r="E112" s="218">
        <f>ROUND(IF(MinBase3Day&gt;ROUND(((1-(ThreeDayDiscount_21_Up+FedExExrpessEarnedDiscount))*'3Day Base'!E109),2),ROUND(MinBase3Day*(1+ExpressFuelSurcharge),2),ROUND(((1-(ThreeDayDiscount_21_Up+FedExExrpessEarnedDiscount))*'3Day Base'!E109)*(1+ExpressFuelSurcharge),2))*(1+FedEx_Markup),2)</f>
        <v>238.2</v>
      </c>
      <c r="F112" s="218">
        <f>ROUND(IF(MinBase3Day&gt;ROUND(((1-(ThreeDayDiscount_21_Up+FedExExrpessEarnedDiscount))*'3Day Base'!F109),2),ROUND(MinBase3Day*(1+ExpressFuelSurcharge),2),ROUND(((1-(ThreeDayDiscount_21_Up+FedExExrpessEarnedDiscount))*'3Day Base'!F109)*(1+ExpressFuelSurcharge),2))*(1+FedEx_Markup),2)</f>
        <v>335.05</v>
      </c>
      <c r="G112" s="218">
        <f>ROUND(IF(MinBase3Day&gt;ROUND(((1-(ThreeDayDiscount_21_Up+FedExExrpessEarnedDiscount))*'3Day Base'!G109),2),ROUND(MinBase3Day*(1+ExpressFuelSurcharge),2),ROUND(((1-(ThreeDayDiscount_21_Up+FedExExrpessEarnedDiscount))*'3Day Base'!G109)*(1+ExpressFuelSurcharge),2))*(1+FedEx_Markup),2)</f>
        <v>370.53</v>
      </c>
      <c r="H112" s="218">
        <f>ROUND(IF(MinBase3Day&gt;ROUND(((1-(ThreeDayDiscount_21_Up+FedExExrpessEarnedDiscount))*'3Day Base'!H109),2),ROUND(MinBase3Day*(1+ExpressFuelSurcharge),2),ROUND(((1-(ThreeDayDiscount_21_Up+FedExExrpessEarnedDiscount))*'3Day Base'!H109)*(1+ExpressFuelSurcharge),2))*(1+FedEx_Markup),2)</f>
        <v>424.02</v>
      </c>
    </row>
    <row r="113" spans="1:26" ht="12.75" customHeight="1">
      <c r="A113" s="217">
        <v>108</v>
      </c>
      <c r="B113" s="218">
        <f>ROUND(IF(MinBase3Day&gt;ROUND(((1-(ThreeDayDiscount_21_Up+FedExExrpessEarnedDiscount))*'3Day Base'!B110),2),ROUND(MinBase3Day*(1+ExpressFuelSurcharge),2),ROUND(((1-(ThreeDayDiscount_21_Up+FedExExrpessEarnedDiscount))*'3Day Base'!B110)*(1+ExpressFuelSurcharge),2))*(1+FedEx_Markup),2)</f>
        <v>105.14</v>
      </c>
      <c r="C113" s="218">
        <f>ROUND(IF(MinBase3Day&gt;ROUND(((1-(ThreeDayDiscount_21_Up+FedExExrpessEarnedDiscount))*'3Day Base'!C110),2),ROUND(MinBase3Day*(1+ExpressFuelSurcharge),2),ROUND(((1-(ThreeDayDiscount_21_Up+FedExExrpessEarnedDiscount))*'3Day Base'!C110)*(1+ExpressFuelSurcharge),2))*(1+FedEx_Markup),2)</f>
        <v>135.84</v>
      </c>
      <c r="D113" s="218">
        <f>ROUND(IF(MinBase3Day&gt;ROUND(((1-(ThreeDayDiscount_21_Up+FedExExrpessEarnedDiscount))*'3Day Base'!D110),2),ROUND(MinBase3Day*(1+ExpressFuelSurcharge),2),ROUND(((1-(ThreeDayDiscount_21_Up+FedExExrpessEarnedDiscount))*'3Day Base'!D110)*(1+ExpressFuelSurcharge),2))*(1+FedEx_Markup),2)</f>
        <v>173.93</v>
      </c>
      <c r="E113" s="218">
        <f>ROUND(IF(MinBase3Day&gt;ROUND(((1-(ThreeDayDiscount_21_Up+FedExExrpessEarnedDiscount))*'3Day Base'!E110),2),ROUND(MinBase3Day*(1+ExpressFuelSurcharge),2),ROUND(((1-(ThreeDayDiscount_21_Up+FedExExrpessEarnedDiscount))*'3Day Base'!E110)*(1+ExpressFuelSurcharge),2))*(1+FedEx_Markup),2)</f>
        <v>240.42</v>
      </c>
      <c r="F113" s="218">
        <f>ROUND(IF(MinBase3Day&gt;ROUND(((1-(ThreeDayDiscount_21_Up+FedExExrpessEarnedDiscount))*'3Day Base'!F110),2),ROUND(MinBase3Day*(1+ExpressFuelSurcharge),2),ROUND(((1-(ThreeDayDiscount_21_Up+FedExExrpessEarnedDiscount))*'3Day Base'!F110)*(1+ExpressFuelSurcharge),2))*(1+FedEx_Markup),2)</f>
        <v>338.18</v>
      </c>
      <c r="G113" s="218">
        <f>ROUND(IF(MinBase3Day&gt;ROUND(((1-(ThreeDayDiscount_21_Up+FedExExrpessEarnedDiscount))*'3Day Base'!G110),2),ROUND(MinBase3Day*(1+ExpressFuelSurcharge),2),ROUND(((1-(ThreeDayDiscount_21_Up+FedExExrpessEarnedDiscount))*'3Day Base'!G110)*(1+ExpressFuelSurcharge),2))*(1+FedEx_Markup),2)</f>
        <v>373.99</v>
      </c>
      <c r="H113" s="218">
        <f>ROUND(IF(MinBase3Day&gt;ROUND(((1-(ThreeDayDiscount_21_Up+FedExExrpessEarnedDiscount))*'3Day Base'!H110),2),ROUND(MinBase3Day*(1+ExpressFuelSurcharge),2),ROUND(((1-(ThreeDayDiscount_21_Up+FedExExrpessEarnedDiscount))*'3Day Base'!H110)*(1+ExpressFuelSurcharge),2))*(1+FedEx_Markup),2)</f>
        <v>427.98</v>
      </c>
    </row>
    <row r="114" spans="1:26" ht="12.75" customHeight="1">
      <c r="A114" s="217">
        <v>109</v>
      </c>
      <c r="B114" s="218">
        <f>ROUND(IF(MinBase3Day&gt;ROUND(((1-(ThreeDayDiscount_21_Up+FedExExrpessEarnedDiscount))*'3Day Base'!B111),2),ROUND(MinBase3Day*(1+ExpressFuelSurcharge),2),ROUND(((1-(ThreeDayDiscount_21_Up+FedExExrpessEarnedDiscount))*'3Day Base'!B111)*(1+ExpressFuelSurcharge),2))*(1+FedEx_Markup),2)</f>
        <v>106.12</v>
      </c>
      <c r="C114" s="218">
        <f>ROUND(IF(MinBase3Day&gt;ROUND(((1-(ThreeDayDiscount_21_Up+FedExExrpessEarnedDiscount))*'3Day Base'!C111),2),ROUND(MinBase3Day*(1+ExpressFuelSurcharge),2),ROUND(((1-(ThreeDayDiscount_21_Up+FedExExrpessEarnedDiscount))*'3Day Base'!C111)*(1+ExpressFuelSurcharge),2))*(1+FedEx_Markup),2)</f>
        <v>137.1</v>
      </c>
      <c r="D114" s="218">
        <f>ROUND(IF(MinBase3Day&gt;ROUND(((1-(ThreeDayDiscount_21_Up+FedExExrpessEarnedDiscount))*'3Day Base'!D111),2),ROUND(MinBase3Day*(1+ExpressFuelSurcharge),2),ROUND(((1-(ThreeDayDiscount_21_Up+FedExExrpessEarnedDiscount))*'3Day Base'!D111)*(1+ExpressFuelSurcharge),2))*(1+FedEx_Markup),2)</f>
        <v>175.54</v>
      </c>
      <c r="E114" s="218">
        <f>ROUND(IF(MinBase3Day&gt;ROUND(((1-(ThreeDayDiscount_21_Up+FedExExrpessEarnedDiscount))*'3Day Base'!E111),2),ROUND(MinBase3Day*(1+ExpressFuelSurcharge),2),ROUND(((1-(ThreeDayDiscount_21_Up+FedExExrpessEarnedDiscount))*'3Day Base'!E111)*(1+ExpressFuelSurcharge),2))*(1+FedEx_Markup),2)</f>
        <v>242.65</v>
      </c>
      <c r="F114" s="218">
        <f>ROUND(IF(MinBase3Day&gt;ROUND(((1-(ThreeDayDiscount_21_Up+FedExExrpessEarnedDiscount))*'3Day Base'!F111),2),ROUND(MinBase3Day*(1+ExpressFuelSurcharge),2),ROUND(((1-(ThreeDayDiscount_21_Up+FedExExrpessEarnedDiscount))*'3Day Base'!F111)*(1+ExpressFuelSurcharge),2))*(1+FedEx_Markup),2)</f>
        <v>341.31</v>
      </c>
      <c r="G114" s="218">
        <f>ROUND(IF(MinBase3Day&gt;ROUND(((1-(ThreeDayDiscount_21_Up+FedExExrpessEarnedDiscount))*'3Day Base'!G111),2),ROUND(MinBase3Day*(1+ExpressFuelSurcharge),2),ROUND(((1-(ThreeDayDiscount_21_Up+FedExExrpessEarnedDiscount))*'3Day Base'!G111)*(1+ExpressFuelSurcharge),2))*(1+FedEx_Markup),2)</f>
        <v>377.45</v>
      </c>
      <c r="H114" s="218">
        <f>ROUND(IF(MinBase3Day&gt;ROUND(((1-(ThreeDayDiscount_21_Up+FedExExrpessEarnedDiscount))*'3Day Base'!H111),2),ROUND(MinBase3Day*(1+ExpressFuelSurcharge),2),ROUND(((1-(ThreeDayDiscount_21_Up+FedExExrpessEarnedDiscount))*'3Day Base'!H111)*(1+ExpressFuelSurcharge),2))*(1+FedEx_Markup),2)</f>
        <v>431.94</v>
      </c>
    </row>
    <row r="115" spans="1:26" ht="12.75" customHeight="1">
      <c r="A115" s="217">
        <v>110</v>
      </c>
      <c r="B115" s="218">
        <f>ROUND(IF(MinBase3Day&gt;ROUND(((1-(ThreeDayDiscount_21_Up+FedExExrpessEarnedDiscount))*'3Day Base'!B112),2),ROUND(MinBase3Day*(1+ExpressFuelSurcharge),2),ROUND(((1-(ThreeDayDiscount_21_Up+FedExExrpessEarnedDiscount))*'3Day Base'!B112)*(1+ExpressFuelSurcharge),2))*(1+FedEx_Markup),2)</f>
        <v>107.1</v>
      </c>
      <c r="C115" s="218">
        <f>ROUND(IF(MinBase3Day&gt;ROUND(((1-(ThreeDayDiscount_21_Up+FedExExrpessEarnedDiscount))*'3Day Base'!C112),2),ROUND(MinBase3Day*(1+ExpressFuelSurcharge),2),ROUND(((1-(ThreeDayDiscount_21_Up+FedExExrpessEarnedDiscount))*'3Day Base'!C112)*(1+ExpressFuelSurcharge),2))*(1+FedEx_Markup),2)</f>
        <v>138.36000000000001</v>
      </c>
      <c r="D115" s="218">
        <f>ROUND(IF(MinBase3Day&gt;ROUND(((1-(ThreeDayDiscount_21_Up+FedExExrpessEarnedDiscount))*'3Day Base'!D112),2),ROUND(MinBase3Day*(1+ExpressFuelSurcharge),2),ROUND(((1-(ThreeDayDiscount_21_Up+FedExExrpessEarnedDiscount))*'3Day Base'!D112)*(1+ExpressFuelSurcharge),2))*(1+FedEx_Markup),2)</f>
        <v>177.15</v>
      </c>
      <c r="E115" s="218">
        <f>ROUND(IF(MinBase3Day&gt;ROUND(((1-(ThreeDayDiscount_21_Up+FedExExrpessEarnedDiscount))*'3Day Base'!E112),2),ROUND(MinBase3Day*(1+ExpressFuelSurcharge),2),ROUND(((1-(ThreeDayDiscount_21_Up+FedExExrpessEarnedDiscount))*'3Day Base'!E112)*(1+ExpressFuelSurcharge),2))*(1+FedEx_Markup),2)</f>
        <v>244.87</v>
      </c>
      <c r="F115" s="218">
        <f>ROUND(IF(MinBase3Day&gt;ROUND(((1-(ThreeDayDiscount_21_Up+FedExExrpessEarnedDiscount))*'3Day Base'!F112),2),ROUND(MinBase3Day*(1+ExpressFuelSurcharge),2),ROUND(((1-(ThreeDayDiscount_21_Up+FedExExrpessEarnedDiscount))*'3Day Base'!F112)*(1+ExpressFuelSurcharge),2))*(1+FedEx_Markup),2)</f>
        <v>344.45</v>
      </c>
      <c r="G115" s="218">
        <f>ROUND(IF(MinBase3Day&gt;ROUND(((1-(ThreeDayDiscount_21_Up+FedExExrpessEarnedDiscount))*'3Day Base'!G112),2),ROUND(MinBase3Day*(1+ExpressFuelSurcharge),2),ROUND(((1-(ThreeDayDiscount_21_Up+FedExExrpessEarnedDiscount))*'3Day Base'!G112)*(1+ExpressFuelSurcharge),2))*(1+FedEx_Markup),2)</f>
        <v>380.91</v>
      </c>
      <c r="H115" s="218">
        <f>ROUND(IF(MinBase3Day&gt;ROUND(((1-(ThreeDayDiscount_21_Up+FedExExrpessEarnedDiscount))*'3Day Base'!H112),2),ROUND(MinBase3Day*(1+ExpressFuelSurcharge),2),ROUND(((1-(ThreeDayDiscount_21_Up+FedExExrpessEarnedDiscount))*'3Day Base'!H112)*(1+ExpressFuelSurcharge),2))*(1+FedEx_Markup),2)</f>
        <v>435.91</v>
      </c>
    </row>
    <row r="116" spans="1:26" ht="12.75" customHeight="1">
      <c r="A116" s="217">
        <v>111</v>
      </c>
      <c r="B116" s="218">
        <f>ROUND(IF(MinBase3Day&gt;ROUND(((1-(ThreeDayDiscount_21_Up+FedExExrpessEarnedDiscount))*'3Day Base'!B113),2),ROUND(MinBase3Day*(1+ExpressFuelSurcharge),2),ROUND(((1-(ThreeDayDiscount_21_Up+FedExExrpessEarnedDiscount))*'3Day Base'!B113)*(1+ExpressFuelSurcharge),2))*(1+FedEx_Markup),2)</f>
        <v>108.07</v>
      </c>
      <c r="C116" s="218">
        <f>ROUND(IF(MinBase3Day&gt;ROUND(((1-(ThreeDayDiscount_21_Up+FedExExrpessEarnedDiscount))*'3Day Base'!C113),2),ROUND(MinBase3Day*(1+ExpressFuelSurcharge),2),ROUND(((1-(ThreeDayDiscount_21_Up+FedExExrpessEarnedDiscount))*'3Day Base'!C113)*(1+ExpressFuelSurcharge),2))*(1+FedEx_Markup),2)</f>
        <v>139.61000000000001</v>
      </c>
      <c r="D116" s="218">
        <f>ROUND(IF(MinBase3Day&gt;ROUND(((1-(ThreeDayDiscount_21_Up+FedExExrpessEarnedDiscount))*'3Day Base'!D113),2),ROUND(MinBase3Day*(1+ExpressFuelSurcharge),2),ROUND(((1-(ThreeDayDiscount_21_Up+FedExExrpessEarnedDiscount))*'3Day Base'!D113)*(1+ExpressFuelSurcharge),2))*(1+FedEx_Markup),2)</f>
        <v>178.76</v>
      </c>
      <c r="E116" s="218">
        <f>ROUND(IF(MinBase3Day&gt;ROUND(((1-(ThreeDayDiscount_21_Up+FedExExrpessEarnedDiscount))*'3Day Base'!E113),2),ROUND(MinBase3Day*(1+ExpressFuelSurcharge),2),ROUND(((1-(ThreeDayDiscount_21_Up+FedExExrpessEarnedDiscount))*'3Day Base'!E113)*(1+ExpressFuelSurcharge),2))*(1+FedEx_Markup),2)</f>
        <v>247.1</v>
      </c>
      <c r="F116" s="218">
        <f>ROUND(IF(MinBase3Day&gt;ROUND(((1-(ThreeDayDiscount_21_Up+FedExExrpessEarnedDiscount))*'3Day Base'!F113),2),ROUND(MinBase3Day*(1+ExpressFuelSurcharge),2),ROUND(((1-(ThreeDayDiscount_21_Up+FedExExrpessEarnedDiscount))*'3Day Base'!F113)*(1+ExpressFuelSurcharge),2))*(1+FedEx_Markup),2)</f>
        <v>347.58</v>
      </c>
      <c r="G116" s="218">
        <f>ROUND(IF(MinBase3Day&gt;ROUND(((1-(ThreeDayDiscount_21_Up+FedExExrpessEarnedDiscount))*'3Day Base'!G113),2),ROUND(MinBase3Day*(1+ExpressFuelSurcharge),2),ROUND(((1-(ThreeDayDiscount_21_Up+FedExExrpessEarnedDiscount))*'3Day Base'!G113)*(1+ExpressFuelSurcharge),2))*(1+FedEx_Markup),2)</f>
        <v>384.38</v>
      </c>
      <c r="H116" s="218">
        <f>ROUND(IF(MinBase3Day&gt;ROUND(((1-(ThreeDayDiscount_21_Up+FedExExrpessEarnedDiscount))*'3Day Base'!H113),2),ROUND(MinBase3Day*(1+ExpressFuelSurcharge),2),ROUND(((1-(ThreeDayDiscount_21_Up+FedExExrpessEarnedDiscount))*'3Day Base'!H113)*(1+ExpressFuelSurcharge),2))*(1+FedEx_Markup),2)</f>
        <v>439.88</v>
      </c>
    </row>
    <row r="117" spans="1:26" ht="12.75" customHeight="1">
      <c r="A117" s="217">
        <v>112</v>
      </c>
      <c r="B117" s="218">
        <f>ROUND(IF(MinBase3Day&gt;ROUND(((1-(ThreeDayDiscount_21_Up+FedExExrpessEarnedDiscount))*'3Day Base'!B114),2),ROUND(MinBase3Day*(1+ExpressFuelSurcharge),2),ROUND(((1-(ThreeDayDiscount_21_Up+FedExExrpessEarnedDiscount))*'3Day Base'!B114)*(1+ExpressFuelSurcharge),2))*(1+FedEx_Markup),2)</f>
        <v>109.04</v>
      </c>
      <c r="C117" s="218">
        <f>ROUND(IF(MinBase3Day&gt;ROUND(((1-(ThreeDayDiscount_21_Up+FedExExrpessEarnedDiscount))*'3Day Base'!C114),2),ROUND(MinBase3Day*(1+ExpressFuelSurcharge),2),ROUND(((1-(ThreeDayDiscount_21_Up+FedExExrpessEarnedDiscount))*'3Day Base'!C114)*(1+ExpressFuelSurcharge),2))*(1+FedEx_Markup),2)</f>
        <v>140.88</v>
      </c>
      <c r="D117" s="218">
        <f>ROUND(IF(MinBase3Day&gt;ROUND(((1-(ThreeDayDiscount_21_Up+FedExExrpessEarnedDiscount))*'3Day Base'!D114),2),ROUND(MinBase3Day*(1+ExpressFuelSurcharge),2),ROUND(((1-(ThreeDayDiscount_21_Up+FedExExrpessEarnedDiscount))*'3Day Base'!D114)*(1+ExpressFuelSurcharge),2))*(1+FedEx_Markup),2)</f>
        <v>180.37</v>
      </c>
      <c r="E117" s="218">
        <f>ROUND(IF(MinBase3Day&gt;ROUND(((1-(ThreeDayDiscount_21_Up+FedExExrpessEarnedDiscount))*'3Day Base'!E114),2),ROUND(MinBase3Day*(1+ExpressFuelSurcharge),2),ROUND(((1-(ThreeDayDiscount_21_Up+FedExExrpessEarnedDiscount))*'3Day Base'!E114)*(1+ExpressFuelSurcharge),2))*(1+FedEx_Markup),2)</f>
        <v>249.32</v>
      </c>
      <c r="F117" s="218">
        <f>ROUND(IF(MinBase3Day&gt;ROUND(((1-(ThreeDayDiscount_21_Up+FedExExrpessEarnedDiscount))*'3Day Base'!F114),2),ROUND(MinBase3Day*(1+ExpressFuelSurcharge),2),ROUND(((1-(ThreeDayDiscount_21_Up+FedExExrpessEarnedDiscount))*'3Day Base'!F114)*(1+ExpressFuelSurcharge),2))*(1+FedEx_Markup),2)</f>
        <v>350.7</v>
      </c>
      <c r="G117" s="218">
        <f>ROUND(IF(MinBase3Day&gt;ROUND(((1-(ThreeDayDiscount_21_Up+FedExExrpessEarnedDiscount))*'3Day Base'!G114),2),ROUND(MinBase3Day*(1+ExpressFuelSurcharge),2),ROUND(((1-(ThreeDayDiscount_21_Up+FedExExrpessEarnedDiscount))*'3Day Base'!G114)*(1+ExpressFuelSurcharge),2))*(1+FedEx_Markup),2)</f>
        <v>387.84</v>
      </c>
      <c r="H117" s="218">
        <f>ROUND(IF(MinBase3Day&gt;ROUND(((1-(ThreeDayDiscount_21_Up+FedExExrpessEarnedDiscount))*'3Day Base'!H114),2),ROUND(MinBase3Day*(1+ExpressFuelSurcharge),2),ROUND(((1-(ThreeDayDiscount_21_Up+FedExExrpessEarnedDiscount))*'3Day Base'!H114)*(1+ExpressFuelSurcharge),2))*(1+FedEx_Markup),2)</f>
        <v>443.83</v>
      </c>
    </row>
    <row r="118" spans="1:26" ht="12.75" customHeight="1">
      <c r="A118" s="217">
        <v>113</v>
      </c>
      <c r="B118" s="218">
        <f>ROUND(IF(MinBase3Day&gt;ROUND(((1-(ThreeDayDiscount_21_Up+FedExExrpessEarnedDiscount))*'3Day Base'!B115),2),ROUND(MinBase3Day*(1+ExpressFuelSurcharge),2),ROUND(((1-(ThreeDayDiscount_21_Up+FedExExrpessEarnedDiscount))*'3Day Base'!B115)*(1+ExpressFuelSurcharge),2))*(1+FedEx_Markup),2)</f>
        <v>110.02</v>
      </c>
      <c r="C118" s="218">
        <f>ROUND(IF(MinBase3Day&gt;ROUND(((1-(ThreeDayDiscount_21_Up+FedExExrpessEarnedDiscount))*'3Day Base'!C115),2),ROUND(MinBase3Day*(1+ExpressFuelSurcharge),2),ROUND(((1-(ThreeDayDiscount_21_Up+FedExExrpessEarnedDiscount))*'3Day Base'!C115)*(1+ExpressFuelSurcharge),2))*(1+FedEx_Markup),2)</f>
        <v>142.13</v>
      </c>
      <c r="D118" s="218">
        <f>ROUND(IF(MinBase3Day&gt;ROUND(((1-(ThreeDayDiscount_21_Up+FedExExrpessEarnedDiscount))*'3Day Base'!D115),2),ROUND(MinBase3Day*(1+ExpressFuelSurcharge),2),ROUND(((1-(ThreeDayDiscount_21_Up+FedExExrpessEarnedDiscount))*'3Day Base'!D115)*(1+ExpressFuelSurcharge),2))*(1+FedEx_Markup),2)</f>
        <v>181.98</v>
      </c>
      <c r="E118" s="218">
        <f>ROUND(IF(MinBase3Day&gt;ROUND(((1-(ThreeDayDiscount_21_Up+FedExExrpessEarnedDiscount))*'3Day Base'!E115),2),ROUND(MinBase3Day*(1+ExpressFuelSurcharge),2),ROUND(((1-(ThreeDayDiscount_21_Up+FedExExrpessEarnedDiscount))*'3Day Base'!E115)*(1+ExpressFuelSurcharge),2))*(1+FedEx_Markup),2)</f>
        <v>251.55</v>
      </c>
      <c r="F118" s="218">
        <f>ROUND(IF(MinBase3Day&gt;ROUND(((1-(ThreeDayDiscount_21_Up+FedExExrpessEarnedDiscount))*'3Day Base'!F115),2),ROUND(MinBase3Day*(1+ExpressFuelSurcharge),2),ROUND(((1-(ThreeDayDiscount_21_Up+FedExExrpessEarnedDiscount))*'3Day Base'!F115)*(1+ExpressFuelSurcharge),2))*(1+FedEx_Markup),2)</f>
        <v>353.83</v>
      </c>
      <c r="G118" s="218">
        <f>ROUND(IF(MinBase3Day&gt;ROUND(((1-(ThreeDayDiscount_21_Up+FedExExrpessEarnedDiscount))*'3Day Base'!G115),2),ROUND(MinBase3Day*(1+ExpressFuelSurcharge),2),ROUND(((1-(ThreeDayDiscount_21_Up+FedExExrpessEarnedDiscount))*'3Day Base'!G115)*(1+ExpressFuelSurcharge),2))*(1+FedEx_Markup),2)</f>
        <v>391.3</v>
      </c>
      <c r="H118" s="218">
        <f>ROUND(IF(MinBase3Day&gt;ROUND(((1-(ThreeDayDiscount_21_Up+FedExExrpessEarnedDiscount))*'3Day Base'!H115),2),ROUND(MinBase3Day*(1+ExpressFuelSurcharge),2),ROUND(((1-(ThreeDayDiscount_21_Up+FedExExrpessEarnedDiscount))*'3Day Base'!H115)*(1+ExpressFuelSurcharge),2))*(1+FedEx_Markup),2)</f>
        <v>447.8</v>
      </c>
    </row>
    <row r="119" spans="1:26" ht="12.75" customHeight="1">
      <c r="A119" s="217">
        <v>114</v>
      </c>
      <c r="B119" s="218">
        <f>ROUND(IF(MinBase3Day&gt;ROUND(((1-(ThreeDayDiscount_21_Up+FedExExrpessEarnedDiscount))*'3Day Base'!B116),2),ROUND(MinBase3Day*(1+ExpressFuelSurcharge),2),ROUND(((1-(ThreeDayDiscount_21_Up+FedExExrpessEarnedDiscount))*'3Day Base'!B116)*(1+ExpressFuelSurcharge),2))*(1+FedEx_Markup),2)</f>
        <v>110.99</v>
      </c>
      <c r="C119" s="218">
        <f>ROUND(IF(MinBase3Day&gt;ROUND(((1-(ThreeDayDiscount_21_Up+FedExExrpessEarnedDiscount))*'3Day Base'!C116),2),ROUND(MinBase3Day*(1+ExpressFuelSurcharge),2),ROUND(((1-(ThreeDayDiscount_21_Up+FedExExrpessEarnedDiscount))*'3Day Base'!C116)*(1+ExpressFuelSurcharge),2))*(1+FedEx_Markup),2)</f>
        <v>143.38</v>
      </c>
      <c r="D119" s="218">
        <f>ROUND(IF(MinBase3Day&gt;ROUND(((1-(ThreeDayDiscount_21_Up+FedExExrpessEarnedDiscount))*'3Day Base'!D116),2),ROUND(MinBase3Day*(1+ExpressFuelSurcharge),2),ROUND(((1-(ThreeDayDiscount_21_Up+FedExExrpessEarnedDiscount))*'3Day Base'!D116)*(1+ExpressFuelSurcharge),2))*(1+FedEx_Markup),2)</f>
        <v>183.59</v>
      </c>
      <c r="E119" s="218">
        <f>ROUND(IF(MinBase3Day&gt;ROUND(((1-(ThreeDayDiscount_21_Up+FedExExrpessEarnedDiscount))*'3Day Base'!E116),2),ROUND(MinBase3Day*(1+ExpressFuelSurcharge),2),ROUND(((1-(ThreeDayDiscount_21_Up+FedExExrpessEarnedDiscount))*'3Day Base'!E116)*(1+ExpressFuelSurcharge),2))*(1+FedEx_Markup),2)</f>
        <v>253.78</v>
      </c>
      <c r="F119" s="218">
        <f>ROUND(IF(MinBase3Day&gt;ROUND(((1-(ThreeDayDiscount_21_Up+FedExExrpessEarnedDiscount))*'3Day Base'!F116),2),ROUND(MinBase3Day*(1+ExpressFuelSurcharge),2),ROUND(((1-(ThreeDayDiscount_21_Up+FedExExrpessEarnedDiscount))*'3Day Base'!F116)*(1+ExpressFuelSurcharge),2))*(1+FedEx_Markup),2)</f>
        <v>356.97</v>
      </c>
      <c r="G119" s="218">
        <f>ROUND(IF(MinBase3Day&gt;ROUND(((1-(ThreeDayDiscount_21_Up+FedExExrpessEarnedDiscount))*'3Day Base'!G116),2),ROUND(MinBase3Day*(1+ExpressFuelSurcharge),2),ROUND(((1-(ThreeDayDiscount_21_Up+FedExExrpessEarnedDiscount))*'3Day Base'!G116)*(1+ExpressFuelSurcharge),2))*(1+FedEx_Markup),2)</f>
        <v>394.76</v>
      </c>
      <c r="H119" s="218">
        <f>ROUND(IF(MinBase3Day&gt;ROUND(((1-(ThreeDayDiscount_21_Up+FedExExrpessEarnedDiscount))*'3Day Base'!H116),2),ROUND(MinBase3Day*(1+ExpressFuelSurcharge),2),ROUND(((1-(ThreeDayDiscount_21_Up+FedExExrpessEarnedDiscount))*'3Day Base'!H116)*(1+ExpressFuelSurcharge),2))*(1+FedEx_Markup),2)</f>
        <v>451.75</v>
      </c>
    </row>
    <row r="120" spans="1:26" ht="12.75" customHeight="1">
      <c r="A120" s="217">
        <v>115</v>
      </c>
      <c r="B120" s="218">
        <f>ROUND(IF(MinBase3Day&gt;ROUND(((1-(ThreeDayDiscount_21_Up+FedExExrpessEarnedDiscount))*'3Day Base'!B117),2),ROUND(MinBase3Day*(1+ExpressFuelSurcharge),2),ROUND(((1-(ThreeDayDiscount_21_Up+FedExExrpessEarnedDiscount))*'3Day Base'!B117)*(1+ExpressFuelSurcharge),2))*(1+FedEx_Markup),2)</f>
        <v>111.96</v>
      </c>
      <c r="C120" s="218">
        <f>ROUND(IF(MinBase3Day&gt;ROUND(((1-(ThreeDayDiscount_21_Up+FedExExrpessEarnedDiscount))*'3Day Base'!C117),2),ROUND(MinBase3Day*(1+ExpressFuelSurcharge),2),ROUND(((1-(ThreeDayDiscount_21_Up+FedExExrpessEarnedDiscount))*'3Day Base'!C117)*(1+ExpressFuelSurcharge),2))*(1+FedEx_Markup),2)</f>
        <v>144.65</v>
      </c>
      <c r="D120" s="218">
        <f>ROUND(IF(MinBase3Day&gt;ROUND(((1-(ThreeDayDiscount_21_Up+FedExExrpessEarnedDiscount))*'3Day Base'!D117),2),ROUND(MinBase3Day*(1+ExpressFuelSurcharge),2),ROUND(((1-(ThreeDayDiscount_21_Up+FedExExrpessEarnedDiscount))*'3Day Base'!D117)*(1+ExpressFuelSurcharge),2))*(1+FedEx_Markup),2)</f>
        <v>185.2</v>
      </c>
      <c r="E120" s="218">
        <f>ROUND(IF(MinBase3Day&gt;ROUND(((1-(ThreeDayDiscount_21_Up+FedExExrpessEarnedDiscount))*'3Day Base'!E117),2),ROUND(MinBase3Day*(1+ExpressFuelSurcharge),2),ROUND(((1-(ThreeDayDiscount_21_Up+FedExExrpessEarnedDiscount))*'3Day Base'!E117)*(1+ExpressFuelSurcharge),2))*(1+FedEx_Markup),2)</f>
        <v>256</v>
      </c>
      <c r="F120" s="218">
        <f>ROUND(IF(MinBase3Day&gt;ROUND(((1-(ThreeDayDiscount_21_Up+FedExExrpessEarnedDiscount))*'3Day Base'!F117),2),ROUND(MinBase3Day*(1+ExpressFuelSurcharge),2),ROUND(((1-(ThreeDayDiscount_21_Up+FedExExrpessEarnedDiscount))*'3Day Base'!F117)*(1+ExpressFuelSurcharge),2))*(1+FedEx_Markup),2)</f>
        <v>360.1</v>
      </c>
      <c r="G120" s="218">
        <f>ROUND(IF(MinBase3Day&gt;ROUND(((1-(ThreeDayDiscount_21_Up+FedExExrpessEarnedDiscount))*'3Day Base'!G117),2),ROUND(MinBase3Day*(1+ExpressFuelSurcharge),2),ROUND(((1-(ThreeDayDiscount_21_Up+FedExExrpessEarnedDiscount))*'3Day Base'!G117)*(1+ExpressFuelSurcharge),2))*(1+FedEx_Markup),2)</f>
        <v>398.22</v>
      </c>
      <c r="H120" s="218">
        <f>ROUND(IF(MinBase3Day&gt;ROUND(((1-(ThreeDayDiscount_21_Up+FedExExrpessEarnedDiscount))*'3Day Base'!H117),2),ROUND(MinBase3Day*(1+ExpressFuelSurcharge),2),ROUND(((1-(ThreeDayDiscount_21_Up+FedExExrpessEarnedDiscount))*'3Day Base'!H117)*(1+ExpressFuelSurcharge),2))*(1+FedEx_Markup),2)</f>
        <v>455.72</v>
      </c>
    </row>
    <row r="121" spans="1:26" ht="12.75" customHeight="1">
      <c r="A121" s="217">
        <v>116</v>
      </c>
      <c r="B121" s="218">
        <f>ROUND(IF(MinBase3Day&gt;ROUND(((1-(ThreeDayDiscount_21_Up+FedExExrpessEarnedDiscount))*'3Day Base'!B118),2),ROUND(MinBase3Day*(1+ExpressFuelSurcharge),2),ROUND(((1-(ThreeDayDiscount_21_Up+FedExExrpessEarnedDiscount))*'3Day Base'!B118)*(1+ExpressFuelSurcharge),2))*(1+FedEx_Markup),2)</f>
        <v>112.94</v>
      </c>
      <c r="C121" s="218">
        <f>ROUND(IF(MinBase3Day&gt;ROUND(((1-(ThreeDayDiscount_21_Up+FedExExrpessEarnedDiscount))*'3Day Base'!C118),2),ROUND(MinBase3Day*(1+ExpressFuelSurcharge),2),ROUND(((1-(ThreeDayDiscount_21_Up+FedExExrpessEarnedDiscount))*'3Day Base'!C118)*(1+ExpressFuelSurcharge),2))*(1+FedEx_Markup),2)</f>
        <v>145.9</v>
      </c>
      <c r="D121" s="218">
        <f>ROUND(IF(MinBase3Day&gt;ROUND(((1-(ThreeDayDiscount_21_Up+FedExExrpessEarnedDiscount))*'3Day Base'!D118),2),ROUND(MinBase3Day*(1+ExpressFuelSurcharge),2),ROUND(((1-(ThreeDayDiscount_21_Up+FedExExrpessEarnedDiscount))*'3Day Base'!D118)*(1+ExpressFuelSurcharge),2))*(1+FedEx_Markup),2)</f>
        <v>186.81</v>
      </c>
      <c r="E121" s="218">
        <f>ROUND(IF(MinBase3Day&gt;ROUND(((1-(ThreeDayDiscount_21_Up+FedExExrpessEarnedDiscount))*'3Day Base'!E118),2),ROUND(MinBase3Day*(1+ExpressFuelSurcharge),2),ROUND(((1-(ThreeDayDiscount_21_Up+FedExExrpessEarnedDiscount))*'3Day Base'!E118)*(1+ExpressFuelSurcharge),2))*(1+FedEx_Markup),2)</f>
        <v>258.23</v>
      </c>
      <c r="F121" s="218">
        <f>ROUND(IF(MinBase3Day&gt;ROUND(((1-(ThreeDayDiscount_21_Up+FedExExrpessEarnedDiscount))*'3Day Base'!F118),2),ROUND(MinBase3Day*(1+ExpressFuelSurcharge),2),ROUND(((1-(ThreeDayDiscount_21_Up+FedExExrpessEarnedDiscount))*'3Day Base'!F118)*(1+ExpressFuelSurcharge),2))*(1+FedEx_Markup),2)</f>
        <v>363.23</v>
      </c>
      <c r="G121" s="218">
        <f>ROUND(IF(MinBase3Day&gt;ROUND(((1-(ThreeDayDiscount_21_Up+FedExExrpessEarnedDiscount))*'3Day Base'!G118),2),ROUND(MinBase3Day*(1+ExpressFuelSurcharge),2),ROUND(((1-(ThreeDayDiscount_21_Up+FedExExrpessEarnedDiscount))*'3Day Base'!G118)*(1+ExpressFuelSurcharge),2))*(1+FedEx_Markup),2)</f>
        <v>401.7</v>
      </c>
      <c r="H121" s="218">
        <f>ROUND(IF(MinBase3Day&gt;ROUND(((1-(ThreeDayDiscount_21_Up+FedExExrpessEarnedDiscount))*'3Day Base'!H118),2),ROUND(MinBase3Day*(1+ExpressFuelSurcharge),2),ROUND(((1-(ThreeDayDiscount_21_Up+FedExExrpessEarnedDiscount))*'3Day Base'!H118)*(1+ExpressFuelSurcharge),2))*(1+FedEx_Markup),2)</f>
        <v>459.69</v>
      </c>
      <c r="L121" s="4"/>
    </row>
    <row r="122" spans="1:26" ht="12.75" customHeight="1">
      <c r="A122" s="217">
        <v>117</v>
      </c>
      <c r="B122" s="218">
        <f>ROUND(IF(MinBase3Day&gt;ROUND(((1-(ThreeDayDiscount_21_Up+FedExExrpessEarnedDiscount))*'3Day Base'!B119),2),ROUND(MinBase3Day*(1+ExpressFuelSurcharge),2),ROUND(((1-(ThreeDayDiscount_21_Up+FedExExrpessEarnedDiscount))*'3Day Base'!B119)*(1+ExpressFuelSurcharge),2))*(1+FedEx_Markup),2)</f>
        <v>113.91</v>
      </c>
      <c r="C122" s="218">
        <f>ROUND(IF(MinBase3Day&gt;ROUND(((1-(ThreeDayDiscount_21_Up+FedExExrpessEarnedDiscount))*'3Day Base'!C119),2),ROUND(MinBase3Day*(1+ExpressFuelSurcharge),2),ROUND(((1-(ThreeDayDiscount_21_Up+FedExExrpessEarnedDiscount))*'3Day Base'!C119)*(1+ExpressFuelSurcharge),2))*(1+FedEx_Markup),2)</f>
        <v>147.16999999999999</v>
      </c>
      <c r="D122" s="218">
        <f>ROUND(IF(MinBase3Day&gt;ROUND(((1-(ThreeDayDiscount_21_Up+FedExExrpessEarnedDiscount))*'3Day Base'!D119),2),ROUND(MinBase3Day*(1+ExpressFuelSurcharge),2),ROUND(((1-(ThreeDayDiscount_21_Up+FedExExrpessEarnedDiscount))*'3Day Base'!D119)*(1+ExpressFuelSurcharge),2))*(1+FedEx_Markup),2)</f>
        <v>188.42</v>
      </c>
      <c r="E122" s="218">
        <f>ROUND(IF(MinBase3Day&gt;ROUND(((1-(ThreeDayDiscount_21_Up+FedExExrpessEarnedDiscount))*'3Day Base'!E119),2),ROUND(MinBase3Day*(1+ExpressFuelSurcharge),2),ROUND(((1-(ThreeDayDiscount_21_Up+FedExExrpessEarnedDiscount))*'3Day Base'!E119)*(1+ExpressFuelSurcharge),2))*(1+FedEx_Markup),2)</f>
        <v>260.45</v>
      </c>
      <c r="F122" s="218">
        <f>ROUND(IF(MinBase3Day&gt;ROUND(((1-(ThreeDayDiscount_21_Up+FedExExrpessEarnedDiscount))*'3Day Base'!F119),2),ROUND(MinBase3Day*(1+ExpressFuelSurcharge),2),ROUND(((1-(ThreeDayDiscount_21_Up+FedExExrpessEarnedDiscount))*'3Day Base'!F119)*(1+ExpressFuelSurcharge),2))*(1+FedEx_Markup),2)</f>
        <v>366.37</v>
      </c>
      <c r="G122" s="218">
        <f>ROUND(IF(MinBase3Day&gt;ROUND(((1-(ThreeDayDiscount_21_Up+FedExExrpessEarnedDiscount))*'3Day Base'!G119),2),ROUND(MinBase3Day*(1+ExpressFuelSurcharge),2),ROUND(((1-(ThreeDayDiscount_21_Up+FedExExrpessEarnedDiscount))*'3Day Base'!G119)*(1+ExpressFuelSurcharge),2))*(1+FedEx_Markup),2)</f>
        <v>405.16</v>
      </c>
      <c r="H122" s="218">
        <f>ROUND(IF(MinBase3Day&gt;ROUND(((1-(ThreeDayDiscount_21_Up+FedExExrpessEarnedDiscount))*'3Day Base'!H119),2),ROUND(MinBase3Day*(1+ExpressFuelSurcharge),2),ROUND(((1-(ThreeDayDiscount_21_Up+FedExExrpessEarnedDiscount))*'3Day Base'!H119)*(1+ExpressFuelSurcharge),2))*(1+FedEx_Markup),2)</f>
        <v>463.65</v>
      </c>
    </row>
    <row r="123" spans="1:26" ht="12.75" customHeight="1">
      <c r="A123" s="217">
        <v>118</v>
      </c>
      <c r="B123" s="218">
        <f>ROUND(IF(MinBase3Day&gt;ROUND(((1-(ThreeDayDiscount_21_Up+FedExExrpessEarnedDiscount))*'3Day Base'!B120),2),ROUND(MinBase3Day*(1+ExpressFuelSurcharge),2),ROUND(((1-(ThreeDayDiscount_21_Up+FedExExrpessEarnedDiscount))*'3Day Base'!B120)*(1+ExpressFuelSurcharge),2))*(1+FedEx_Markup),2)</f>
        <v>114.89</v>
      </c>
      <c r="C123" s="218">
        <f>ROUND(IF(MinBase3Day&gt;ROUND(((1-(ThreeDayDiscount_21_Up+FedExExrpessEarnedDiscount))*'3Day Base'!C120),2),ROUND(MinBase3Day*(1+ExpressFuelSurcharge),2),ROUND(((1-(ThreeDayDiscount_21_Up+FedExExrpessEarnedDiscount))*'3Day Base'!C120)*(1+ExpressFuelSurcharge),2))*(1+FedEx_Markup),2)</f>
        <v>148.41999999999999</v>
      </c>
      <c r="D123" s="218">
        <f>ROUND(IF(MinBase3Day&gt;ROUND(((1-(ThreeDayDiscount_21_Up+FedExExrpessEarnedDiscount))*'3Day Base'!D120),2),ROUND(MinBase3Day*(1+ExpressFuelSurcharge),2),ROUND(((1-(ThreeDayDiscount_21_Up+FedExExrpessEarnedDiscount))*'3Day Base'!D120)*(1+ExpressFuelSurcharge),2))*(1+FedEx_Markup),2)</f>
        <v>190.03</v>
      </c>
      <c r="E123" s="218">
        <f>ROUND(IF(MinBase3Day&gt;ROUND(((1-(ThreeDayDiscount_21_Up+FedExExrpessEarnedDiscount))*'3Day Base'!E120),2),ROUND(MinBase3Day*(1+ExpressFuelSurcharge),2),ROUND(((1-(ThreeDayDiscount_21_Up+FedExExrpessEarnedDiscount))*'3Day Base'!E120)*(1+ExpressFuelSurcharge),2))*(1+FedEx_Markup),2)</f>
        <v>262.68</v>
      </c>
      <c r="F123" s="218">
        <f>ROUND(IF(MinBase3Day&gt;ROUND(((1-(ThreeDayDiscount_21_Up+FedExExrpessEarnedDiscount))*'3Day Base'!F120),2),ROUND(MinBase3Day*(1+ExpressFuelSurcharge),2),ROUND(((1-(ThreeDayDiscount_21_Up+FedExExrpessEarnedDiscount))*'3Day Base'!F120)*(1+ExpressFuelSurcharge),2))*(1+FedEx_Markup),2)</f>
        <v>369.5</v>
      </c>
      <c r="G123" s="218">
        <f>ROUND(IF(MinBase3Day&gt;ROUND(((1-(ThreeDayDiscount_21_Up+FedExExrpessEarnedDiscount))*'3Day Base'!G120),2),ROUND(MinBase3Day*(1+ExpressFuelSurcharge),2),ROUND(((1-(ThreeDayDiscount_21_Up+FedExExrpessEarnedDiscount))*'3Day Base'!G120)*(1+ExpressFuelSurcharge),2))*(1+FedEx_Markup),2)</f>
        <v>408.62</v>
      </c>
      <c r="H123" s="218">
        <f>ROUND(IF(MinBase3Day&gt;ROUND(((1-(ThreeDayDiscount_21_Up+FedExExrpessEarnedDiscount))*'3Day Base'!H120),2),ROUND(MinBase3Day*(1+ExpressFuelSurcharge),2),ROUND(((1-(ThreeDayDiscount_21_Up+FedExExrpessEarnedDiscount))*'3Day Base'!H120)*(1+ExpressFuelSurcharge),2))*(1+FedEx_Markup),2)</f>
        <v>467.61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>
      <c r="A124" s="217">
        <v>119</v>
      </c>
      <c r="B124" s="218">
        <f>ROUND(IF(MinBase3Day&gt;ROUND(((1-(ThreeDayDiscount_21_Up+FedExExrpessEarnedDiscount))*'3Day Base'!B121),2),ROUND(MinBase3Day*(1+ExpressFuelSurcharge),2),ROUND(((1-(ThreeDayDiscount_21_Up+FedExExrpessEarnedDiscount))*'3Day Base'!B121)*(1+ExpressFuelSurcharge),2))*(1+FedEx_Markup),2)</f>
        <v>115.86</v>
      </c>
      <c r="C124" s="218">
        <f>ROUND(IF(MinBase3Day&gt;ROUND(((1-(ThreeDayDiscount_21_Up+FedExExrpessEarnedDiscount))*'3Day Base'!C121),2),ROUND(MinBase3Day*(1+ExpressFuelSurcharge),2),ROUND(((1-(ThreeDayDiscount_21_Up+FedExExrpessEarnedDiscount))*'3Day Base'!C121)*(1+ExpressFuelSurcharge),2))*(1+FedEx_Markup),2)</f>
        <v>149.66999999999999</v>
      </c>
      <c r="D124" s="218">
        <f>ROUND(IF(MinBase3Day&gt;ROUND(((1-(ThreeDayDiscount_21_Up+FedExExrpessEarnedDiscount))*'3Day Base'!D121),2),ROUND(MinBase3Day*(1+ExpressFuelSurcharge),2),ROUND(((1-(ThreeDayDiscount_21_Up+FedExExrpessEarnedDiscount))*'3Day Base'!D121)*(1+ExpressFuelSurcharge),2))*(1+FedEx_Markup),2)</f>
        <v>191.64</v>
      </c>
      <c r="E124" s="218">
        <f>ROUND(IF(MinBase3Day&gt;ROUND(((1-(ThreeDayDiscount_21_Up+FedExExrpessEarnedDiscount))*'3Day Base'!E121),2),ROUND(MinBase3Day*(1+ExpressFuelSurcharge),2),ROUND(((1-(ThreeDayDiscount_21_Up+FedExExrpessEarnedDiscount))*'3Day Base'!E121)*(1+ExpressFuelSurcharge),2))*(1+FedEx_Markup),2)</f>
        <v>264.89999999999998</v>
      </c>
      <c r="F124" s="218">
        <f>ROUND(IF(MinBase3Day&gt;ROUND(((1-(ThreeDayDiscount_21_Up+FedExExrpessEarnedDiscount))*'3Day Base'!F121),2),ROUND(MinBase3Day*(1+ExpressFuelSurcharge),2),ROUND(((1-(ThreeDayDiscount_21_Up+FedExExrpessEarnedDiscount))*'3Day Base'!F121)*(1+ExpressFuelSurcharge),2))*(1+FedEx_Markup),2)</f>
        <v>372.62</v>
      </c>
      <c r="G124" s="218">
        <f>ROUND(IF(MinBase3Day&gt;ROUND(((1-(ThreeDayDiscount_21_Up+FedExExrpessEarnedDiscount))*'3Day Base'!G121),2),ROUND(MinBase3Day*(1+ExpressFuelSurcharge),2),ROUND(((1-(ThreeDayDiscount_21_Up+FedExExrpessEarnedDiscount))*'3Day Base'!G121)*(1+ExpressFuelSurcharge),2))*(1+FedEx_Markup),2)</f>
        <v>412.08</v>
      </c>
      <c r="H124" s="218">
        <f>ROUND(IF(MinBase3Day&gt;ROUND(((1-(ThreeDayDiscount_21_Up+FedExExrpessEarnedDiscount))*'3Day Base'!H121),2),ROUND(MinBase3Day*(1+ExpressFuelSurcharge),2),ROUND(((1-(ThreeDayDiscount_21_Up+FedExExrpessEarnedDiscount))*'3Day Base'!H121)*(1+ExpressFuelSurcharge),2))*(1+FedEx_Markup),2)</f>
        <v>471.57</v>
      </c>
    </row>
    <row r="125" spans="1:26" ht="12.75" customHeight="1">
      <c r="A125" s="217">
        <v>120</v>
      </c>
      <c r="B125" s="218">
        <f>ROUND(IF(MinBase3Day&gt;ROUND(((1-(ThreeDayDiscount_21_Up+FedExExrpessEarnedDiscount))*'3Day Base'!B122),2),ROUND(MinBase3Day*(1+ExpressFuelSurcharge),2),ROUND(((1-(ThreeDayDiscount_21_Up+FedExExrpessEarnedDiscount))*'3Day Base'!B122)*(1+ExpressFuelSurcharge),2))*(1+FedEx_Markup),2)</f>
        <v>116.83</v>
      </c>
      <c r="C125" s="218">
        <f>ROUND(IF(MinBase3Day&gt;ROUND(((1-(ThreeDayDiscount_21_Up+FedExExrpessEarnedDiscount))*'3Day Base'!C122),2),ROUND(MinBase3Day*(1+ExpressFuelSurcharge),2),ROUND(((1-(ThreeDayDiscount_21_Up+FedExExrpessEarnedDiscount))*'3Day Base'!C122)*(1+ExpressFuelSurcharge),2))*(1+FedEx_Markup),2)</f>
        <v>150.94</v>
      </c>
      <c r="D125" s="218">
        <f>ROUND(IF(MinBase3Day&gt;ROUND(((1-(ThreeDayDiscount_21_Up+FedExExrpessEarnedDiscount))*'3Day Base'!D122),2),ROUND(MinBase3Day*(1+ExpressFuelSurcharge),2),ROUND(((1-(ThreeDayDiscount_21_Up+FedExExrpessEarnedDiscount))*'3Day Base'!D122)*(1+ExpressFuelSurcharge),2))*(1+FedEx_Markup),2)</f>
        <v>193.25</v>
      </c>
      <c r="E125" s="218">
        <f>ROUND(IF(MinBase3Day&gt;ROUND(((1-(ThreeDayDiscount_21_Up+FedExExrpessEarnedDiscount))*'3Day Base'!E122),2),ROUND(MinBase3Day*(1+ExpressFuelSurcharge),2),ROUND(((1-(ThreeDayDiscount_21_Up+FedExExrpessEarnedDiscount))*'3Day Base'!E122)*(1+ExpressFuelSurcharge),2))*(1+FedEx_Markup),2)</f>
        <v>267.13</v>
      </c>
      <c r="F125" s="218">
        <f>ROUND(IF(MinBase3Day&gt;ROUND(((1-(ThreeDayDiscount_21_Up+FedExExrpessEarnedDiscount))*'3Day Base'!F122),2),ROUND(MinBase3Day*(1+ExpressFuelSurcharge),2),ROUND(((1-(ThreeDayDiscount_21_Up+FedExExrpessEarnedDiscount))*'3Day Base'!F122)*(1+ExpressFuelSurcharge),2))*(1+FedEx_Markup),2)</f>
        <v>375.75</v>
      </c>
      <c r="G125" s="218">
        <f>ROUND(IF(MinBase3Day&gt;ROUND(((1-(ThreeDayDiscount_21_Up+FedExExrpessEarnedDiscount))*'3Day Base'!G122),2),ROUND(MinBase3Day*(1+ExpressFuelSurcharge),2),ROUND(((1-(ThreeDayDiscount_21_Up+FedExExrpessEarnedDiscount))*'3Day Base'!G122)*(1+ExpressFuelSurcharge),2))*(1+FedEx_Markup),2)</f>
        <v>415.54</v>
      </c>
      <c r="H125" s="218">
        <f>ROUND(IF(MinBase3Day&gt;ROUND(((1-(ThreeDayDiscount_21_Up+FedExExrpessEarnedDiscount))*'3Day Base'!H122),2),ROUND(MinBase3Day*(1+ExpressFuelSurcharge),2),ROUND(((1-(ThreeDayDiscount_21_Up+FedExExrpessEarnedDiscount))*'3Day Base'!H122)*(1+ExpressFuelSurcharge),2))*(1+FedEx_Markup),2)</f>
        <v>475.54</v>
      </c>
    </row>
    <row r="126" spans="1:26" ht="12.75" customHeight="1">
      <c r="A126" s="217">
        <v>121</v>
      </c>
      <c r="B126" s="218">
        <f>ROUND(IF(MinBase3Day&gt;ROUND(((1-(ThreeDayDiscount_21_Up+FedExExrpessEarnedDiscount))*'3Day Base'!B123),2),ROUND(MinBase3Day*(1+ExpressFuelSurcharge),2),ROUND(((1-(ThreeDayDiscount_21_Up+FedExExrpessEarnedDiscount))*'3Day Base'!B123)*(1+ExpressFuelSurcharge),2))*(1+FedEx_Markup),2)</f>
        <v>117.81</v>
      </c>
      <c r="C126" s="218">
        <f>ROUND(IF(MinBase3Day&gt;ROUND(((1-(ThreeDayDiscount_21_Up+FedExExrpessEarnedDiscount))*'3Day Base'!C123),2),ROUND(MinBase3Day*(1+ExpressFuelSurcharge),2),ROUND(((1-(ThreeDayDiscount_21_Up+FedExExrpessEarnedDiscount))*'3Day Base'!C123)*(1+ExpressFuelSurcharge),2))*(1+FedEx_Markup),2)</f>
        <v>152.19</v>
      </c>
      <c r="D126" s="218">
        <f>ROUND(IF(MinBase3Day&gt;ROUND(((1-(ThreeDayDiscount_21_Up+FedExExrpessEarnedDiscount))*'3Day Base'!D123),2),ROUND(MinBase3Day*(1+ExpressFuelSurcharge),2),ROUND(((1-(ThreeDayDiscount_21_Up+FedExExrpessEarnedDiscount))*'3Day Base'!D123)*(1+ExpressFuelSurcharge),2))*(1+FedEx_Markup),2)</f>
        <v>194.86</v>
      </c>
      <c r="E126" s="218">
        <f>ROUND(IF(MinBase3Day&gt;ROUND(((1-(ThreeDayDiscount_21_Up+FedExExrpessEarnedDiscount))*'3Day Base'!E123),2),ROUND(MinBase3Day*(1+ExpressFuelSurcharge),2),ROUND(((1-(ThreeDayDiscount_21_Up+FedExExrpessEarnedDiscount))*'3Day Base'!E123)*(1+ExpressFuelSurcharge),2))*(1+FedEx_Markup),2)</f>
        <v>269.36</v>
      </c>
      <c r="F126" s="218">
        <f>ROUND(IF(MinBase3Day&gt;ROUND(((1-(ThreeDayDiscount_21_Up+FedExExrpessEarnedDiscount))*'3Day Base'!F123),2),ROUND(MinBase3Day*(1+ExpressFuelSurcharge),2),ROUND(((1-(ThreeDayDiscount_21_Up+FedExExrpessEarnedDiscount))*'3Day Base'!F123)*(1+ExpressFuelSurcharge),2))*(1+FedEx_Markup),2)</f>
        <v>378.89</v>
      </c>
      <c r="G126" s="218">
        <f>ROUND(IF(MinBase3Day&gt;ROUND(((1-(ThreeDayDiscount_21_Up+FedExExrpessEarnedDiscount))*'3Day Base'!G123),2),ROUND(MinBase3Day*(1+ExpressFuelSurcharge),2),ROUND(((1-(ThreeDayDiscount_21_Up+FedExExrpessEarnedDiscount))*'3Day Base'!G123)*(1+ExpressFuelSurcharge),2))*(1+FedEx_Markup),2)</f>
        <v>419</v>
      </c>
      <c r="H126" s="218">
        <f>ROUND(IF(MinBase3Day&gt;ROUND(((1-(ThreeDayDiscount_21_Up+FedExExrpessEarnedDiscount))*'3Day Base'!H123),2),ROUND(MinBase3Day*(1+ExpressFuelSurcharge),2),ROUND(((1-(ThreeDayDiscount_21_Up+FedExExrpessEarnedDiscount))*'3Day Base'!H123)*(1+ExpressFuelSurcharge),2))*(1+FedEx_Markup),2)</f>
        <v>479.5</v>
      </c>
    </row>
    <row r="127" spans="1:26" ht="12.75" customHeight="1">
      <c r="A127" s="217">
        <v>122</v>
      </c>
      <c r="B127" s="218">
        <f>ROUND(IF(MinBase3Day&gt;ROUND(((1-(ThreeDayDiscount_21_Up+FedExExrpessEarnedDiscount))*'3Day Base'!B124),2),ROUND(MinBase3Day*(1+ExpressFuelSurcharge),2),ROUND(((1-(ThreeDayDiscount_21_Up+FedExExrpessEarnedDiscount))*'3Day Base'!B124)*(1+ExpressFuelSurcharge),2))*(1+FedEx_Markup),2)</f>
        <v>118.78</v>
      </c>
      <c r="C127" s="218">
        <f>ROUND(IF(MinBase3Day&gt;ROUND(((1-(ThreeDayDiscount_21_Up+FedExExrpessEarnedDiscount))*'3Day Base'!C124),2),ROUND(MinBase3Day*(1+ExpressFuelSurcharge),2),ROUND(((1-(ThreeDayDiscount_21_Up+FedExExrpessEarnedDiscount))*'3Day Base'!C124)*(1+ExpressFuelSurcharge),2))*(1+FedEx_Markup),2)</f>
        <v>153.44</v>
      </c>
      <c r="D127" s="218">
        <f>ROUND(IF(MinBase3Day&gt;ROUND(((1-(ThreeDayDiscount_21_Up+FedExExrpessEarnedDiscount))*'3Day Base'!D124),2),ROUND(MinBase3Day*(1+ExpressFuelSurcharge),2),ROUND(((1-(ThreeDayDiscount_21_Up+FedExExrpessEarnedDiscount))*'3Day Base'!D124)*(1+ExpressFuelSurcharge),2))*(1+FedEx_Markup),2)</f>
        <v>196.47</v>
      </c>
      <c r="E127" s="218">
        <f>ROUND(IF(MinBase3Day&gt;ROUND(((1-(ThreeDayDiscount_21_Up+FedExExrpessEarnedDiscount))*'3Day Base'!E124),2),ROUND(MinBase3Day*(1+ExpressFuelSurcharge),2),ROUND(((1-(ThreeDayDiscount_21_Up+FedExExrpessEarnedDiscount))*'3Day Base'!E124)*(1+ExpressFuelSurcharge),2))*(1+FedEx_Markup),2)</f>
        <v>271.58</v>
      </c>
      <c r="F127" s="218">
        <f>ROUND(IF(MinBase3Day&gt;ROUND(((1-(ThreeDayDiscount_21_Up+FedExExrpessEarnedDiscount))*'3Day Base'!F124),2),ROUND(MinBase3Day*(1+ExpressFuelSurcharge),2),ROUND(((1-(ThreeDayDiscount_21_Up+FedExExrpessEarnedDiscount))*'3Day Base'!F124)*(1+ExpressFuelSurcharge),2))*(1+FedEx_Markup),2)</f>
        <v>382.02</v>
      </c>
      <c r="G127" s="218">
        <f>ROUND(IF(MinBase3Day&gt;ROUND(((1-(ThreeDayDiscount_21_Up+FedExExrpessEarnedDiscount))*'3Day Base'!G124),2),ROUND(MinBase3Day*(1+ExpressFuelSurcharge),2),ROUND(((1-(ThreeDayDiscount_21_Up+FedExExrpessEarnedDiscount))*'3Day Base'!G124)*(1+ExpressFuelSurcharge),2))*(1+FedEx_Markup),2)</f>
        <v>422.46</v>
      </c>
      <c r="H127" s="218">
        <f>ROUND(IF(MinBase3Day&gt;ROUND(((1-(ThreeDayDiscount_21_Up+FedExExrpessEarnedDiscount))*'3Day Base'!H124),2),ROUND(MinBase3Day*(1+ExpressFuelSurcharge),2),ROUND(((1-(ThreeDayDiscount_21_Up+FedExExrpessEarnedDiscount))*'3Day Base'!H124)*(1+ExpressFuelSurcharge),2))*(1+FedEx_Markup),2)</f>
        <v>483.46</v>
      </c>
    </row>
    <row r="128" spans="1:26" ht="12.75" customHeight="1">
      <c r="A128" s="217">
        <v>123</v>
      </c>
      <c r="B128" s="218">
        <f>ROUND(IF(MinBase3Day&gt;ROUND(((1-(ThreeDayDiscount_21_Up+FedExExrpessEarnedDiscount))*'3Day Base'!B125),2),ROUND(MinBase3Day*(1+ExpressFuelSurcharge),2),ROUND(((1-(ThreeDayDiscount_21_Up+FedExExrpessEarnedDiscount))*'3Day Base'!B125)*(1+ExpressFuelSurcharge),2))*(1+FedEx_Markup),2)</f>
        <v>119.75</v>
      </c>
      <c r="C128" s="218">
        <f>ROUND(IF(MinBase3Day&gt;ROUND(((1-(ThreeDayDiscount_21_Up+FedExExrpessEarnedDiscount))*'3Day Base'!C125),2),ROUND(MinBase3Day*(1+ExpressFuelSurcharge),2),ROUND(((1-(ThreeDayDiscount_21_Up+FedExExrpessEarnedDiscount))*'3Day Base'!C125)*(1+ExpressFuelSurcharge),2))*(1+FedEx_Markup),2)</f>
        <v>154.71</v>
      </c>
      <c r="D128" s="218">
        <f>ROUND(IF(MinBase3Day&gt;ROUND(((1-(ThreeDayDiscount_21_Up+FedExExrpessEarnedDiscount))*'3Day Base'!D125),2),ROUND(MinBase3Day*(1+ExpressFuelSurcharge),2),ROUND(((1-(ThreeDayDiscount_21_Up+FedExExrpessEarnedDiscount))*'3Day Base'!D125)*(1+ExpressFuelSurcharge),2))*(1+FedEx_Markup),2)</f>
        <v>198.08</v>
      </c>
      <c r="E128" s="218">
        <f>ROUND(IF(MinBase3Day&gt;ROUND(((1-(ThreeDayDiscount_21_Up+FedExExrpessEarnedDiscount))*'3Day Base'!E125),2),ROUND(MinBase3Day*(1+ExpressFuelSurcharge),2),ROUND(((1-(ThreeDayDiscount_21_Up+FedExExrpessEarnedDiscount))*'3Day Base'!E125)*(1+ExpressFuelSurcharge),2))*(1+FedEx_Markup),2)</f>
        <v>273.82</v>
      </c>
      <c r="F128" s="218">
        <f>ROUND(IF(MinBase3Day&gt;ROUND(((1-(ThreeDayDiscount_21_Up+FedExExrpessEarnedDiscount))*'3Day Base'!F125),2),ROUND(MinBase3Day*(1+ExpressFuelSurcharge),2),ROUND(((1-(ThreeDayDiscount_21_Up+FedExExrpessEarnedDiscount))*'3Day Base'!F125)*(1+ExpressFuelSurcharge),2))*(1+FedEx_Markup),2)</f>
        <v>385.15</v>
      </c>
      <c r="G128" s="218">
        <f>ROUND(IF(MinBase3Day&gt;ROUND(((1-(ThreeDayDiscount_21_Up+FedExExrpessEarnedDiscount))*'3Day Base'!G125),2),ROUND(MinBase3Day*(1+ExpressFuelSurcharge),2),ROUND(((1-(ThreeDayDiscount_21_Up+FedExExrpessEarnedDiscount))*'3Day Base'!G125)*(1+ExpressFuelSurcharge),2))*(1+FedEx_Markup),2)</f>
        <v>425.93</v>
      </c>
      <c r="H128" s="218">
        <f>ROUND(IF(MinBase3Day&gt;ROUND(((1-(ThreeDayDiscount_21_Up+FedExExrpessEarnedDiscount))*'3Day Base'!H125),2),ROUND(MinBase3Day*(1+ExpressFuelSurcharge),2),ROUND(((1-(ThreeDayDiscount_21_Up+FedExExrpessEarnedDiscount))*'3Day Base'!H125)*(1+ExpressFuelSurcharge),2))*(1+FedEx_Markup),2)</f>
        <v>487.43</v>
      </c>
    </row>
    <row r="129" spans="1:8" ht="12.75" customHeight="1">
      <c r="A129" s="217">
        <v>124</v>
      </c>
      <c r="B129" s="218">
        <f>ROUND(IF(MinBase3Day&gt;ROUND(((1-(ThreeDayDiscount_21_Up+FedExExrpessEarnedDiscount))*'3Day Base'!B126),2),ROUND(MinBase3Day*(1+ExpressFuelSurcharge),2),ROUND(((1-(ThreeDayDiscount_21_Up+FedExExrpessEarnedDiscount))*'3Day Base'!B126)*(1+ExpressFuelSurcharge),2))*(1+FedEx_Markup),2)</f>
        <v>120.73</v>
      </c>
      <c r="C129" s="218">
        <f>ROUND(IF(MinBase3Day&gt;ROUND(((1-(ThreeDayDiscount_21_Up+FedExExrpessEarnedDiscount))*'3Day Base'!C126),2),ROUND(MinBase3Day*(1+ExpressFuelSurcharge),2),ROUND(((1-(ThreeDayDiscount_21_Up+FedExExrpessEarnedDiscount))*'3Day Base'!C126)*(1+ExpressFuelSurcharge),2))*(1+FedEx_Markup),2)</f>
        <v>155.96</v>
      </c>
      <c r="D129" s="218">
        <f>ROUND(IF(MinBase3Day&gt;ROUND(((1-(ThreeDayDiscount_21_Up+FedExExrpessEarnedDiscount))*'3Day Base'!D126),2),ROUND(MinBase3Day*(1+ExpressFuelSurcharge),2),ROUND(((1-(ThreeDayDiscount_21_Up+FedExExrpessEarnedDiscount))*'3Day Base'!D126)*(1+ExpressFuelSurcharge),2))*(1+FedEx_Markup),2)</f>
        <v>199.69</v>
      </c>
      <c r="E129" s="218">
        <f>ROUND(IF(MinBase3Day&gt;ROUND(((1-(ThreeDayDiscount_21_Up+FedExExrpessEarnedDiscount))*'3Day Base'!E126),2),ROUND(MinBase3Day*(1+ExpressFuelSurcharge),2),ROUND(((1-(ThreeDayDiscount_21_Up+FedExExrpessEarnedDiscount))*'3Day Base'!E126)*(1+ExpressFuelSurcharge),2))*(1+FedEx_Markup),2)</f>
        <v>276.02999999999997</v>
      </c>
      <c r="F129" s="218">
        <f>ROUND(IF(MinBase3Day&gt;ROUND(((1-(ThreeDayDiscount_21_Up+FedExExrpessEarnedDiscount))*'3Day Base'!F126),2),ROUND(MinBase3Day*(1+ExpressFuelSurcharge),2),ROUND(((1-(ThreeDayDiscount_21_Up+FedExExrpessEarnedDiscount))*'3Day Base'!F126)*(1+ExpressFuelSurcharge),2))*(1+FedEx_Markup),2)</f>
        <v>388.29</v>
      </c>
      <c r="G129" s="218">
        <f>ROUND(IF(MinBase3Day&gt;ROUND(((1-(ThreeDayDiscount_21_Up+FedExExrpessEarnedDiscount))*'3Day Base'!G126),2),ROUND(MinBase3Day*(1+ExpressFuelSurcharge),2),ROUND(((1-(ThreeDayDiscount_21_Up+FedExExrpessEarnedDiscount))*'3Day Base'!G126)*(1+ExpressFuelSurcharge),2))*(1+FedEx_Markup),2)</f>
        <v>429.4</v>
      </c>
      <c r="H129" s="218">
        <f>ROUND(IF(MinBase3Day&gt;ROUND(((1-(ThreeDayDiscount_21_Up+FedExExrpessEarnedDiscount))*'3Day Base'!H126),2),ROUND(MinBase3Day*(1+ExpressFuelSurcharge),2),ROUND(((1-(ThreeDayDiscount_21_Up+FedExExrpessEarnedDiscount))*'3Day Base'!H126)*(1+ExpressFuelSurcharge),2))*(1+FedEx_Markup),2)</f>
        <v>491.38</v>
      </c>
    </row>
    <row r="130" spans="1:8" ht="12.75" customHeight="1">
      <c r="A130" s="217">
        <v>125</v>
      </c>
      <c r="B130" s="218">
        <f>ROUND(IF(MinBase3Day&gt;ROUND(((1-(ThreeDayDiscount_21_Up+FedExExrpessEarnedDiscount))*'3Day Base'!B127),2),ROUND(MinBase3Day*(1+ExpressFuelSurcharge),2),ROUND(((1-(ThreeDayDiscount_21_Up+FedExExrpessEarnedDiscount))*'3Day Base'!B127)*(1+ExpressFuelSurcharge),2))*(1+FedEx_Markup),2)</f>
        <v>121.7</v>
      </c>
      <c r="C130" s="218">
        <f>ROUND(IF(MinBase3Day&gt;ROUND(((1-(ThreeDayDiscount_21_Up+FedExExrpessEarnedDiscount))*'3Day Base'!C127),2),ROUND(MinBase3Day*(1+ExpressFuelSurcharge),2),ROUND(((1-(ThreeDayDiscount_21_Up+FedExExrpessEarnedDiscount))*'3Day Base'!C127)*(1+ExpressFuelSurcharge),2))*(1+FedEx_Markup),2)</f>
        <v>157.22999999999999</v>
      </c>
      <c r="D130" s="218">
        <f>ROUND(IF(MinBase3Day&gt;ROUND(((1-(ThreeDayDiscount_21_Up+FedExExrpessEarnedDiscount))*'3Day Base'!D127),2),ROUND(MinBase3Day*(1+ExpressFuelSurcharge),2),ROUND(((1-(ThreeDayDiscount_21_Up+FedExExrpessEarnedDiscount))*'3Day Base'!D127)*(1+ExpressFuelSurcharge),2))*(1+FedEx_Markup),2)</f>
        <v>201.3</v>
      </c>
      <c r="E130" s="218">
        <f>ROUND(IF(MinBase3Day&gt;ROUND(((1-(ThreeDayDiscount_21_Up+FedExExrpessEarnedDiscount))*'3Day Base'!E127),2),ROUND(MinBase3Day*(1+ExpressFuelSurcharge),2),ROUND(((1-(ThreeDayDiscount_21_Up+FedExExrpessEarnedDiscount))*'3Day Base'!E127)*(1+ExpressFuelSurcharge),2))*(1+FedEx_Markup),2)</f>
        <v>278.27</v>
      </c>
      <c r="F130" s="218">
        <f>ROUND(IF(MinBase3Day&gt;ROUND(((1-(ThreeDayDiscount_21_Up+FedExExrpessEarnedDiscount))*'3Day Base'!F127),2),ROUND(MinBase3Day*(1+ExpressFuelSurcharge),2),ROUND(((1-(ThreeDayDiscount_21_Up+FedExExrpessEarnedDiscount))*'3Day Base'!F127)*(1+ExpressFuelSurcharge),2))*(1+FedEx_Markup),2)</f>
        <v>391.41</v>
      </c>
      <c r="G130" s="218">
        <f>ROUND(IF(MinBase3Day&gt;ROUND(((1-(ThreeDayDiscount_21_Up+FedExExrpessEarnedDiscount))*'3Day Base'!G127),2),ROUND(MinBase3Day*(1+ExpressFuelSurcharge),2),ROUND(((1-(ThreeDayDiscount_21_Up+FedExExrpessEarnedDiscount))*'3Day Base'!G127)*(1+ExpressFuelSurcharge),2))*(1+FedEx_Markup),2)</f>
        <v>432.86</v>
      </c>
      <c r="H130" s="218">
        <f>ROUND(IF(MinBase3Day&gt;ROUND(((1-(ThreeDayDiscount_21_Up+FedExExrpessEarnedDiscount))*'3Day Base'!H127),2),ROUND(MinBase3Day*(1+ExpressFuelSurcharge),2),ROUND(((1-(ThreeDayDiscount_21_Up+FedExExrpessEarnedDiscount))*'3Day Base'!H127)*(1+ExpressFuelSurcharge),2))*(1+FedEx_Markup),2)</f>
        <v>495.35</v>
      </c>
    </row>
    <row r="131" spans="1:8" ht="12.75" customHeight="1">
      <c r="A131" s="217">
        <v>126</v>
      </c>
      <c r="B131" s="218">
        <f>ROUND(IF(MinBase3Day&gt;ROUND(((1-(ThreeDayDiscount_21_Up+FedExExrpessEarnedDiscount))*'3Day Base'!B128),2),ROUND(MinBase3Day*(1+ExpressFuelSurcharge),2),ROUND(((1-(ThreeDayDiscount_21_Up+FedExExrpessEarnedDiscount))*'3Day Base'!B128)*(1+ExpressFuelSurcharge),2))*(1+FedEx_Markup),2)</f>
        <v>122.67</v>
      </c>
      <c r="C131" s="218">
        <f>ROUND(IF(MinBase3Day&gt;ROUND(((1-(ThreeDayDiscount_21_Up+FedExExrpessEarnedDiscount))*'3Day Base'!C128),2),ROUND(MinBase3Day*(1+ExpressFuelSurcharge),2),ROUND(((1-(ThreeDayDiscount_21_Up+FedExExrpessEarnedDiscount))*'3Day Base'!C128)*(1+ExpressFuelSurcharge),2))*(1+FedEx_Markup),2)</f>
        <v>158.47999999999999</v>
      </c>
      <c r="D131" s="218">
        <f>ROUND(IF(MinBase3Day&gt;ROUND(((1-(ThreeDayDiscount_21_Up+FedExExrpessEarnedDiscount))*'3Day Base'!D128),2),ROUND(MinBase3Day*(1+ExpressFuelSurcharge),2),ROUND(((1-(ThreeDayDiscount_21_Up+FedExExrpessEarnedDiscount))*'3Day Base'!D128)*(1+ExpressFuelSurcharge),2))*(1+FedEx_Markup),2)</f>
        <v>202.91</v>
      </c>
      <c r="E131" s="218">
        <f>ROUND(IF(MinBase3Day&gt;ROUND(((1-(ThreeDayDiscount_21_Up+FedExExrpessEarnedDiscount))*'3Day Base'!E128),2),ROUND(MinBase3Day*(1+ExpressFuelSurcharge),2),ROUND(((1-(ThreeDayDiscount_21_Up+FedExExrpessEarnedDiscount))*'3Day Base'!E128)*(1+ExpressFuelSurcharge),2))*(1+FedEx_Markup),2)</f>
        <v>280.49</v>
      </c>
      <c r="F131" s="218">
        <f>ROUND(IF(MinBase3Day&gt;ROUND(((1-(ThreeDayDiscount_21_Up+FedExExrpessEarnedDiscount))*'3Day Base'!F128),2),ROUND(MinBase3Day*(1+ExpressFuelSurcharge),2),ROUND(((1-(ThreeDayDiscount_21_Up+FedExExrpessEarnedDiscount))*'3Day Base'!F128)*(1+ExpressFuelSurcharge),2))*(1+FedEx_Markup),2)</f>
        <v>394.54</v>
      </c>
      <c r="G131" s="218">
        <f>ROUND(IF(MinBase3Day&gt;ROUND(((1-(ThreeDayDiscount_21_Up+FedExExrpessEarnedDiscount))*'3Day Base'!G128),2),ROUND(MinBase3Day*(1+ExpressFuelSurcharge),2),ROUND(((1-(ThreeDayDiscount_21_Up+FedExExrpessEarnedDiscount))*'3Day Base'!G128)*(1+ExpressFuelSurcharge),2))*(1+FedEx_Markup),2)</f>
        <v>436.32</v>
      </c>
      <c r="H131" s="218">
        <f>ROUND(IF(MinBase3Day&gt;ROUND(((1-(ThreeDayDiscount_21_Up+FedExExrpessEarnedDiscount))*'3Day Base'!H128),2),ROUND(MinBase3Day*(1+ExpressFuelSurcharge),2),ROUND(((1-(ThreeDayDiscount_21_Up+FedExExrpessEarnedDiscount))*'3Day Base'!H128)*(1+ExpressFuelSurcharge),2))*(1+FedEx_Markup),2)</f>
        <v>499.32</v>
      </c>
    </row>
    <row r="132" spans="1:8" ht="12.75" customHeight="1">
      <c r="A132" s="217">
        <v>127</v>
      </c>
      <c r="B132" s="218">
        <f>ROUND(IF(MinBase3Day&gt;ROUND(((1-(ThreeDayDiscount_21_Up+FedExExrpessEarnedDiscount))*'3Day Base'!B129),2),ROUND(MinBase3Day*(1+ExpressFuelSurcharge),2),ROUND(((1-(ThreeDayDiscount_21_Up+FedExExrpessEarnedDiscount))*'3Day Base'!B129)*(1+ExpressFuelSurcharge),2))*(1+FedEx_Markup),2)</f>
        <v>123.65</v>
      </c>
      <c r="C132" s="218">
        <f>ROUND(IF(MinBase3Day&gt;ROUND(((1-(ThreeDayDiscount_21_Up+FedExExrpessEarnedDiscount))*'3Day Base'!C129),2),ROUND(MinBase3Day*(1+ExpressFuelSurcharge),2),ROUND(((1-(ThreeDayDiscount_21_Up+FedExExrpessEarnedDiscount))*'3Day Base'!C129)*(1+ExpressFuelSurcharge),2))*(1+FedEx_Markup),2)</f>
        <v>159.74</v>
      </c>
      <c r="D132" s="218">
        <f>ROUND(IF(MinBase3Day&gt;ROUND(((1-(ThreeDayDiscount_21_Up+FedExExrpessEarnedDiscount))*'3Day Base'!D129),2),ROUND(MinBase3Day*(1+ExpressFuelSurcharge),2),ROUND(((1-(ThreeDayDiscount_21_Up+FedExExrpessEarnedDiscount))*'3Day Base'!D129)*(1+ExpressFuelSurcharge),2))*(1+FedEx_Markup),2)</f>
        <v>204.52</v>
      </c>
      <c r="E132" s="218">
        <f>ROUND(IF(MinBase3Day&gt;ROUND(((1-(ThreeDayDiscount_21_Up+FedExExrpessEarnedDiscount))*'3Day Base'!E129),2),ROUND(MinBase3Day*(1+ExpressFuelSurcharge),2),ROUND(((1-(ThreeDayDiscount_21_Up+FedExExrpessEarnedDiscount))*'3Day Base'!E129)*(1+ExpressFuelSurcharge),2))*(1+FedEx_Markup),2)</f>
        <v>282.72000000000003</v>
      </c>
      <c r="F132" s="218">
        <f>ROUND(IF(MinBase3Day&gt;ROUND(((1-(ThreeDayDiscount_21_Up+FedExExrpessEarnedDiscount))*'3Day Base'!F129),2),ROUND(MinBase3Day*(1+ExpressFuelSurcharge),2),ROUND(((1-(ThreeDayDiscount_21_Up+FedExExrpessEarnedDiscount))*'3Day Base'!F129)*(1+ExpressFuelSurcharge),2))*(1+FedEx_Markup),2)</f>
        <v>397.67</v>
      </c>
      <c r="G132" s="218">
        <f>ROUND(IF(MinBase3Day&gt;ROUND(((1-(ThreeDayDiscount_21_Up+FedExExrpessEarnedDiscount))*'3Day Base'!G129),2),ROUND(MinBase3Day*(1+ExpressFuelSurcharge),2),ROUND(((1-(ThreeDayDiscount_21_Up+FedExExrpessEarnedDiscount))*'3Day Base'!G129)*(1+ExpressFuelSurcharge),2))*(1+FedEx_Markup),2)</f>
        <v>439.78</v>
      </c>
      <c r="H132" s="218">
        <f>ROUND(IF(MinBase3Day&gt;ROUND(((1-(ThreeDayDiscount_21_Up+FedExExrpessEarnedDiscount))*'3Day Base'!H129),2),ROUND(MinBase3Day*(1+ExpressFuelSurcharge),2),ROUND(((1-(ThreeDayDiscount_21_Up+FedExExrpessEarnedDiscount))*'3Day Base'!H129)*(1+ExpressFuelSurcharge),2))*(1+FedEx_Markup),2)</f>
        <v>503.27</v>
      </c>
    </row>
    <row r="133" spans="1:8" ht="12.75" customHeight="1">
      <c r="A133" s="217">
        <v>128</v>
      </c>
      <c r="B133" s="218">
        <f>ROUND(IF(MinBase3Day&gt;ROUND(((1-(ThreeDayDiscount_21_Up+FedExExrpessEarnedDiscount))*'3Day Base'!B130),2),ROUND(MinBase3Day*(1+ExpressFuelSurcharge),2),ROUND(((1-(ThreeDayDiscount_21_Up+FedExExrpessEarnedDiscount))*'3Day Base'!B130)*(1+ExpressFuelSurcharge),2))*(1+FedEx_Markup),2)</f>
        <v>124.63</v>
      </c>
      <c r="C133" s="218">
        <f>ROUND(IF(MinBase3Day&gt;ROUND(((1-(ThreeDayDiscount_21_Up+FedExExrpessEarnedDiscount))*'3Day Base'!C130),2),ROUND(MinBase3Day*(1+ExpressFuelSurcharge),2),ROUND(((1-(ThreeDayDiscount_21_Up+FedExExrpessEarnedDiscount))*'3Day Base'!C130)*(1+ExpressFuelSurcharge),2))*(1+FedEx_Markup),2)</f>
        <v>161</v>
      </c>
      <c r="D133" s="218">
        <f>ROUND(IF(MinBase3Day&gt;ROUND(((1-(ThreeDayDiscount_21_Up+FedExExrpessEarnedDiscount))*'3Day Base'!D130),2),ROUND(MinBase3Day*(1+ExpressFuelSurcharge),2),ROUND(((1-(ThreeDayDiscount_21_Up+FedExExrpessEarnedDiscount))*'3Day Base'!D130)*(1+ExpressFuelSurcharge),2))*(1+FedEx_Markup),2)</f>
        <v>206.13</v>
      </c>
      <c r="E133" s="218">
        <f>ROUND(IF(MinBase3Day&gt;ROUND(((1-(ThreeDayDiscount_21_Up+FedExExrpessEarnedDiscount))*'3Day Base'!E130),2),ROUND(MinBase3Day*(1+ExpressFuelSurcharge),2),ROUND(((1-(ThreeDayDiscount_21_Up+FedExExrpessEarnedDiscount))*'3Day Base'!E130)*(1+ExpressFuelSurcharge),2))*(1+FedEx_Markup),2)</f>
        <v>284.95</v>
      </c>
      <c r="F133" s="218">
        <f>ROUND(IF(MinBase3Day&gt;ROUND(((1-(ThreeDayDiscount_21_Up+FedExExrpessEarnedDiscount))*'3Day Base'!F130),2),ROUND(MinBase3Day*(1+ExpressFuelSurcharge),2),ROUND(((1-(ThreeDayDiscount_21_Up+FedExExrpessEarnedDiscount))*'3Day Base'!F130)*(1+ExpressFuelSurcharge),2))*(1+FedEx_Markup),2)</f>
        <v>400.81</v>
      </c>
      <c r="G133" s="218">
        <f>ROUND(IF(MinBase3Day&gt;ROUND(((1-(ThreeDayDiscount_21_Up+FedExExrpessEarnedDiscount))*'3Day Base'!G130),2),ROUND(MinBase3Day*(1+ExpressFuelSurcharge),2),ROUND(((1-(ThreeDayDiscount_21_Up+FedExExrpessEarnedDiscount))*'3Day Base'!G130)*(1+ExpressFuelSurcharge),2))*(1+FedEx_Markup),2)</f>
        <v>443.24</v>
      </c>
      <c r="H133" s="218">
        <f>ROUND(IF(MinBase3Day&gt;ROUND(((1-(ThreeDayDiscount_21_Up+FedExExrpessEarnedDiscount))*'3Day Base'!H130),2),ROUND(MinBase3Day*(1+ExpressFuelSurcharge),2),ROUND(((1-(ThreeDayDiscount_21_Up+FedExExrpessEarnedDiscount))*'3Day Base'!H130)*(1+ExpressFuelSurcharge),2))*(1+FedEx_Markup),2)</f>
        <v>507.24</v>
      </c>
    </row>
    <row r="134" spans="1:8" ht="12.75" customHeight="1">
      <c r="A134" s="217">
        <v>129</v>
      </c>
      <c r="B134" s="218">
        <f>ROUND(IF(MinBase3Day&gt;ROUND(((1-(ThreeDayDiscount_21_Up+FedExExrpessEarnedDiscount))*'3Day Base'!B131),2),ROUND(MinBase3Day*(1+ExpressFuelSurcharge),2),ROUND(((1-(ThreeDayDiscount_21_Up+FedExExrpessEarnedDiscount))*'3Day Base'!B131)*(1+ExpressFuelSurcharge),2))*(1+FedEx_Markup),2)</f>
        <v>125.59</v>
      </c>
      <c r="C134" s="218">
        <f>ROUND(IF(MinBase3Day&gt;ROUND(((1-(ThreeDayDiscount_21_Up+FedExExrpessEarnedDiscount))*'3Day Base'!C131),2),ROUND(MinBase3Day*(1+ExpressFuelSurcharge),2),ROUND(((1-(ThreeDayDiscount_21_Up+FedExExrpessEarnedDiscount))*'3Day Base'!C131)*(1+ExpressFuelSurcharge),2))*(1+FedEx_Markup),2)</f>
        <v>162.25</v>
      </c>
      <c r="D134" s="218">
        <f>ROUND(IF(MinBase3Day&gt;ROUND(((1-(ThreeDayDiscount_21_Up+FedExExrpessEarnedDiscount))*'3Day Base'!D131),2),ROUND(MinBase3Day*(1+ExpressFuelSurcharge),2),ROUND(((1-(ThreeDayDiscount_21_Up+FedExExrpessEarnedDiscount))*'3Day Base'!D131)*(1+ExpressFuelSurcharge),2))*(1+FedEx_Markup),2)</f>
        <v>207.74</v>
      </c>
      <c r="E134" s="218">
        <f>ROUND(IF(MinBase3Day&gt;ROUND(((1-(ThreeDayDiscount_21_Up+FedExExrpessEarnedDiscount))*'3Day Base'!E131),2),ROUND(MinBase3Day*(1+ExpressFuelSurcharge),2),ROUND(((1-(ThreeDayDiscount_21_Up+FedExExrpessEarnedDiscount))*'3Day Base'!E131)*(1+ExpressFuelSurcharge),2))*(1+FedEx_Markup),2)</f>
        <v>287.17</v>
      </c>
      <c r="F134" s="218">
        <f>ROUND(IF(MinBase3Day&gt;ROUND(((1-(ThreeDayDiscount_21_Up+FedExExrpessEarnedDiscount))*'3Day Base'!F131),2),ROUND(MinBase3Day*(1+ExpressFuelSurcharge),2),ROUND(((1-(ThreeDayDiscount_21_Up+FedExExrpessEarnedDiscount))*'3Day Base'!F131)*(1+ExpressFuelSurcharge),2))*(1+FedEx_Markup),2)</f>
        <v>403.94</v>
      </c>
      <c r="G134" s="218">
        <f>ROUND(IF(MinBase3Day&gt;ROUND(((1-(ThreeDayDiscount_21_Up+FedExExrpessEarnedDiscount))*'3Day Base'!G131),2),ROUND(MinBase3Day*(1+ExpressFuelSurcharge),2),ROUND(((1-(ThreeDayDiscount_21_Up+FedExExrpessEarnedDiscount))*'3Day Base'!G131)*(1+ExpressFuelSurcharge),2))*(1+FedEx_Markup),2)</f>
        <v>446.71</v>
      </c>
      <c r="H134" s="218">
        <f>ROUND(IF(MinBase3Day&gt;ROUND(((1-(ThreeDayDiscount_21_Up+FedExExrpessEarnedDiscount))*'3Day Base'!H131),2),ROUND(MinBase3Day*(1+ExpressFuelSurcharge),2),ROUND(((1-(ThreeDayDiscount_21_Up+FedExExrpessEarnedDiscount))*'3Day Base'!H131)*(1+ExpressFuelSurcharge),2))*(1+FedEx_Markup),2)</f>
        <v>511.2</v>
      </c>
    </row>
    <row r="135" spans="1:8" ht="12.75" customHeight="1">
      <c r="A135" s="217">
        <v>130</v>
      </c>
      <c r="B135" s="218">
        <f>ROUND(IF(MinBase3Day&gt;ROUND(((1-(ThreeDayDiscount_21_Up+FedExExrpessEarnedDiscount))*'3Day Base'!B132),2),ROUND(MinBase3Day*(1+ExpressFuelSurcharge),2),ROUND(((1-(ThreeDayDiscount_21_Up+FedExExrpessEarnedDiscount))*'3Day Base'!B132)*(1+ExpressFuelSurcharge),2))*(1+FedEx_Markup),2)</f>
        <v>126.57</v>
      </c>
      <c r="C135" s="218">
        <f>ROUND(IF(MinBase3Day&gt;ROUND(((1-(ThreeDayDiscount_21_Up+FedExExrpessEarnedDiscount))*'3Day Base'!C132),2),ROUND(MinBase3Day*(1+ExpressFuelSurcharge),2),ROUND(((1-(ThreeDayDiscount_21_Up+FedExExrpessEarnedDiscount))*'3Day Base'!C132)*(1+ExpressFuelSurcharge),2))*(1+FedEx_Markup),2)</f>
        <v>163.51</v>
      </c>
      <c r="D135" s="218">
        <f>ROUND(IF(MinBase3Day&gt;ROUND(((1-(ThreeDayDiscount_21_Up+FedExExrpessEarnedDiscount))*'3Day Base'!D132),2),ROUND(MinBase3Day*(1+ExpressFuelSurcharge),2),ROUND(((1-(ThreeDayDiscount_21_Up+FedExExrpessEarnedDiscount))*'3Day Base'!D132)*(1+ExpressFuelSurcharge),2))*(1+FedEx_Markup),2)</f>
        <v>209.35</v>
      </c>
      <c r="E135" s="218">
        <f>ROUND(IF(MinBase3Day&gt;ROUND(((1-(ThreeDayDiscount_21_Up+FedExExrpessEarnedDiscount))*'3Day Base'!E132),2),ROUND(MinBase3Day*(1+ExpressFuelSurcharge),2),ROUND(((1-(ThreeDayDiscount_21_Up+FedExExrpessEarnedDiscount))*'3Day Base'!E132)*(1+ExpressFuelSurcharge),2))*(1+FedEx_Markup),2)</f>
        <v>289.39999999999998</v>
      </c>
      <c r="F135" s="218">
        <f>ROUND(IF(MinBase3Day&gt;ROUND(((1-(ThreeDayDiscount_21_Up+FedExExrpessEarnedDiscount))*'3Day Base'!F132),2),ROUND(MinBase3Day*(1+ExpressFuelSurcharge),2),ROUND(((1-(ThreeDayDiscount_21_Up+FedExExrpessEarnedDiscount))*'3Day Base'!F132)*(1+ExpressFuelSurcharge),2))*(1+FedEx_Markup),2)</f>
        <v>407.07</v>
      </c>
      <c r="G135" s="218">
        <f>ROUND(IF(MinBase3Day&gt;ROUND(((1-(ThreeDayDiscount_21_Up+FedExExrpessEarnedDiscount))*'3Day Base'!G132),2),ROUND(MinBase3Day*(1+ExpressFuelSurcharge),2),ROUND(((1-(ThreeDayDiscount_21_Up+FedExExrpessEarnedDiscount))*'3Day Base'!G132)*(1+ExpressFuelSurcharge),2))*(1+FedEx_Markup),2)</f>
        <v>450.17</v>
      </c>
      <c r="H135" s="218">
        <f>ROUND(IF(MinBase3Day&gt;ROUND(((1-(ThreeDayDiscount_21_Up+FedExExrpessEarnedDiscount))*'3Day Base'!H132),2),ROUND(MinBase3Day*(1+ExpressFuelSurcharge),2),ROUND(((1-(ThreeDayDiscount_21_Up+FedExExrpessEarnedDiscount))*'3Day Base'!H132)*(1+ExpressFuelSurcharge),2))*(1+FedEx_Markup),2)</f>
        <v>515.16999999999996</v>
      </c>
    </row>
    <row r="136" spans="1:8" ht="12.75" customHeight="1">
      <c r="A136" s="217">
        <v>131</v>
      </c>
      <c r="B136" s="218">
        <f>ROUND(IF(MinBase3Day&gt;ROUND(((1-(ThreeDayDiscount_21_Up+FedExExrpessEarnedDiscount))*'3Day Base'!B133),2),ROUND(MinBase3Day*(1+ExpressFuelSurcharge),2),ROUND(((1-(ThreeDayDiscount_21_Up+FedExExrpessEarnedDiscount))*'3Day Base'!B133)*(1+ExpressFuelSurcharge),2))*(1+FedEx_Markup),2)</f>
        <v>127.55</v>
      </c>
      <c r="C136" s="218">
        <f>ROUND(IF(MinBase3Day&gt;ROUND(((1-(ThreeDayDiscount_21_Up+FedExExrpessEarnedDiscount))*'3Day Base'!C133),2),ROUND(MinBase3Day*(1+ExpressFuelSurcharge),2),ROUND(((1-(ThreeDayDiscount_21_Up+FedExExrpessEarnedDiscount))*'3Day Base'!C133)*(1+ExpressFuelSurcharge),2))*(1+FedEx_Markup),2)</f>
        <v>164.77</v>
      </c>
      <c r="D136" s="218">
        <f>ROUND(IF(MinBase3Day&gt;ROUND(((1-(ThreeDayDiscount_21_Up+FedExExrpessEarnedDiscount))*'3Day Base'!D133),2),ROUND(MinBase3Day*(1+ExpressFuelSurcharge),2),ROUND(((1-(ThreeDayDiscount_21_Up+FedExExrpessEarnedDiscount))*'3Day Base'!D133)*(1+ExpressFuelSurcharge),2))*(1+FedEx_Markup),2)</f>
        <v>210.96</v>
      </c>
      <c r="E136" s="218">
        <f>ROUND(IF(MinBase3Day&gt;ROUND(((1-(ThreeDayDiscount_21_Up+FedExExrpessEarnedDiscount))*'3Day Base'!E133),2),ROUND(MinBase3Day*(1+ExpressFuelSurcharge),2),ROUND(((1-(ThreeDayDiscount_21_Up+FedExExrpessEarnedDiscount))*'3Day Base'!E133)*(1+ExpressFuelSurcharge),2))*(1+FedEx_Markup),2)</f>
        <v>291.62</v>
      </c>
      <c r="F136" s="218">
        <f>ROUND(IF(MinBase3Day&gt;ROUND(((1-(ThreeDayDiscount_21_Up+FedExExrpessEarnedDiscount))*'3Day Base'!F133),2),ROUND(MinBase3Day*(1+ExpressFuelSurcharge),2),ROUND(((1-(ThreeDayDiscount_21_Up+FedExExrpessEarnedDiscount))*'3Day Base'!F133)*(1+ExpressFuelSurcharge),2))*(1+FedEx_Markup),2)</f>
        <v>410.21</v>
      </c>
      <c r="G136" s="218">
        <f>ROUND(IF(MinBase3Day&gt;ROUND(((1-(ThreeDayDiscount_21_Up+FedExExrpessEarnedDiscount))*'3Day Base'!G133),2),ROUND(MinBase3Day*(1+ExpressFuelSurcharge),2),ROUND(((1-(ThreeDayDiscount_21_Up+FedExExrpessEarnedDiscount))*'3Day Base'!G133)*(1+ExpressFuelSurcharge),2))*(1+FedEx_Markup),2)</f>
        <v>453.63</v>
      </c>
      <c r="H136" s="218">
        <f>ROUND(IF(MinBase3Day&gt;ROUND(((1-(ThreeDayDiscount_21_Up+FedExExrpessEarnedDiscount))*'3Day Base'!H133),2),ROUND(MinBase3Day*(1+ExpressFuelSurcharge),2),ROUND(((1-(ThreeDayDiscount_21_Up+FedExExrpessEarnedDiscount))*'3Day Base'!H133)*(1+ExpressFuelSurcharge),2))*(1+FedEx_Markup),2)</f>
        <v>519.13</v>
      </c>
    </row>
    <row r="137" spans="1:8" ht="12.75" customHeight="1">
      <c r="A137" s="217">
        <v>132</v>
      </c>
      <c r="B137" s="218">
        <f>ROUND(IF(MinBase3Day&gt;ROUND(((1-(ThreeDayDiscount_21_Up+FedExExrpessEarnedDiscount))*'3Day Base'!B134),2),ROUND(MinBase3Day*(1+ExpressFuelSurcharge),2),ROUND(((1-(ThreeDayDiscount_21_Up+FedExExrpessEarnedDiscount))*'3Day Base'!B134)*(1+ExpressFuelSurcharge),2))*(1+FedEx_Markup),2)</f>
        <v>128.51</v>
      </c>
      <c r="C137" s="218">
        <f>ROUND(IF(MinBase3Day&gt;ROUND(((1-(ThreeDayDiscount_21_Up+FedExExrpessEarnedDiscount))*'3Day Base'!C134),2),ROUND(MinBase3Day*(1+ExpressFuelSurcharge),2),ROUND(((1-(ThreeDayDiscount_21_Up+FedExExrpessEarnedDiscount))*'3Day Base'!C134)*(1+ExpressFuelSurcharge),2))*(1+FedEx_Markup),2)</f>
        <v>166.03</v>
      </c>
      <c r="D137" s="218">
        <f>ROUND(IF(MinBase3Day&gt;ROUND(((1-(ThreeDayDiscount_21_Up+FedExExrpessEarnedDiscount))*'3Day Base'!D134),2),ROUND(MinBase3Day*(1+ExpressFuelSurcharge),2),ROUND(((1-(ThreeDayDiscount_21_Up+FedExExrpessEarnedDiscount))*'3Day Base'!D134)*(1+ExpressFuelSurcharge),2))*(1+FedEx_Markup),2)</f>
        <v>212.57</v>
      </c>
      <c r="E137" s="218">
        <f>ROUND(IF(MinBase3Day&gt;ROUND(((1-(ThreeDayDiscount_21_Up+FedExExrpessEarnedDiscount))*'3Day Base'!E134),2),ROUND(MinBase3Day*(1+ExpressFuelSurcharge),2),ROUND(((1-(ThreeDayDiscount_21_Up+FedExExrpessEarnedDiscount))*'3Day Base'!E134)*(1+ExpressFuelSurcharge),2))*(1+FedEx_Markup),2)</f>
        <v>293.85000000000002</v>
      </c>
      <c r="F137" s="218">
        <f>ROUND(IF(MinBase3Day&gt;ROUND(((1-(ThreeDayDiscount_21_Up+FedExExrpessEarnedDiscount))*'3Day Base'!F134),2),ROUND(MinBase3Day*(1+ExpressFuelSurcharge),2),ROUND(((1-(ThreeDayDiscount_21_Up+FedExExrpessEarnedDiscount))*'3Day Base'!F134)*(1+ExpressFuelSurcharge),2))*(1+FedEx_Markup),2)</f>
        <v>413.33</v>
      </c>
      <c r="G137" s="218">
        <f>ROUND(IF(MinBase3Day&gt;ROUND(((1-(ThreeDayDiscount_21_Up+FedExExrpessEarnedDiscount))*'3Day Base'!G134),2),ROUND(MinBase3Day*(1+ExpressFuelSurcharge),2),ROUND(((1-(ThreeDayDiscount_21_Up+FedExExrpessEarnedDiscount))*'3Day Base'!G134)*(1+ExpressFuelSurcharge),2))*(1+FedEx_Markup),2)</f>
        <v>457.09</v>
      </c>
      <c r="H137" s="218">
        <f>ROUND(IF(MinBase3Day&gt;ROUND(((1-(ThreeDayDiscount_21_Up+FedExExrpessEarnedDiscount))*'3Day Base'!H134),2),ROUND(MinBase3Day*(1+ExpressFuelSurcharge),2),ROUND(((1-(ThreeDayDiscount_21_Up+FedExExrpessEarnedDiscount))*'3Day Base'!H134)*(1+ExpressFuelSurcharge),2))*(1+FedEx_Markup),2)</f>
        <v>523.09</v>
      </c>
    </row>
    <row r="138" spans="1:8" ht="12.75" customHeight="1">
      <c r="A138" s="217">
        <v>133</v>
      </c>
      <c r="B138" s="218">
        <f>ROUND(IF(MinBase3Day&gt;ROUND(((1-(ThreeDayDiscount_21_Up+FedExExrpessEarnedDiscount))*'3Day Base'!B135),2),ROUND(MinBase3Day*(1+ExpressFuelSurcharge),2),ROUND(((1-(ThreeDayDiscount_21_Up+FedExExrpessEarnedDiscount))*'3Day Base'!B135)*(1+ExpressFuelSurcharge),2))*(1+FedEx_Markup),2)</f>
        <v>129.49</v>
      </c>
      <c r="C138" s="218">
        <f>ROUND(IF(MinBase3Day&gt;ROUND(((1-(ThreeDayDiscount_21_Up+FedExExrpessEarnedDiscount))*'3Day Base'!C135),2),ROUND(MinBase3Day*(1+ExpressFuelSurcharge),2),ROUND(((1-(ThreeDayDiscount_21_Up+FedExExrpessEarnedDiscount))*'3Day Base'!C135)*(1+ExpressFuelSurcharge),2))*(1+FedEx_Markup),2)</f>
        <v>167.29</v>
      </c>
      <c r="D138" s="218">
        <f>ROUND(IF(MinBase3Day&gt;ROUND(((1-(ThreeDayDiscount_21_Up+FedExExrpessEarnedDiscount))*'3Day Base'!D135),2),ROUND(MinBase3Day*(1+ExpressFuelSurcharge),2),ROUND(((1-(ThreeDayDiscount_21_Up+FedExExrpessEarnedDiscount))*'3Day Base'!D135)*(1+ExpressFuelSurcharge),2))*(1+FedEx_Markup),2)</f>
        <v>214.18</v>
      </c>
      <c r="E138" s="218">
        <f>ROUND(IF(MinBase3Day&gt;ROUND(((1-(ThreeDayDiscount_21_Up+FedExExrpessEarnedDiscount))*'3Day Base'!E135),2),ROUND(MinBase3Day*(1+ExpressFuelSurcharge),2),ROUND(((1-(ThreeDayDiscount_21_Up+FedExExrpessEarnedDiscount))*'3Day Base'!E135)*(1+ExpressFuelSurcharge),2))*(1+FedEx_Markup),2)</f>
        <v>296.08</v>
      </c>
      <c r="F138" s="218">
        <f>ROUND(IF(MinBase3Day&gt;ROUND(((1-(ThreeDayDiscount_21_Up+FedExExrpessEarnedDiscount))*'3Day Base'!F135),2),ROUND(MinBase3Day*(1+ExpressFuelSurcharge),2),ROUND(((1-(ThreeDayDiscount_21_Up+FedExExrpessEarnedDiscount))*'3Day Base'!F135)*(1+ExpressFuelSurcharge),2))*(1+FedEx_Markup),2)</f>
        <v>416.46</v>
      </c>
      <c r="G138" s="218">
        <f>ROUND(IF(MinBase3Day&gt;ROUND(((1-(ThreeDayDiscount_21_Up+FedExExrpessEarnedDiscount))*'3Day Base'!G135),2),ROUND(MinBase3Day*(1+ExpressFuelSurcharge),2),ROUND(((1-(ThreeDayDiscount_21_Up+FedExExrpessEarnedDiscount))*'3Day Base'!G135)*(1+ExpressFuelSurcharge),2))*(1+FedEx_Markup),2)</f>
        <v>460.56</v>
      </c>
      <c r="H138" s="218">
        <f>ROUND(IF(MinBase3Day&gt;ROUND(((1-(ThreeDayDiscount_21_Up+FedExExrpessEarnedDiscount))*'3Day Base'!H135),2),ROUND(MinBase3Day*(1+ExpressFuelSurcharge),2),ROUND(((1-(ThreeDayDiscount_21_Up+FedExExrpessEarnedDiscount))*'3Day Base'!H135)*(1+ExpressFuelSurcharge),2))*(1+FedEx_Markup),2)</f>
        <v>527.05999999999995</v>
      </c>
    </row>
    <row r="139" spans="1:8" ht="12.75" customHeight="1">
      <c r="A139" s="217">
        <v>134</v>
      </c>
      <c r="B139" s="218">
        <f>ROUND(IF(MinBase3Day&gt;ROUND(((1-(ThreeDayDiscount_21_Up+FedExExrpessEarnedDiscount))*'3Day Base'!B136),2),ROUND(MinBase3Day*(1+ExpressFuelSurcharge),2),ROUND(((1-(ThreeDayDiscount_21_Up+FedExExrpessEarnedDiscount))*'3Day Base'!B136)*(1+ExpressFuelSurcharge),2))*(1+FedEx_Markup),2)</f>
        <v>130.47</v>
      </c>
      <c r="C139" s="218">
        <f>ROUND(IF(MinBase3Day&gt;ROUND(((1-(ThreeDayDiscount_21_Up+FedExExrpessEarnedDiscount))*'3Day Base'!C136),2),ROUND(MinBase3Day*(1+ExpressFuelSurcharge),2),ROUND(((1-(ThreeDayDiscount_21_Up+FedExExrpessEarnedDiscount))*'3Day Base'!C136)*(1+ExpressFuelSurcharge),2))*(1+FedEx_Markup),2)</f>
        <v>168.54</v>
      </c>
      <c r="D139" s="218">
        <f>ROUND(IF(MinBase3Day&gt;ROUND(((1-(ThreeDayDiscount_21_Up+FedExExrpessEarnedDiscount))*'3Day Base'!D136),2),ROUND(MinBase3Day*(1+ExpressFuelSurcharge),2),ROUND(((1-(ThreeDayDiscount_21_Up+FedExExrpessEarnedDiscount))*'3Day Base'!D136)*(1+ExpressFuelSurcharge),2))*(1+FedEx_Markup),2)</f>
        <v>215.79</v>
      </c>
      <c r="E139" s="218">
        <f>ROUND(IF(MinBase3Day&gt;ROUND(((1-(ThreeDayDiscount_21_Up+FedExExrpessEarnedDiscount))*'3Day Base'!E136),2),ROUND(MinBase3Day*(1+ExpressFuelSurcharge),2),ROUND(((1-(ThreeDayDiscount_21_Up+FedExExrpessEarnedDiscount))*'3Day Base'!E136)*(1+ExpressFuelSurcharge),2))*(1+FedEx_Markup),2)</f>
        <v>298.3</v>
      </c>
      <c r="F139" s="218">
        <f>ROUND(IF(MinBase3Day&gt;ROUND(((1-(ThreeDayDiscount_21_Up+FedExExrpessEarnedDiscount))*'3Day Base'!F136),2),ROUND(MinBase3Day*(1+ExpressFuelSurcharge),2),ROUND(((1-(ThreeDayDiscount_21_Up+FedExExrpessEarnedDiscount))*'3Day Base'!F136)*(1+ExpressFuelSurcharge),2))*(1+FedEx_Markup),2)</f>
        <v>419.59</v>
      </c>
      <c r="G139" s="218">
        <f>ROUND(IF(MinBase3Day&gt;ROUND(((1-(ThreeDayDiscount_21_Up+FedExExrpessEarnedDiscount))*'3Day Base'!G136),2),ROUND(MinBase3Day*(1+ExpressFuelSurcharge),2),ROUND(((1-(ThreeDayDiscount_21_Up+FedExExrpessEarnedDiscount))*'3Day Base'!G136)*(1+ExpressFuelSurcharge),2))*(1+FedEx_Markup),2)</f>
        <v>464.03</v>
      </c>
      <c r="H139" s="218">
        <f>ROUND(IF(MinBase3Day&gt;ROUND(((1-(ThreeDayDiscount_21_Up+FedExExrpessEarnedDiscount))*'3Day Base'!H136),2),ROUND(MinBase3Day*(1+ExpressFuelSurcharge),2),ROUND(((1-(ThreeDayDiscount_21_Up+FedExExrpessEarnedDiscount))*'3Day Base'!H136)*(1+ExpressFuelSurcharge),2))*(1+FedEx_Markup),2)</f>
        <v>531.01</v>
      </c>
    </row>
    <row r="140" spans="1:8" ht="12.75" customHeight="1">
      <c r="A140" s="217">
        <v>135</v>
      </c>
      <c r="B140" s="218">
        <f>ROUND(IF(MinBase3Day&gt;ROUND(((1-(ThreeDayDiscount_21_Up+FedExExrpessEarnedDiscount))*'3Day Base'!B137),2),ROUND(MinBase3Day*(1+ExpressFuelSurcharge),2),ROUND(((1-(ThreeDayDiscount_21_Up+FedExExrpessEarnedDiscount))*'3Day Base'!B137)*(1+ExpressFuelSurcharge),2))*(1+FedEx_Markup),2)</f>
        <v>131.43</v>
      </c>
      <c r="C140" s="218">
        <f>ROUND(IF(MinBase3Day&gt;ROUND(((1-(ThreeDayDiscount_21_Up+FedExExrpessEarnedDiscount))*'3Day Base'!C137),2),ROUND(MinBase3Day*(1+ExpressFuelSurcharge),2),ROUND(((1-(ThreeDayDiscount_21_Up+FedExExrpessEarnedDiscount))*'3Day Base'!C137)*(1+ExpressFuelSurcharge),2))*(1+FedEx_Markup),2)</f>
        <v>169.8</v>
      </c>
      <c r="D140" s="218">
        <f>ROUND(IF(MinBase3Day&gt;ROUND(((1-(ThreeDayDiscount_21_Up+FedExExrpessEarnedDiscount))*'3Day Base'!D137),2),ROUND(MinBase3Day*(1+ExpressFuelSurcharge),2),ROUND(((1-(ThreeDayDiscount_21_Up+FedExExrpessEarnedDiscount))*'3Day Base'!D137)*(1+ExpressFuelSurcharge),2))*(1+FedEx_Markup),2)</f>
        <v>217.4</v>
      </c>
      <c r="E140" s="218">
        <f>ROUND(IF(MinBase3Day&gt;ROUND(((1-(ThreeDayDiscount_21_Up+FedExExrpessEarnedDiscount))*'3Day Base'!E137),2),ROUND(MinBase3Day*(1+ExpressFuelSurcharge),2),ROUND(((1-(ThreeDayDiscount_21_Up+FedExExrpessEarnedDiscount))*'3Day Base'!E137)*(1+ExpressFuelSurcharge),2))*(1+FedEx_Markup),2)</f>
        <v>300.52999999999997</v>
      </c>
      <c r="F140" s="218">
        <f>ROUND(IF(MinBase3Day&gt;ROUND(((1-(ThreeDayDiscount_21_Up+FedExExrpessEarnedDiscount))*'3Day Base'!F137),2),ROUND(MinBase3Day*(1+ExpressFuelSurcharge),2),ROUND(((1-(ThreeDayDiscount_21_Up+FedExExrpessEarnedDiscount))*'3Day Base'!F137)*(1+ExpressFuelSurcharge),2))*(1+FedEx_Markup),2)</f>
        <v>422.73</v>
      </c>
      <c r="G140" s="218">
        <f>ROUND(IF(MinBase3Day&gt;ROUND(((1-(ThreeDayDiscount_21_Up+FedExExrpessEarnedDiscount))*'3Day Base'!G137),2),ROUND(MinBase3Day*(1+ExpressFuelSurcharge),2),ROUND(((1-(ThreeDayDiscount_21_Up+FedExExrpessEarnedDiscount))*'3Day Base'!G137)*(1+ExpressFuelSurcharge),2))*(1+FedEx_Markup),2)</f>
        <v>467.49</v>
      </c>
      <c r="H140" s="218">
        <f>ROUND(IF(MinBase3Day&gt;ROUND(((1-(ThreeDayDiscount_21_Up+FedExExrpessEarnedDiscount))*'3Day Base'!H137),2),ROUND(MinBase3Day*(1+ExpressFuelSurcharge),2),ROUND(((1-(ThreeDayDiscount_21_Up+FedExExrpessEarnedDiscount))*'3Day Base'!H137)*(1+ExpressFuelSurcharge),2))*(1+FedEx_Markup),2)</f>
        <v>534.98</v>
      </c>
    </row>
    <row r="141" spans="1:8" ht="12.75" customHeight="1">
      <c r="A141" s="217">
        <v>136</v>
      </c>
      <c r="B141" s="218">
        <f>ROUND(IF(MinBase3Day&gt;ROUND(((1-(ThreeDayDiscount_21_Up+FedExExrpessEarnedDiscount))*'3Day Base'!B138),2),ROUND(MinBase3Day*(1+ExpressFuelSurcharge),2),ROUND(((1-(ThreeDayDiscount_21_Up+FedExExrpessEarnedDiscount))*'3Day Base'!B138)*(1+ExpressFuelSurcharge),2))*(1+FedEx_Markup),2)</f>
        <v>132.41</v>
      </c>
      <c r="C141" s="218">
        <f>ROUND(IF(MinBase3Day&gt;ROUND(((1-(ThreeDayDiscount_21_Up+FedExExrpessEarnedDiscount))*'3Day Base'!C138),2),ROUND(MinBase3Day*(1+ExpressFuelSurcharge),2),ROUND(((1-(ThreeDayDiscount_21_Up+FedExExrpessEarnedDiscount))*'3Day Base'!C138)*(1+ExpressFuelSurcharge),2))*(1+FedEx_Markup),2)</f>
        <v>171.06</v>
      </c>
      <c r="D141" s="218">
        <f>ROUND(IF(MinBase3Day&gt;ROUND(((1-(ThreeDayDiscount_21_Up+FedExExrpessEarnedDiscount))*'3Day Base'!D138),2),ROUND(MinBase3Day*(1+ExpressFuelSurcharge),2),ROUND(((1-(ThreeDayDiscount_21_Up+FedExExrpessEarnedDiscount))*'3Day Base'!D138)*(1+ExpressFuelSurcharge),2))*(1+FedEx_Markup),2)</f>
        <v>219.02</v>
      </c>
      <c r="E141" s="218">
        <f>ROUND(IF(MinBase3Day&gt;ROUND(((1-(ThreeDayDiscount_21_Up+FedExExrpessEarnedDiscount))*'3Day Base'!E138),2),ROUND(MinBase3Day*(1+ExpressFuelSurcharge),2),ROUND(((1-(ThreeDayDiscount_21_Up+FedExExrpessEarnedDiscount))*'3Day Base'!E138)*(1+ExpressFuelSurcharge),2))*(1+FedEx_Markup),2)</f>
        <v>302.75</v>
      </c>
      <c r="F141" s="218">
        <f>ROUND(IF(MinBase3Day&gt;ROUND(((1-(ThreeDayDiscount_21_Up+FedExExrpessEarnedDiscount))*'3Day Base'!F138),2),ROUND(MinBase3Day*(1+ExpressFuelSurcharge),2),ROUND(((1-(ThreeDayDiscount_21_Up+FedExExrpessEarnedDiscount))*'3Day Base'!F138)*(1+ExpressFuelSurcharge),2))*(1+FedEx_Markup),2)</f>
        <v>425.86</v>
      </c>
      <c r="G141" s="218">
        <f>ROUND(IF(MinBase3Day&gt;ROUND(((1-(ThreeDayDiscount_21_Up+FedExExrpessEarnedDiscount))*'3Day Base'!G138),2),ROUND(MinBase3Day*(1+ExpressFuelSurcharge),2),ROUND(((1-(ThreeDayDiscount_21_Up+FedExExrpessEarnedDiscount))*'3Day Base'!G138)*(1+ExpressFuelSurcharge),2))*(1+FedEx_Markup),2)</f>
        <v>470.95</v>
      </c>
      <c r="H141" s="218">
        <f>ROUND(IF(MinBase3Day&gt;ROUND(((1-(ThreeDayDiscount_21_Up+FedExExrpessEarnedDiscount))*'3Day Base'!H138),2),ROUND(MinBase3Day*(1+ExpressFuelSurcharge),2),ROUND(((1-(ThreeDayDiscount_21_Up+FedExExrpessEarnedDiscount))*'3Day Base'!H138)*(1+ExpressFuelSurcharge),2))*(1+FedEx_Markup),2)</f>
        <v>538.94000000000005</v>
      </c>
    </row>
    <row r="142" spans="1:8" ht="12.75" customHeight="1">
      <c r="A142" s="217">
        <v>137</v>
      </c>
      <c r="B142" s="218">
        <f>ROUND(IF(MinBase3Day&gt;ROUND(((1-(ThreeDayDiscount_21_Up+FedExExrpessEarnedDiscount))*'3Day Base'!B139),2),ROUND(MinBase3Day*(1+ExpressFuelSurcharge),2),ROUND(((1-(ThreeDayDiscount_21_Up+FedExExrpessEarnedDiscount))*'3Day Base'!B139)*(1+ExpressFuelSurcharge),2))*(1+FedEx_Markup),2)</f>
        <v>133.38999999999999</v>
      </c>
      <c r="C142" s="218">
        <f>ROUND(IF(MinBase3Day&gt;ROUND(((1-(ThreeDayDiscount_21_Up+FedExExrpessEarnedDiscount))*'3Day Base'!C139),2),ROUND(MinBase3Day*(1+ExpressFuelSurcharge),2),ROUND(((1-(ThreeDayDiscount_21_Up+FedExExrpessEarnedDiscount))*'3Day Base'!C139)*(1+ExpressFuelSurcharge),2))*(1+FedEx_Markup),2)</f>
        <v>172.32</v>
      </c>
      <c r="D142" s="218">
        <f>ROUND(IF(MinBase3Day&gt;ROUND(((1-(ThreeDayDiscount_21_Up+FedExExrpessEarnedDiscount))*'3Day Base'!D139),2),ROUND(MinBase3Day*(1+ExpressFuelSurcharge),2),ROUND(((1-(ThreeDayDiscount_21_Up+FedExExrpessEarnedDiscount))*'3Day Base'!D139)*(1+ExpressFuelSurcharge),2))*(1+FedEx_Markup),2)</f>
        <v>220.63</v>
      </c>
      <c r="E142" s="218">
        <f>ROUND(IF(MinBase3Day&gt;ROUND(((1-(ThreeDayDiscount_21_Up+FedExExrpessEarnedDiscount))*'3Day Base'!E139),2),ROUND(MinBase3Day*(1+ExpressFuelSurcharge),2),ROUND(((1-(ThreeDayDiscount_21_Up+FedExExrpessEarnedDiscount))*'3Day Base'!E139)*(1+ExpressFuelSurcharge),2))*(1+FedEx_Markup),2)</f>
        <v>304.98</v>
      </c>
      <c r="F142" s="218">
        <f>ROUND(IF(MinBase3Day&gt;ROUND(((1-(ThreeDayDiscount_21_Up+FedExExrpessEarnedDiscount))*'3Day Base'!F139),2),ROUND(MinBase3Day*(1+ExpressFuelSurcharge),2),ROUND(((1-(ThreeDayDiscount_21_Up+FedExExrpessEarnedDiscount))*'3Day Base'!F139)*(1+ExpressFuelSurcharge),2))*(1+FedEx_Markup),2)</f>
        <v>428.98</v>
      </c>
      <c r="G142" s="218">
        <f>ROUND(IF(MinBase3Day&gt;ROUND(((1-(ThreeDayDiscount_21_Up+FedExExrpessEarnedDiscount))*'3Day Base'!G139),2),ROUND(MinBase3Day*(1+ExpressFuelSurcharge),2),ROUND(((1-(ThreeDayDiscount_21_Up+FedExExrpessEarnedDiscount))*'3Day Base'!G139)*(1+ExpressFuelSurcharge),2))*(1+FedEx_Markup),2)</f>
        <v>474.41</v>
      </c>
      <c r="H142" s="218">
        <f>ROUND(IF(MinBase3Day&gt;ROUND(((1-(ThreeDayDiscount_21_Up+FedExExrpessEarnedDiscount))*'3Day Base'!H139),2),ROUND(MinBase3Day*(1+ExpressFuelSurcharge),2),ROUND(((1-(ThreeDayDiscount_21_Up+FedExExrpessEarnedDiscount))*'3Day Base'!H139)*(1+ExpressFuelSurcharge),2))*(1+FedEx_Markup),2)</f>
        <v>542.9</v>
      </c>
    </row>
    <row r="143" spans="1:8" ht="12.75" customHeight="1">
      <c r="A143" s="217">
        <v>138</v>
      </c>
      <c r="B143" s="218">
        <f>ROUND(IF(MinBase3Day&gt;ROUND(((1-(ThreeDayDiscount_21_Up+FedExExrpessEarnedDiscount))*'3Day Base'!B140),2),ROUND(MinBase3Day*(1+ExpressFuelSurcharge),2),ROUND(((1-(ThreeDayDiscount_21_Up+FedExExrpessEarnedDiscount))*'3Day Base'!B140)*(1+ExpressFuelSurcharge),2))*(1+FedEx_Markup),2)</f>
        <v>134.35</v>
      </c>
      <c r="C143" s="218">
        <f>ROUND(IF(MinBase3Day&gt;ROUND(((1-(ThreeDayDiscount_21_Up+FedExExrpessEarnedDiscount))*'3Day Base'!C140),2),ROUND(MinBase3Day*(1+ExpressFuelSurcharge),2),ROUND(((1-(ThreeDayDiscount_21_Up+FedExExrpessEarnedDiscount))*'3Day Base'!C140)*(1+ExpressFuelSurcharge),2))*(1+FedEx_Markup),2)</f>
        <v>173.57</v>
      </c>
      <c r="D143" s="218">
        <f>ROUND(IF(MinBase3Day&gt;ROUND(((1-(ThreeDayDiscount_21_Up+FedExExrpessEarnedDiscount))*'3Day Base'!D140),2),ROUND(MinBase3Day*(1+ExpressFuelSurcharge),2),ROUND(((1-(ThreeDayDiscount_21_Up+FedExExrpessEarnedDiscount))*'3Day Base'!D140)*(1+ExpressFuelSurcharge),2))*(1+FedEx_Markup),2)</f>
        <v>222.24</v>
      </c>
      <c r="E143" s="218">
        <f>ROUND(IF(MinBase3Day&gt;ROUND(((1-(ThreeDayDiscount_21_Up+FedExExrpessEarnedDiscount))*'3Day Base'!E140),2),ROUND(MinBase3Day*(1+ExpressFuelSurcharge),2),ROUND(((1-(ThreeDayDiscount_21_Up+FedExExrpessEarnedDiscount))*'3Day Base'!E140)*(1+ExpressFuelSurcharge),2))*(1+FedEx_Markup),2)</f>
        <v>307.2</v>
      </c>
      <c r="F143" s="218">
        <f>ROUND(IF(MinBase3Day&gt;ROUND(((1-(ThreeDayDiscount_21_Up+FedExExrpessEarnedDiscount))*'3Day Base'!F140),2),ROUND(MinBase3Day*(1+ExpressFuelSurcharge),2),ROUND(((1-(ThreeDayDiscount_21_Up+FedExExrpessEarnedDiscount))*'3Day Base'!F140)*(1+ExpressFuelSurcharge),2))*(1+FedEx_Markup),2)</f>
        <v>432.12</v>
      </c>
      <c r="G143" s="218">
        <f>ROUND(IF(MinBase3Day&gt;ROUND(((1-(ThreeDayDiscount_21_Up+FedExExrpessEarnedDiscount))*'3Day Base'!G140),2),ROUND(MinBase3Day*(1+ExpressFuelSurcharge),2),ROUND(((1-(ThreeDayDiscount_21_Up+FedExExrpessEarnedDiscount))*'3Day Base'!G140)*(1+ExpressFuelSurcharge),2))*(1+FedEx_Markup),2)</f>
        <v>477.87</v>
      </c>
      <c r="H143" s="218">
        <f>ROUND(IF(MinBase3Day&gt;ROUND(((1-(ThreeDayDiscount_21_Up+FedExExrpessEarnedDiscount))*'3Day Base'!H140),2),ROUND(MinBase3Day*(1+ExpressFuelSurcharge),2),ROUND(((1-(ThreeDayDiscount_21_Up+FedExExrpessEarnedDiscount))*'3Day Base'!H140)*(1+ExpressFuelSurcharge),2))*(1+FedEx_Markup),2)</f>
        <v>546.87</v>
      </c>
    </row>
    <row r="144" spans="1:8" ht="12.75" customHeight="1">
      <c r="A144" s="217">
        <v>139</v>
      </c>
      <c r="B144" s="218">
        <f>ROUND(IF(MinBase3Day&gt;ROUND(((1-(ThreeDayDiscount_21_Up+FedExExrpessEarnedDiscount))*'3Day Base'!B141),2),ROUND(MinBase3Day*(1+ExpressFuelSurcharge),2),ROUND(((1-(ThreeDayDiscount_21_Up+FedExExrpessEarnedDiscount))*'3Day Base'!B141)*(1+ExpressFuelSurcharge),2))*(1+FedEx_Markup),2)</f>
        <v>135.33000000000001</v>
      </c>
      <c r="C144" s="218">
        <f>ROUND(IF(MinBase3Day&gt;ROUND(((1-(ThreeDayDiscount_21_Up+FedExExrpessEarnedDiscount))*'3Day Base'!C141),2),ROUND(MinBase3Day*(1+ExpressFuelSurcharge),2),ROUND(((1-(ThreeDayDiscount_21_Up+FedExExrpessEarnedDiscount))*'3Day Base'!C141)*(1+ExpressFuelSurcharge),2))*(1+FedEx_Markup),2)</f>
        <v>174.83</v>
      </c>
      <c r="D144" s="218">
        <f>ROUND(IF(MinBase3Day&gt;ROUND(((1-(ThreeDayDiscount_21_Up+FedExExrpessEarnedDiscount))*'3Day Base'!D141),2),ROUND(MinBase3Day*(1+ExpressFuelSurcharge),2),ROUND(((1-(ThreeDayDiscount_21_Up+FedExExrpessEarnedDiscount))*'3Day Base'!D141)*(1+ExpressFuelSurcharge),2))*(1+FedEx_Markup),2)</f>
        <v>223.85</v>
      </c>
      <c r="E144" s="218">
        <f>ROUND(IF(MinBase3Day&gt;ROUND(((1-(ThreeDayDiscount_21_Up+FedExExrpessEarnedDiscount))*'3Day Base'!E141),2),ROUND(MinBase3Day*(1+ExpressFuelSurcharge),2),ROUND(((1-(ThreeDayDiscount_21_Up+FedExExrpessEarnedDiscount))*'3Day Base'!E141)*(1+ExpressFuelSurcharge),2))*(1+FedEx_Markup),2)</f>
        <v>309.43</v>
      </c>
      <c r="F144" s="218">
        <f>ROUND(IF(MinBase3Day&gt;ROUND(((1-(ThreeDayDiscount_21_Up+FedExExrpessEarnedDiscount))*'3Day Base'!F141),2),ROUND(MinBase3Day*(1+ExpressFuelSurcharge),2),ROUND(((1-(ThreeDayDiscount_21_Up+FedExExrpessEarnedDiscount))*'3Day Base'!F141)*(1+ExpressFuelSurcharge),2))*(1+FedEx_Markup),2)</f>
        <v>435.25</v>
      </c>
      <c r="G144" s="218">
        <f>ROUND(IF(MinBase3Day&gt;ROUND(((1-(ThreeDayDiscount_21_Up+FedExExrpessEarnedDiscount))*'3Day Base'!G141),2),ROUND(MinBase3Day*(1+ExpressFuelSurcharge),2),ROUND(((1-(ThreeDayDiscount_21_Up+FedExExrpessEarnedDiscount))*'3Day Base'!G141)*(1+ExpressFuelSurcharge),2))*(1+FedEx_Markup),2)</f>
        <v>481.33</v>
      </c>
      <c r="H144" s="218">
        <f>ROUND(IF(MinBase3Day&gt;ROUND(((1-(ThreeDayDiscount_21_Up+FedExExrpessEarnedDiscount))*'3Day Base'!H141),2),ROUND(MinBase3Day*(1+ExpressFuelSurcharge),2),ROUND(((1-(ThreeDayDiscount_21_Up+FedExExrpessEarnedDiscount))*'3Day Base'!H141)*(1+ExpressFuelSurcharge),2))*(1+FedEx_Markup),2)</f>
        <v>550.83000000000004</v>
      </c>
    </row>
    <row r="145" spans="1:8" ht="12.75" customHeight="1">
      <c r="A145" s="217">
        <v>140</v>
      </c>
      <c r="B145" s="218">
        <f>ROUND(IF(MinBase3Day&gt;ROUND(((1-(ThreeDayDiscount_21_Up+FedExExrpessEarnedDiscount))*'3Day Base'!B142),2),ROUND(MinBase3Day*(1+ExpressFuelSurcharge),2),ROUND(((1-(ThreeDayDiscount_21_Up+FedExExrpessEarnedDiscount))*'3Day Base'!B142)*(1+ExpressFuelSurcharge),2))*(1+FedEx_Markup),2)</f>
        <v>136.30000000000001</v>
      </c>
      <c r="C145" s="218">
        <f>ROUND(IF(MinBase3Day&gt;ROUND(((1-(ThreeDayDiscount_21_Up+FedExExrpessEarnedDiscount))*'3Day Base'!C142),2),ROUND(MinBase3Day*(1+ExpressFuelSurcharge),2),ROUND(((1-(ThreeDayDiscount_21_Up+FedExExrpessEarnedDiscount))*'3Day Base'!C142)*(1+ExpressFuelSurcharge),2))*(1+FedEx_Markup),2)</f>
        <v>176.09</v>
      </c>
      <c r="D145" s="218">
        <f>ROUND(IF(MinBase3Day&gt;ROUND(((1-(ThreeDayDiscount_21_Up+FedExExrpessEarnedDiscount))*'3Day Base'!D142),2),ROUND(MinBase3Day*(1+ExpressFuelSurcharge),2),ROUND(((1-(ThreeDayDiscount_21_Up+FedExExrpessEarnedDiscount))*'3Day Base'!D142)*(1+ExpressFuelSurcharge),2))*(1+FedEx_Markup),2)</f>
        <v>225.46</v>
      </c>
      <c r="E145" s="218">
        <f>ROUND(IF(MinBase3Day&gt;ROUND(((1-(ThreeDayDiscount_21_Up+FedExExrpessEarnedDiscount))*'3Day Base'!E142),2),ROUND(MinBase3Day*(1+ExpressFuelSurcharge),2),ROUND(((1-(ThreeDayDiscount_21_Up+FedExExrpessEarnedDiscount))*'3Day Base'!E142)*(1+ExpressFuelSurcharge),2))*(1+FedEx_Markup),2)</f>
        <v>311.66000000000003</v>
      </c>
      <c r="F145" s="218">
        <f>ROUND(IF(MinBase3Day&gt;ROUND(((1-(ThreeDayDiscount_21_Up+FedExExrpessEarnedDiscount))*'3Day Base'!F142),2),ROUND(MinBase3Day*(1+ExpressFuelSurcharge),2),ROUND(((1-(ThreeDayDiscount_21_Up+FedExExrpessEarnedDiscount))*'3Day Base'!F142)*(1+ExpressFuelSurcharge),2))*(1+FedEx_Markup),2)</f>
        <v>438.38</v>
      </c>
      <c r="G145" s="218">
        <f>ROUND(IF(MinBase3Day&gt;ROUND(((1-(ThreeDayDiscount_21_Up+FedExExrpessEarnedDiscount))*'3Day Base'!G142),2),ROUND(MinBase3Day*(1+ExpressFuelSurcharge),2),ROUND(((1-(ThreeDayDiscount_21_Up+FedExExrpessEarnedDiscount))*'3Day Base'!G142)*(1+ExpressFuelSurcharge),2))*(1+FedEx_Markup),2)</f>
        <v>484.79</v>
      </c>
      <c r="H145" s="218">
        <f>ROUND(IF(MinBase3Day&gt;ROUND(((1-(ThreeDayDiscount_21_Up+FedExExrpessEarnedDiscount))*'3Day Base'!H142),2),ROUND(MinBase3Day*(1+ExpressFuelSurcharge),2),ROUND(((1-(ThreeDayDiscount_21_Up+FedExExrpessEarnedDiscount))*'3Day Base'!H142)*(1+ExpressFuelSurcharge),2))*(1+FedEx_Markup),2)</f>
        <v>554.79</v>
      </c>
    </row>
    <row r="146" spans="1:8" ht="12.75" customHeight="1">
      <c r="A146" s="217">
        <v>141</v>
      </c>
      <c r="B146" s="218">
        <f>ROUND(IF(MinBase3Day&gt;ROUND(((1-(ThreeDayDiscount_21_Up+FedExExrpessEarnedDiscount))*'3Day Base'!B143),2),ROUND(MinBase3Day*(1+ExpressFuelSurcharge),2),ROUND(((1-(ThreeDayDiscount_21_Up+FedExExrpessEarnedDiscount))*'3Day Base'!B143)*(1+ExpressFuelSurcharge),2))*(1+FedEx_Markup),2)</f>
        <v>137.28</v>
      </c>
      <c r="C146" s="218">
        <f>ROUND(IF(MinBase3Day&gt;ROUND(((1-(ThreeDayDiscount_21_Up+FedExExrpessEarnedDiscount))*'3Day Base'!C143),2),ROUND(MinBase3Day*(1+ExpressFuelSurcharge),2),ROUND(((1-(ThreeDayDiscount_21_Up+FedExExrpessEarnedDiscount))*'3Day Base'!C143)*(1+ExpressFuelSurcharge),2))*(1+FedEx_Markup),2)</f>
        <v>177.35</v>
      </c>
      <c r="D146" s="218">
        <f>ROUND(IF(MinBase3Day&gt;ROUND(((1-(ThreeDayDiscount_21_Up+FedExExrpessEarnedDiscount))*'3Day Base'!D143),2),ROUND(MinBase3Day*(1+ExpressFuelSurcharge),2),ROUND(((1-(ThreeDayDiscount_21_Up+FedExExrpessEarnedDiscount))*'3Day Base'!D143)*(1+ExpressFuelSurcharge),2))*(1+FedEx_Markup),2)</f>
        <v>227.07</v>
      </c>
      <c r="E146" s="218">
        <f>ROUND(IF(MinBase3Day&gt;ROUND(((1-(ThreeDayDiscount_21_Up+FedExExrpessEarnedDiscount))*'3Day Base'!E143),2),ROUND(MinBase3Day*(1+ExpressFuelSurcharge),2),ROUND(((1-(ThreeDayDiscount_21_Up+FedExExrpessEarnedDiscount))*'3Day Base'!E143)*(1+ExpressFuelSurcharge),2))*(1+FedEx_Markup),2)</f>
        <v>313.88</v>
      </c>
      <c r="F146" s="218">
        <f>ROUND(IF(MinBase3Day&gt;ROUND(((1-(ThreeDayDiscount_21_Up+FedExExrpessEarnedDiscount))*'3Day Base'!F143),2),ROUND(MinBase3Day*(1+ExpressFuelSurcharge),2),ROUND(((1-(ThreeDayDiscount_21_Up+FedExExrpessEarnedDiscount))*'3Day Base'!F143)*(1+ExpressFuelSurcharge),2))*(1+FedEx_Markup),2)</f>
        <v>441.51</v>
      </c>
      <c r="G146" s="218">
        <f>ROUND(IF(MinBase3Day&gt;ROUND(((1-(ThreeDayDiscount_21_Up+FedExExrpessEarnedDiscount))*'3Day Base'!G143),2),ROUND(MinBase3Day*(1+ExpressFuelSurcharge),2),ROUND(((1-(ThreeDayDiscount_21_Up+FedExExrpessEarnedDiscount))*'3Day Base'!G143)*(1+ExpressFuelSurcharge),2))*(1+FedEx_Markup),2)</f>
        <v>488.27</v>
      </c>
      <c r="H146" s="218">
        <f>ROUND(IF(MinBase3Day&gt;ROUND(((1-(ThreeDayDiscount_21_Up+FedExExrpessEarnedDiscount))*'3Day Base'!H143),2),ROUND(MinBase3Day*(1+ExpressFuelSurcharge),2),ROUND(((1-(ThreeDayDiscount_21_Up+FedExExrpessEarnedDiscount))*'3Day Base'!H143)*(1+ExpressFuelSurcharge),2))*(1+FedEx_Markup),2)</f>
        <v>558.75</v>
      </c>
    </row>
    <row r="147" spans="1:8" ht="12.75" customHeight="1">
      <c r="A147" s="217">
        <v>142</v>
      </c>
      <c r="B147" s="218">
        <f>ROUND(IF(MinBase3Day&gt;ROUND(((1-(ThreeDayDiscount_21_Up+FedExExrpessEarnedDiscount))*'3Day Base'!B144),2),ROUND(MinBase3Day*(1+ExpressFuelSurcharge),2),ROUND(((1-(ThreeDayDiscount_21_Up+FedExExrpessEarnedDiscount))*'3Day Base'!B144)*(1+ExpressFuelSurcharge),2))*(1+FedEx_Markup),2)</f>
        <v>138.25</v>
      </c>
      <c r="C147" s="218">
        <f>ROUND(IF(MinBase3Day&gt;ROUND(((1-(ThreeDayDiscount_21_Up+FedExExrpessEarnedDiscount))*'3Day Base'!C144),2),ROUND(MinBase3Day*(1+ExpressFuelSurcharge),2),ROUND(((1-(ThreeDayDiscount_21_Up+FedExExrpessEarnedDiscount))*'3Day Base'!C144)*(1+ExpressFuelSurcharge),2))*(1+FedEx_Markup),2)</f>
        <v>178.61</v>
      </c>
      <c r="D147" s="218">
        <f>ROUND(IF(MinBase3Day&gt;ROUND(((1-(ThreeDayDiscount_21_Up+FedExExrpessEarnedDiscount))*'3Day Base'!D144),2),ROUND(MinBase3Day*(1+ExpressFuelSurcharge),2),ROUND(((1-(ThreeDayDiscount_21_Up+FedExExrpessEarnedDiscount))*'3Day Base'!D144)*(1+ExpressFuelSurcharge),2))*(1+FedEx_Markup),2)</f>
        <v>228.68</v>
      </c>
      <c r="E147" s="218">
        <f>ROUND(IF(MinBase3Day&gt;ROUND(((1-(ThreeDayDiscount_21_Up+FedExExrpessEarnedDiscount))*'3Day Base'!E144),2),ROUND(MinBase3Day*(1+ExpressFuelSurcharge),2),ROUND(((1-(ThreeDayDiscount_21_Up+FedExExrpessEarnedDiscount))*'3Day Base'!E144)*(1+ExpressFuelSurcharge),2))*(1+FedEx_Markup),2)</f>
        <v>316.11</v>
      </c>
      <c r="F147" s="218">
        <f>ROUND(IF(MinBase3Day&gt;ROUND(((1-(ThreeDayDiscount_21_Up+FedExExrpessEarnedDiscount))*'3Day Base'!F144),2),ROUND(MinBase3Day*(1+ExpressFuelSurcharge),2),ROUND(((1-(ThreeDayDiscount_21_Up+FedExExrpessEarnedDiscount))*'3Day Base'!F144)*(1+ExpressFuelSurcharge),2))*(1+FedEx_Markup),2)</f>
        <v>444.65</v>
      </c>
      <c r="G147" s="218">
        <f>ROUND(IF(MinBase3Day&gt;ROUND(((1-(ThreeDayDiscount_21_Up+FedExExrpessEarnedDiscount))*'3Day Base'!G144),2),ROUND(MinBase3Day*(1+ExpressFuelSurcharge),2),ROUND(((1-(ThreeDayDiscount_21_Up+FedExExrpessEarnedDiscount))*'3Day Base'!G144)*(1+ExpressFuelSurcharge),2))*(1+FedEx_Markup),2)</f>
        <v>491.73</v>
      </c>
      <c r="H147" s="218">
        <f>ROUND(IF(MinBase3Day&gt;ROUND(((1-(ThreeDayDiscount_21_Up+FedExExrpessEarnedDiscount))*'3Day Base'!H144),2),ROUND(MinBase3Day*(1+ExpressFuelSurcharge),2),ROUND(((1-(ThreeDayDiscount_21_Up+FedExExrpessEarnedDiscount))*'3Day Base'!H144)*(1+ExpressFuelSurcharge),2))*(1+FedEx_Markup),2)</f>
        <v>562.72</v>
      </c>
    </row>
    <row r="148" spans="1:8" ht="12.75" customHeight="1">
      <c r="A148" s="217">
        <v>143</v>
      </c>
      <c r="B148" s="218">
        <f>ROUND(IF(MinBase3Day&gt;ROUND(((1-(ThreeDayDiscount_21_Up+FedExExrpessEarnedDiscount))*'3Day Base'!B145),2),ROUND(MinBase3Day*(1+ExpressFuelSurcharge),2),ROUND(((1-(ThreeDayDiscount_21_Up+FedExExrpessEarnedDiscount))*'3Day Base'!B145)*(1+ExpressFuelSurcharge),2))*(1+FedEx_Markup),2)</f>
        <v>139.22</v>
      </c>
      <c r="C148" s="218">
        <f>ROUND(IF(MinBase3Day&gt;ROUND(((1-(ThreeDayDiscount_21_Up+FedExExrpessEarnedDiscount))*'3Day Base'!C145),2),ROUND(MinBase3Day*(1+ExpressFuelSurcharge),2),ROUND(((1-(ThreeDayDiscount_21_Up+FedExExrpessEarnedDiscount))*'3Day Base'!C145)*(1+ExpressFuelSurcharge),2))*(1+FedEx_Markup),2)</f>
        <v>179.86</v>
      </c>
      <c r="D148" s="218">
        <f>ROUND(IF(MinBase3Day&gt;ROUND(((1-(ThreeDayDiscount_21_Up+FedExExrpessEarnedDiscount))*'3Day Base'!D145),2),ROUND(MinBase3Day*(1+ExpressFuelSurcharge),2),ROUND(((1-(ThreeDayDiscount_21_Up+FedExExrpessEarnedDiscount))*'3Day Base'!D145)*(1+ExpressFuelSurcharge),2))*(1+FedEx_Markup),2)</f>
        <v>230.29</v>
      </c>
      <c r="E148" s="218">
        <f>ROUND(IF(MinBase3Day&gt;ROUND(((1-(ThreeDayDiscount_21_Up+FedExExrpessEarnedDiscount))*'3Day Base'!E145),2),ROUND(MinBase3Day*(1+ExpressFuelSurcharge),2),ROUND(((1-(ThreeDayDiscount_21_Up+FedExExrpessEarnedDiscount))*'3Day Base'!E145)*(1+ExpressFuelSurcharge),2))*(1+FedEx_Markup),2)</f>
        <v>318.33</v>
      </c>
      <c r="F148" s="218">
        <f>ROUND(IF(MinBase3Day&gt;ROUND(((1-(ThreeDayDiscount_21_Up+FedExExrpessEarnedDiscount))*'3Day Base'!F145),2),ROUND(MinBase3Day*(1+ExpressFuelSurcharge),2),ROUND(((1-(ThreeDayDiscount_21_Up+FedExExrpessEarnedDiscount))*'3Day Base'!F145)*(1+ExpressFuelSurcharge),2))*(1+FedEx_Markup),2)</f>
        <v>447.78</v>
      </c>
      <c r="G148" s="218">
        <f>ROUND(IF(MinBase3Day&gt;ROUND(((1-(ThreeDayDiscount_21_Up+FedExExrpessEarnedDiscount))*'3Day Base'!G145),2),ROUND(MinBase3Day*(1+ExpressFuelSurcharge),2),ROUND(((1-(ThreeDayDiscount_21_Up+FedExExrpessEarnedDiscount))*'3Day Base'!G145)*(1+ExpressFuelSurcharge),2))*(1+FedEx_Markup),2)</f>
        <v>495.19</v>
      </c>
      <c r="H148" s="218">
        <f>ROUND(IF(MinBase3Day&gt;ROUND(((1-(ThreeDayDiscount_21_Up+FedExExrpessEarnedDiscount))*'3Day Base'!H145),2),ROUND(MinBase3Day*(1+ExpressFuelSurcharge),2),ROUND(((1-(ThreeDayDiscount_21_Up+FedExExrpessEarnedDiscount))*'3Day Base'!H145)*(1+ExpressFuelSurcharge),2))*(1+FedEx_Markup),2)</f>
        <v>566.69000000000005</v>
      </c>
    </row>
    <row r="149" spans="1:8" ht="12.75" customHeight="1">
      <c r="A149" s="217">
        <v>144</v>
      </c>
      <c r="B149" s="218">
        <f>ROUND(IF(MinBase3Day&gt;ROUND(((1-(ThreeDayDiscount_21_Up+FedExExrpessEarnedDiscount))*'3Day Base'!B146),2),ROUND(MinBase3Day*(1+ExpressFuelSurcharge),2),ROUND(((1-(ThreeDayDiscount_21_Up+FedExExrpessEarnedDiscount))*'3Day Base'!B146)*(1+ExpressFuelSurcharge),2))*(1+FedEx_Markup),2)</f>
        <v>140.19999999999999</v>
      </c>
      <c r="C149" s="218">
        <f>ROUND(IF(MinBase3Day&gt;ROUND(((1-(ThreeDayDiscount_21_Up+FedExExrpessEarnedDiscount))*'3Day Base'!C146),2),ROUND(MinBase3Day*(1+ExpressFuelSurcharge),2),ROUND(((1-(ThreeDayDiscount_21_Up+FedExExrpessEarnedDiscount))*'3Day Base'!C146)*(1+ExpressFuelSurcharge),2))*(1+FedEx_Markup),2)</f>
        <v>181.13</v>
      </c>
      <c r="D149" s="218">
        <f>ROUND(IF(MinBase3Day&gt;ROUND(((1-(ThreeDayDiscount_21_Up+FedExExrpessEarnedDiscount))*'3Day Base'!D146),2),ROUND(MinBase3Day*(1+ExpressFuelSurcharge),2),ROUND(((1-(ThreeDayDiscount_21_Up+FedExExrpessEarnedDiscount))*'3Day Base'!D146)*(1+ExpressFuelSurcharge),2))*(1+FedEx_Markup),2)</f>
        <v>231.9</v>
      </c>
      <c r="E149" s="218">
        <f>ROUND(IF(MinBase3Day&gt;ROUND(((1-(ThreeDayDiscount_21_Up+FedExExrpessEarnedDiscount))*'3Day Base'!E146),2),ROUND(MinBase3Day*(1+ExpressFuelSurcharge),2),ROUND(((1-(ThreeDayDiscount_21_Up+FedExExrpessEarnedDiscount))*'3Day Base'!E146)*(1+ExpressFuelSurcharge),2))*(1+FedEx_Markup),2)</f>
        <v>320.56</v>
      </c>
      <c r="F149" s="218">
        <f>ROUND(IF(MinBase3Day&gt;ROUND(((1-(ThreeDayDiscount_21_Up+FedExExrpessEarnedDiscount))*'3Day Base'!F146),2),ROUND(MinBase3Day*(1+ExpressFuelSurcharge),2),ROUND(((1-(ThreeDayDiscount_21_Up+FedExExrpessEarnedDiscount))*'3Day Base'!F146)*(1+ExpressFuelSurcharge),2))*(1+FedEx_Markup),2)</f>
        <v>450.9</v>
      </c>
      <c r="G149" s="218">
        <f>ROUND(IF(MinBase3Day&gt;ROUND(((1-(ThreeDayDiscount_21_Up+FedExExrpessEarnedDiscount))*'3Day Base'!G146),2),ROUND(MinBase3Day*(1+ExpressFuelSurcharge),2),ROUND(((1-(ThreeDayDiscount_21_Up+FedExExrpessEarnedDiscount))*'3Day Base'!G146)*(1+ExpressFuelSurcharge),2))*(1+FedEx_Markup),2)</f>
        <v>498.65</v>
      </c>
      <c r="H149" s="218">
        <f>ROUND(IF(MinBase3Day&gt;ROUND(((1-(ThreeDayDiscount_21_Up+FedExExrpessEarnedDiscount))*'3Day Base'!H146),2),ROUND(MinBase3Day*(1+ExpressFuelSurcharge),2),ROUND(((1-(ThreeDayDiscount_21_Up+FedExExrpessEarnedDiscount))*'3Day Base'!H146)*(1+ExpressFuelSurcharge),2))*(1+FedEx_Markup),2)</f>
        <v>570.64</v>
      </c>
    </row>
    <row r="150" spans="1:8" ht="12.75" customHeight="1">
      <c r="A150" s="217">
        <v>145</v>
      </c>
      <c r="B150" s="218">
        <f>ROUND(IF(MinBase3Day&gt;ROUND(((1-(ThreeDayDiscount_21_Up+FedExExrpessEarnedDiscount))*'3Day Base'!B147),2),ROUND(MinBase3Day*(1+ExpressFuelSurcharge),2),ROUND(((1-(ThreeDayDiscount_21_Up+FedExExrpessEarnedDiscount))*'3Day Base'!B147)*(1+ExpressFuelSurcharge),2))*(1+FedEx_Markup),2)</f>
        <v>141.16999999999999</v>
      </c>
      <c r="C150" s="218">
        <f>ROUND(IF(MinBase3Day&gt;ROUND(((1-(ThreeDayDiscount_21_Up+FedExExrpessEarnedDiscount))*'3Day Base'!C147),2),ROUND(MinBase3Day*(1+ExpressFuelSurcharge),2),ROUND(((1-(ThreeDayDiscount_21_Up+FedExExrpessEarnedDiscount))*'3Day Base'!C147)*(1+ExpressFuelSurcharge),2))*(1+FedEx_Markup),2)</f>
        <v>182.38</v>
      </c>
      <c r="D150" s="218">
        <f>ROUND(IF(MinBase3Day&gt;ROUND(((1-(ThreeDayDiscount_21_Up+FedExExrpessEarnedDiscount))*'3Day Base'!D147),2),ROUND(MinBase3Day*(1+ExpressFuelSurcharge),2),ROUND(((1-(ThreeDayDiscount_21_Up+FedExExrpessEarnedDiscount))*'3Day Base'!D147)*(1+ExpressFuelSurcharge),2))*(1+FedEx_Markup),2)</f>
        <v>233.51</v>
      </c>
      <c r="E150" s="218">
        <f>ROUND(IF(MinBase3Day&gt;ROUND(((1-(ThreeDayDiscount_21_Up+FedExExrpessEarnedDiscount))*'3Day Base'!E147),2),ROUND(MinBase3Day*(1+ExpressFuelSurcharge),2),ROUND(((1-(ThreeDayDiscount_21_Up+FedExExrpessEarnedDiscount))*'3Day Base'!E147)*(1+ExpressFuelSurcharge),2))*(1+FedEx_Markup),2)</f>
        <v>322.77999999999997</v>
      </c>
      <c r="F150" s="218">
        <f>ROUND(IF(MinBase3Day&gt;ROUND(((1-(ThreeDayDiscount_21_Up+FedExExrpessEarnedDiscount))*'3Day Base'!F147),2),ROUND(MinBase3Day*(1+ExpressFuelSurcharge),2),ROUND(((1-(ThreeDayDiscount_21_Up+FedExExrpessEarnedDiscount))*'3Day Base'!F147)*(1+ExpressFuelSurcharge),2))*(1+FedEx_Markup),2)</f>
        <v>454.04</v>
      </c>
      <c r="G150" s="218">
        <f>ROUND(IF(MinBase3Day&gt;ROUND(((1-(ThreeDayDiscount_21_Up+FedExExrpessEarnedDiscount))*'3Day Base'!G147),2),ROUND(MinBase3Day*(1+ExpressFuelSurcharge),2),ROUND(((1-(ThreeDayDiscount_21_Up+FedExExrpessEarnedDiscount))*'3Day Base'!G147)*(1+ExpressFuelSurcharge),2))*(1+FedEx_Markup),2)</f>
        <v>502.11</v>
      </c>
      <c r="H150" s="218">
        <f>ROUND(IF(MinBase3Day&gt;ROUND(((1-(ThreeDayDiscount_21_Up+FedExExrpessEarnedDiscount))*'3Day Base'!H147),2),ROUND(MinBase3Day*(1+ExpressFuelSurcharge),2),ROUND(((1-(ThreeDayDiscount_21_Up+FedExExrpessEarnedDiscount))*'3Day Base'!H147)*(1+ExpressFuelSurcharge),2))*(1+FedEx_Markup),2)</f>
        <v>574.61</v>
      </c>
    </row>
    <row r="151" spans="1:8" ht="12.75" customHeight="1">
      <c r="A151" s="217">
        <v>146</v>
      </c>
      <c r="B151" s="218">
        <f>ROUND(IF(MinBase3Day&gt;ROUND(((1-(ThreeDayDiscount_21_Up+FedExExrpessEarnedDiscount))*'3Day Base'!B148),2),ROUND(MinBase3Day*(1+ExpressFuelSurcharge),2),ROUND(((1-(ThreeDayDiscount_21_Up+FedExExrpessEarnedDiscount))*'3Day Base'!B148)*(1+ExpressFuelSurcharge),2))*(1+FedEx_Markup),2)</f>
        <v>142.13999999999999</v>
      </c>
      <c r="C151" s="218">
        <f>ROUND(IF(MinBase3Day&gt;ROUND(((1-(ThreeDayDiscount_21_Up+FedExExrpessEarnedDiscount))*'3Day Base'!C148),2),ROUND(MinBase3Day*(1+ExpressFuelSurcharge),2),ROUND(((1-(ThreeDayDiscount_21_Up+FedExExrpessEarnedDiscount))*'3Day Base'!C148)*(1+ExpressFuelSurcharge),2))*(1+FedEx_Markup),2)</f>
        <v>183.63</v>
      </c>
      <c r="D151" s="218">
        <f>ROUND(IF(MinBase3Day&gt;ROUND(((1-(ThreeDayDiscount_21_Up+FedExExrpessEarnedDiscount))*'3Day Base'!D148),2),ROUND(MinBase3Day*(1+ExpressFuelSurcharge),2),ROUND(((1-(ThreeDayDiscount_21_Up+FedExExrpessEarnedDiscount))*'3Day Base'!D148)*(1+ExpressFuelSurcharge),2))*(1+FedEx_Markup),2)</f>
        <v>235.12</v>
      </c>
      <c r="E151" s="218">
        <f>ROUND(IF(MinBase3Day&gt;ROUND(((1-(ThreeDayDiscount_21_Up+FedExExrpessEarnedDiscount))*'3Day Base'!E148),2),ROUND(MinBase3Day*(1+ExpressFuelSurcharge),2),ROUND(((1-(ThreeDayDiscount_21_Up+FedExExrpessEarnedDiscount))*'3Day Base'!E148)*(1+ExpressFuelSurcharge),2))*(1+FedEx_Markup),2)</f>
        <v>325.01</v>
      </c>
      <c r="F151" s="218">
        <f>ROUND(IF(MinBase3Day&gt;ROUND(((1-(ThreeDayDiscount_21_Up+FedExExrpessEarnedDiscount))*'3Day Base'!F148),2),ROUND(MinBase3Day*(1+ExpressFuelSurcharge),2),ROUND(((1-(ThreeDayDiscount_21_Up+FedExExrpessEarnedDiscount))*'3Day Base'!F148)*(1+ExpressFuelSurcharge),2))*(1+FedEx_Markup),2)</f>
        <v>457.17</v>
      </c>
      <c r="G151" s="218">
        <f>ROUND(IF(MinBase3Day&gt;ROUND(((1-(ThreeDayDiscount_21_Up+FedExExrpessEarnedDiscount))*'3Day Base'!G148),2),ROUND(MinBase3Day*(1+ExpressFuelSurcharge),2),ROUND(((1-(ThreeDayDiscount_21_Up+FedExExrpessEarnedDiscount))*'3Day Base'!G148)*(1+ExpressFuelSurcharge),2))*(1+FedEx_Markup),2)</f>
        <v>505.57</v>
      </c>
      <c r="H151" s="218">
        <f>ROUND(IF(MinBase3Day&gt;ROUND(((1-(ThreeDayDiscount_21_Up+FedExExrpessEarnedDiscount))*'3Day Base'!H148),2),ROUND(MinBase3Day*(1+ExpressFuelSurcharge),2),ROUND(((1-(ThreeDayDiscount_21_Up+FedExExrpessEarnedDiscount))*'3Day Base'!H148)*(1+ExpressFuelSurcharge),2))*(1+FedEx_Markup),2)</f>
        <v>578.57000000000005</v>
      </c>
    </row>
    <row r="152" spans="1:8" ht="12.75" customHeight="1">
      <c r="A152" s="217">
        <v>147</v>
      </c>
      <c r="B152" s="218">
        <f>ROUND(IF(MinBase3Day&gt;ROUND(((1-(ThreeDayDiscount_21_Up+FedExExrpessEarnedDiscount))*'3Day Base'!B149),2),ROUND(MinBase3Day*(1+ExpressFuelSurcharge),2),ROUND(((1-(ThreeDayDiscount_21_Up+FedExExrpessEarnedDiscount))*'3Day Base'!B149)*(1+ExpressFuelSurcharge),2))*(1+FedEx_Markup),2)</f>
        <v>143.12</v>
      </c>
      <c r="C152" s="218">
        <f>ROUND(IF(MinBase3Day&gt;ROUND(((1-(ThreeDayDiscount_21_Up+FedExExrpessEarnedDiscount))*'3Day Base'!C149),2),ROUND(MinBase3Day*(1+ExpressFuelSurcharge),2),ROUND(((1-(ThreeDayDiscount_21_Up+FedExExrpessEarnedDiscount))*'3Day Base'!C149)*(1+ExpressFuelSurcharge),2))*(1+FedEx_Markup),2)</f>
        <v>184.9</v>
      </c>
      <c r="D152" s="218">
        <f>ROUND(IF(MinBase3Day&gt;ROUND(((1-(ThreeDayDiscount_21_Up+FedExExrpessEarnedDiscount))*'3Day Base'!D149),2),ROUND(MinBase3Day*(1+ExpressFuelSurcharge),2),ROUND(((1-(ThreeDayDiscount_21_Up+FedExExrpessEarnedDiscount))*'3Day Base'!D149)*(1+ExpressFuelSurcharge),2))*(1+FedEx_Markup),2)</f>
        <v>236.73</v>
      </c>
      <c r="E152" s="218">
        <f>ROUND(IF(MinBase3Day&gt;ROUND(((1-(ThreeDayDiscount_21_Up+FedExExrpessEarnedDiscount))*'3Day Base'!E149),2),ROUND(MinBase3Day*(1+ExpressFuelSurcharge),2),ROUND(((1-(ThreeDayDiscount_21_Up+FedExExrpessEarnedDiscount))*'3Day Base'!E149)*(1+ExpressFuelSurcharge),2))*(1+FedEx_Markup),2)</f>
        <v>327.24</v>
      </c>
      <c r="F152" s="218">
        <f>ROUND(IF(MinBase3Day&gt;ROUND(((1-(ThreeDayDiscount_21_Up+FedExExrpessEarnedDiscount))*'3Day Base'!F149),2),ROUND(MinBase3Day*(1+ExpressFuelSurcharge),2),ROUND(((1-(ThreeDayDiscount_21_Up+FedExExrpessEarnedDiscount))*'3Day Base'!F149)*(1+ExpressFuelSurcharge),2))*(1+FedEx_Markup),2)</f>
        <v>460.3</v>
      </c>
      <c r="G152" s="218">
        <f>ROUND(IF(MinBase3Day&gt;ROUND(((1-(ThreeDayDiscount_21_Up+FedExExrpessEarnedDiscount))*'3Day Base'!G149),2),ROUND(MinBase3Day*(1+ExpressFuelSurcharge),2),ROUND(((1-(ThreeDayDiscount_21_Up+FedExExrpessEarnedDiscount))*'3Day Base'!G149)*(1+ExpressFuelSurcharge),2))*(1+FedEx_Markup),2)</f>
        <v>509.04</v>
      </c>
      <c r="H152" s="218">
        <f>ROUND(IF(MinBase3Day&gt;ROUND(((1-(ThreeDayDiscount_21_Up+FedExExrpessEarnedDiscount))*'3Day Base'!H149),2),ROUND(MinBase3Day*(1+ExpressFuelSurcharge),2),ROUND(((1-(ThreeDayDiscount_21_Up+FedExExrpessEarnedDiscount))*'3Day Base'!H149)*(1+ExpressFuelSurcharge),2))*(1+FedEx_Markup),2)</f>
        <v>582.53</v>
      </c>
    </row>
    <row r="153" spans="1:8" ht="12.75" customHeight="1">
      <c r="A153" s="217">
        <v>148</v>
      </c>
      <c r="B153" s="218">
        <f>ROUND(IF(MinBase3Day&gt;ROUND(((1-(ThreeDayDiscount_21_Up+FedExExrpessEarnedDiscount))*'3Day Base'!B150),2),ROUND(MinBase3Day*(1+ExpressFuelSurcharge),2),ROUND(((1-(ThreeDayDiscount_21_Up+FedExExrpessEarnedDiscount))*'3Day Base'!B150)*(1+ExpressFuelSurcharge),2))*(1+FedEx_Markup),2)</f>
        <v>144.1</v>
      </c>
      <c r="C153" s="218">
        <f>ROUND(IF(MinBase3Day&gt;ROUND(((1-(ThreeDayDiscount_21_Up+FedExExrpessEarnedDiscount))*'3Day Base'!C150),2),ROUND(MinBase3Day*(1+ExpressFuelSurcharge),2),ROUND(((1-(ThreeDayDiscount_21_Up+FedExExrpessEarnedDiscount))*'3Day Base'!C150)*(1+ExpressFuelSurcharge),2))*(1+FedEx_Markup),2)</f>
        <v>186.15</v>
      </c>
      <c r="D153" s="218">
        <f>ROUND(IF(MinBase3Day&gt;ROUND(((1-(ThreeDayDiscount_21_Up+FedExExrpessEarnedDiscount))*'3Day Base'!D150),2),ROUND(MinBase3Day*(1+ExpressFuelSurcharge),2),ROUND(((1-(ThreeDayDiscount_21_Up+FedExExrpessEarnedDiscount))*'3Day Base'!D150)*(1+ExpressFuelSurcharge),2))*(1+FedEx_Markup),2)</f>
        <v>238.34</v>
      </c>
      <c r="E153" s="218">
        <f>ROUND(IF(MinBase3Day&gt;ROUND(((1-(ThreeDayDiscount_21_Up+FedExExrpessEarnedDiscount))*'3Day Base'!E150),2),ROUND(MinBase3Day*(1+ExpressFuelSurcharge),2),ROUND(((1-(ThreeDayDiscount_21_Up+FedExExrpessEarnedDiscount))*'3Day Base'!E150)*(1+ExpressFuelSurcharge),2))*(1+FedEx_Markup),2)</f>
        <v>329.46</v>
      </c>
      <c r="F153" s="218">
        <f>ROUND(IF(MinBase3Day&gt;ROUND(((1-(ThreeDayDiscount_21_Up+FedExExrpessEarnedDiscount))*'3Day Base'!F150),2),ROUND(MinBase3Day*(1+ExpressFuelSurcharge),2),ROUND(((1-(ThreeDayDiscount_21_Up+FedExExrpessEarnedDiscount))*'3Day Base'!F150)*(1+ExpressFuelSurcharge),2))*(1+FedEx_Markup),2)</f>
        <v>463.43</v>
      </c>
      <c r="G153" s="218">
        <f>ROUND(IF(MinBase3Day&gt;ROUND(((1-(ThreeDayDiscount_21_Up+FedExExrpessEarnedDiscount))*'3Day Base'!G150),2),ROUND(MinBase3Day*(1+ExpressFuelSurcharge),2),ROUND(((1-(ThreeDayDiscount_21_Up+FedExExrpessEarnedDiscount))*'3Day Base'!G150)*(1+ExpressFuelSurcharge),2))*(1+FedEx_Markup),2)</f>
        <v>512.5</v>
      </c>
      <c r="H153" s="218">
        <f>ROUND(IF(MinBase3Day&gt;ROUND(((1-(ThreeDayDiscount_21_Up+FedExExrpessEarnedDiscount))*'3Day Base'!H150),2),ROUND(MinBase3Day*(1+ExpressFuelSurcharge),2),ROUND(((1-(ThreeDayDiscount_21_Up+FedExExrpessEarnedDiscount))*'3Day Base'!H150)*(1+ExpressFuelSurcharge),2))*(1+FedEx_Markup),2)</f>
        <v>586.5</v>
      </c>
    </row>
    <row r="154" spans="1:8" ht="12.75" customHeight="1">
      <c r="A154" s="217">
        <v>149</v>
      </c>
      <c r="B154" s="218">
        <f>ROUND(IF(MinBase3Day&gt;ROUND(((1-(ThreeDayDiscount_21_Up+FedExExrpessEarnedDiscount))*'3Day Base'!B151),2),ROUND(MinBase3Day*(1+ExpressFuelSurcharge),2),ROUND(((1-(ThreeDayDiscount_21_Up+FedExExrpessEarnedDiscount))*'3Day Base'!B151)*(1+ExpressFuelSurcharge),2))*(1+FedEx_Markup),2)</f>
        <v>145.06</v>
      </c>
      <c r="C154" s="218">
        <f>ROUND(IF(MinBase3Day&gt;ROUND(((1-(ThreeDayDiscount_21_Up+FedExExrpessEarnedDiscount))*'3Day Base'!C151),2),ROUND(MinBase3Day*(1+ExpressFuelSurcharge),2),ROUND(((1-(ThreeDayDiscount_21_Up+FedExExrpessEarnedDiscount))*'3Day Base'!C151)*(1+ExpressFuelSurcharge),2))*(1+FedEx_Markup),2)</f>
        <v>187.4</v>
      </c>
      <c r="D154" s="218">
        <f>ROUND(IF(MinBase3Day&gt;ROUND(((1-(ThreeDayDiscount_21_Up+FedExExrpessEarnedDiscount))*'3Day Base'!D151),2),ROUND(MinBase3Day*(1+ExpressFuelSurcharge),2),ROUND(((1-(ThreeDayDiscount_21_Up+FedExExrpessEarnedDiscount))*'3Day Base'!D151)*(1+ExpressFuelSurcharge),2))*(1+FedEx_Markup),2)</f>
        <v>239.95</v>
      </c>
      <c r="E154" s="218">
        <f>ROUND(IF(MinBase3Day&gt;ROUND(((1-(ThreeDayDiscount_21_Up+FedExExrpessEarnedDiscount))*'3Day Base'!E151),2),ROUND(MinBase3Day*(1+ExpressFuelSurcharge),2),ROUND(((1-(ThreeDayDiscount_21_Up+FedExExrpessEarnedDiscount))*'3Day Base'!E151)*(1+ExpressFuelSurcharge),2))*(1+FedEx_Markup),2)</f>
        <v>331.69</v>
      </c>
      <c r="F154" s="218">
        <f>ROUND(IF(MinBase3Day&gt;ROUND(((1-(ThreeDayDiscount_21_Up+FedExExrpessEarnedDiscount))*'3Day Base'!F151),2),ROUND(MinBase3Day*(1+ExpressFuelSurcharge),2),ROUND(((1-(ThreeDayDiscount_21_Up+FedExExrpessEarnedDiscount))*'3Day Base'!F151)*(1+ExpressFuelSurcharge),2))*(1+FedEx_Markup),2)</f>
        <v>466.57</v>
      </c>
      <c r="G154" s="218">
        <f>ROUND(IF(MinBase3Day&gt;ROUND(((1-(ThreeDayDiscount_21_Up+FedExExrpessEarnedDiscount))*'3Day Base'!G151),2),ROUND(MinBase3Day*(1+ExpressFuelSurcharge),2),ROUND(((1-(ThreeDayDiscount_21_Up+FedExExrpessEarnedDiscount))*'3Day Base'!G151)*(1+ExpressFuelSurcharge),2))*(1+FedEx_Markup),2)</f>
        <v>515.96</v>
      </c>
      <c r="H154" s="218">
        <f>ROUND(IF(MinBase3Day&gt;ROUND(((1-(ThreeDayDiscount_21_Up+FedExExrpessEarnedDiscount))*'3Day Base'!H151),2),ROUND(MinBase3Day*(1+ExpressFuelSurcharge),2),ROUND(((1-(ThreeDayDiscount_21_Up+FedExExrpessEarnedDiscount))*'3Day Base'!H151)*(1+ExpressFuelSurcharge),2))*(1+FedEx_Markup),2)</f>
        <v>590.46</v>
      </c>
    </row>
    <row r="155" spans="1:8" ht="12.75" customHeight="1">
      <c r="A155" s="217">
        <v>150</v>
      </c>
      <c r="B155" s="218">
        <f>ROUND(IF(MinBase3Day&gt;ROUND(((1-(ThreeDayDiscount_21_Up+FedExExrpessEarnedDiscount))*'3Day Base'!B152),2),ROUND(MinBase3Day*(1+ExpressFuelSurcharge),2),ROUND(((1-(ThreeDayDiscount_21_Up+FedExExrpessEarnedDiscount))*'3Day Base'!B152)*(1+ExpressFuelSurcharge),2))*(1+FedEx_Markup),2)</f>
        <v>146.04</v>
      </c>
      <c r="C155" s="218">
        <f>ROUND(IF(MinBase3Day&gt;ROUND(((1-(ThreeDayDiscount_21_Up+FedExExrpessEarnedDiscount))*'3Day Base'!C152),2),ROUND(MinBase3Day*(1+ExpressFuelSurcharge),2),ROUND(((1-(ThreeDayDiscount_21_Up+FedExExrpessEarnedDiscount))*'3Day Base'!C152)*(1+ExpressFuelSurcharge),2))*(1+FedEx_Markup),2)</f>
        <v>188.67</v>
      </c>
      <c r="D155" s="218">
        <f>ROUND(IF(MinBase3Day&gt;ROUND(((1-(ThreeDayDiscount_21_Up+FedExExrpessEarnedDiscount))*'3Day Base'!D152),2),ROUND(MinBase3Day*(1+ExpressFuelSurcharge),2),ROUND(((1-(ThreeDayDiscount_21_Up+FedExExrpessEarnedDiscount))*'3Day Base'!D152)*(1+ExpressFuelSurcharge),2))*(1+FedEx_Markup),2)</f>
        <v>241.56</v>
      </c>
      <c r="E155" s="218">
        <f>ROUND(IF(MinBase3Day&gt;ROUND(((1-(ThreeDayDiscount_21_Up+FedExExrpessEarnedDiscount))*'3Day Base'!E152),2),ROUND(MinBase3Day*(1+ExpressFuelSurcharge),2),ROUND(((1-(ThreeDayDiscount_21_Up+FedExExrpessEarnedDiscount))*'3Day Base'!E152)*(1+ExpressFuelSurcharge),2))*(1+FedEx_Markup),2)</f>
        <v>333.91</v>
      </c>
      <c r="F155" s="218">
        <f>ROUND(IF(MinBase3Day&gt;ROUND(((1-(ThreeDayDiscount_21_Up+FedExExrpessEarnedDiscount))*'3Day Base'!F152),2),ROUND(MinBase3Day*(1+ExpressFuelSurcharge),2),ROUND(((1-(ThreeDayDiscount_21_Up+FedExExrpessEarnedDiscount))*'3Day Base'!F152)*(1+ExpressFuelSurcharge),2))*(1+FedEx_Markup),2)</f>
        <v>469.69</v>
      </c>
      <c r="G155" s="218">
        <f>ROUND(IF(MinBase3Day&gt;ROUND(((1-(ThreeDayDiscount_21_Up+FedExExrpessEarnedDiscount))*'3Day Base'!G152),2),ROUND(MinBase3Day*(1+ExpressFuelSurcharge),2),ROUND(((1-(ThreeDayDiscount_21_Up+FedExExrpessEarnedDiscount))*'3Day Base'!G152)*(1+ExpressFuelSurcharge),2))*(1+FedEx_Markup),2)</f>
        <v>519.42999999999995</v>
      </c>
      <c r="H155" s="218">
        <f>ROUND(IF(MinBase3Day&gt;ROUND(((1-(ThreeDayDiscount_21_Up+FedExExrpessEarnedDiscount))*'3Day Base'!H152),2),ROUND(MinBase3Day*(1+ExpressFuelSurcharge),2),ROUND(((1-(ThreeDayDiscount_21_Up+FedExExrpessEarnedDiscount))*'3Day Base'!H152)*(1+ExpressFuelSurcharge),2))*(1+FedEx_Markup),2)</f>
        <v>594.41999999999996</v>
      </c>
    </row>
    <row r="156" spans="1:8" ht="12.75" customHeight="1">
      <c r="A156" s="225" t="s">
        <v>97</v>
      </c>
    </row>
    <row r="157" spans="1:8" ht="12.75" customHeight="1"/>
    <row r="158" spans="1:8" ht="12.75" customHeight="1"/>
    <row r="159" spans="1:8" ht="12.75" customHeight="1"/>
    <row r="160" spans="1:8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H155">
    <cfRule type="expression" dxfId="15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55A11"/>
  </sheetPr>
  <dimension ref="A1:M1000"/>
  <sheetViews>
    <sheetView workbookViewId="0"/>
  </sheetViews>
  <sheetFormatPr defaultColWidth="12.5703125" defaultRowHeight="15" customHeight="1"/>
  <cols>
    <col min="1" max="26" width="8.5703125" customWidth="1"/>
  </cols>
  <sheetData>
    <row r="1" spans="1:13" ht="12.75" customHeight="1">
      <c r="B1" s="226" t="s">
        <v>98</v>
      </c>
      <c r="G1" s="212" t="s">
        <v>84</v>
      </c>
    </row>
    <row r="2" spans="1:13" ht="12.75" customHeight="1">
      <c r="B2" s="213" t="s">
        <v>85</v>
      </c>
      <c r="G2" s="212" t="s">
        <v>89</v>
      </c>
    </row>
    <row r="3" spans="1:13" ht="12.75" customHeight="1">
      <c r="B3" s="213" t="s">
        <v>99</v>
      </c>
      <c r="G3" s="227"/>
      <c r="H3" s="227"/>
      <c r="I3" s="227"/>
      <c r="J3" s="227"/>
      <c r="K3" s="227"/>
      <c r="L3" s="227"/>
      <c r="M3" s="227"/>
    </row>
    <row r="4" spans="1:13" ht="12.75" customHeight="1">
      <c r="B4" s="213" t="s">
        <v>100</v>
      </c>
    </row>
    <row r="5" spans="1:13" ht="12.75" customHeight="1">
      <c r="A5" s="215" t="s">
        <v>5</v>
      </c>
      <c r="B5" s="228" t="s">
        <v>0</v>
      </c>
      <c r="C5" s="228" t="s">
        <v>0</v>
      </c>
      <c r="D5" s="228" t="s">
        <v>0</v>
      </c>
      <c r="E5" s="229" t="s">
        <v>0</v>
      </c>
      <c r="F5" s="228" t="s">
        <v>0</v>
      </c>
      <c r="G5" s="228" t="s">
        <v>0</v>
      </c>
      <c r="H5" s="228" t="s">
        <v>0</v>
      </c>
    </row>
    <row r="6" spans="1:13" ht="12.75" customHeight="1">
      <c r="A6" s="215" t="s">
        <v>49</v>
      </c>
      <c r="B6" s="230">
        <v>2</v>
      </c>
      <c r="C6" s="230">
        <v>3</v>
      </c>
      <c r="D6" s="230">
        <v>4</v>
      </c>
      <c r="E6" s="215">
        <v>5</v>
      </c>
      <c r="F6" s="230">
        <v>6</v>
      </c>
      <c r="G6" s="230">
        <v>7</v>
      </c>
      <c r="H6" s="230">
        <v>8</v>
      </c>
    </row>
    <row r="7" spans="1:13" ht="12.75" customHeight="1">
      <c r="A7" s="217" t="s">
        <v>88</v>
      </c>
      <c r="B7" s="218">
        <f>ROUND((IF(MinBaseSurePost&gt;ROUND(((1-SurePostDiscount)*'Ground Econ and Inov Base'!B3),2),ROUND(MinBaseSurePost*(1+SurePostFuelSurcharge),2),ROUND(((1-SurePostDiscount)*'Ground Econ and Inov Base'!B3)*(1+SurePostFuelSurcharge),2)))*(1+FedEx_Markup),2)</f>
        <v>12.78</v>
      </c>
      <c r="C7" s="231">
        <f>ROUND((IF(MinBaseSurePost&gt;ROUND(((1-SurePostDiscount)*'Ground Econ and Inov Base'!C3),2),ROUND(MinBaseSurePost*(1+SurePostFuelSurcharge),2),ROUND(((1-SurePostDiscount)*'Ground Econ and Inov Base'!C3)*(1+SurePostFuelSurcharge),2)))*(1+FedEx_Markup),2)</f>
        <v>12.78</v>
      </c>
      <c r="D7" s="231">
        <f>ROUND((IF(MinBaseSurePost&gt;ROUND(((1-SurePostDiscount)*'Ground Econ and Inov Base'!D3),2),ROUND(MinBaseSurePost*(1+SurePostFuelSurcharge),2),ROUND(((1-SurePostDiscount)*'Ground Econ and Inov Base'!D3)*(1+SurePostFuelSurcharge),2)))*(1+FedEx_Markup),2)</f>
        <v>12.78</v>
      </c>
      <c r="E7" s="231">
        <f>ROUND((IF(MinBaseSurePost&gt;ROUND(((1-SurePostDiscount)*'Ground Econ and Inov Base'!E3),2),ROUND(MinBaseSurePost*(1+SurePostFuelSurcharge),2),ROUND(((1-SurePostDiscount)*'Ground Econ and Inov Base'!E3)*(1+SurePostFuelSurcharge),2)))*(1+FedEx_Markup),2)</f>
        <v>12.78</v>
      </c>
      <c r="F7" s="231">
        <f>ROUND((IF(MinBaseSurePost&gt;ROUND(((1-SurePostDiscount)*'Ground Econ and Inov Base'!F3),2),ROUND(MinBaseSurePost*(1+SurePostFuelSurcharge),2),ROUND(((1-SurePostDiscount)*'Ground Econ and Inov Base'!F3)*(1+SurePostFuelSurcharge),2)))*(1+FedEx_Markup),2)</f>
        <v>12.78</v>
      </c>
      <c r="G7" s="231">
        <f>ROUND((IF(MinBaseSurePost&gt;ROUND(((1-SurePostDiscount)*'Ground Econ and Inov Base'!G3),2),ROUND(MinBaseSurePost*(1+SurePostFuelSurcharge),2),ROUND(((1-SurePostDiscount)*'Ground Econ and Inov Base'!G3)*(1+SurePostFuelSurcharge),2)))*(1+FedEx_Markup),2)</f>
        <v>12.78</v>
      </c>
      <c r="H7" s="231">
        <f>ROUND((IF(MinBaseSurePost&gt;ROUND(((1-SurePostDiscount)*'Ground Econ and Inov Base'!H3),2),ROUND(MinBaseSurePost*(1+SurePostFuelSurcharge),2),ROUND(((1-SurePostDiscount)*'Ground Econ and Inov Base'!H3)*(1+SurePostFuelSurcharge),2)))*(1+FedEx_Markup),2)</f>
        <v>12.78</v>
      </c>
    </row>
    <row r="8" spans="1:13" ht="12.75" customHeight="1">
      <c r="A8" s="217">
        <v>2</v>
      </c>
      <c r="B8" s="231">
        <f>ROUND((IF(MinBaseSurePost&gt;ROUND(((1-SurePostDiscount)*'Ground Econ and Inov Base'!B4),2),ROUND(MinBaseSurePost*(1+SurePostFuelSurcharge),2),ROUND(((1-SurePostDiscount)*'Ground Econ and Inov Base'!B4)*(1+SurePostFuelSurcharge),2)))*(1+FedEx_Markup),2)</f>
        <v>12.78</v>
      </c>
      <c r="C8" s="231">
        <f>ROUND((IF(MinBaseSurePost&gt;ROUND(((1-SurePostDiscount)*'Ground Econ and Inov Base'!C4),2),ROUND(MinBaseSurePost*(1+SurePostFuelSurcharge),2),ROUND(((1-SurePostDiscount)*'Ground Econ and Inov Base'!C4)*(1+SurePostFuelSurcharge),2)))*(1+FedEx_Markup),2)</f>
        <v>12.78</v>
      </c>
      <c r="D8" s="231">
        <f>ROUND((IF(MinBaseSurePost&gt;ROUND(((1-SurePostDiscount)*'Ground Econ and Inov Base'!D4),2),ROUND(MinBaseSurePost*(1+SurePostFuelSurcharge),2),ROUND(((1-SurePostDiscount)*'Ground Econ and Inov Base'!D4)*(1+SurePostFuelSurcharge),2)))*(1+FedEx_Markup),2)</f>
        <v>12.78</v>
      </c>
      <c r="E8" s="231">
        <f>ROUND((IF(MinBaseSurePost&gt;ROUND(((1-SurePostDiscount)*'Ground Econ and Inov Base'!E4),2),ROUND(MinBaseSurePost*(1+SurePostFuelSurcharge),2),ROUND(((1-SurePostDiscount)*'Ground Econ and Inov Base'!E4)*(1+SurePostFuelSurcharge),2)))*(1+FedEx_Markup),2)</f>
        <v>12.78</v>
      </c>
      <c r="F8" s="231">
        <f>ROUND((IF(MinBaseSurePost&gt;ROUND(((1-SurePostDiscount)*'Ground Econ and Inov Base'!F4),2),ROUND(MinBaseSurePost*(1+SurePostFuelSurcharge),2),ROUND(((1-SurePostDiscount)*'Ground Econ and Inov Base'!F4)*(1+SurePostFuelSurcharge),2)))*(1+FedEx_Markup),2)</f>
        <v>12.78</v>
      </c>
      <c r="G8" s="231">
        <f>ROUND((IF(MinBaseSurePost&gt;ROUND(((1-SurePostDiscount)*'Ground Econ and Inov Base'!G4),2),ROUND(MinBaseSurePost*(1+SurePostFuelSurcharge),2),ROUND(((1-SurePostDiscount)*'Ground Econ and Inov Base'!G4)*(1+SurePostFuelSurcharge),2)))*(1+FedEx_Markup),2)</f>
        <v>12.78</v>
      </c>
      <c r="H8" s="231">
        <f>ROUND((IF(MinBaseSurePost&gt;ROUND(((1-SurePostDiscount)*'Ground Econ and Inov Base'!H4),2),ROUND(MinBaseSurePost*(1+SurePostFuelSurcharge),2),ROUND(((1-SurePostDiscount)*'Ground Econ and Inov Base'!H4)*(1+SurePostFuelSurcharge),2)))*(1+FedEx_Markup),2)</f>
        <v>12.78</v>
      </c>
    </row>
    <row r="9" spans="1:13" ht="12.75" customHeight="1">
      <c r="A9" s="217">
        <v>3</v>
      </c>
      <c r="B9" s="231">
        <f>ROUND((IF(MinBaseSurePost&gt;ROUND(((1-SurePostDiscount)*'Ground Econ and Inov Base'!B5),2),ROUND(MinBaseSurePost*(1+SurePostFuelSurcharge),2),ROUND(((1-SurePostDiscount)*'Ground Econ and Inov Base'!B5)*(1+SurePostFuelSurcharge),2)))*(1+FedEx_Markup),2)</f>
        <v>12.78</v>
      </c>
      <c r="C9" s="231">
        <f>ROUND((IF(MinBaseSurePost&gt;ROUND(((1-SurePostDiscount)*'Ground Econ and Inov Base'!C5),2),ROUND(MinBaseSurePost*(1+SurePostFuelSurcharge),2),ROUND(((1-SurePostDiscount)*'Ground Econ and Inov Base'!C5)*(1+SurePostFuelSurcharge),2)))*(1+FedEx_Markup),2)</f>
        <v>12.78</v>
      </c>
      <c r="D9" s="231">
        <f>ROUND((IF(MinBaseSurePost&gt;ROUND(((1-SurePostDiscount)*'Ground Econ and Inov Base'!D5),2),ROUND(MinBaseSurePost*(1+SurePostFuelSurcharge),2),ROUND(((1-SurePostDiscount)*'Ground Econ and Inov Base'!D5)*(1+SurePostFuelSurcharge),2)))*(1+FedEx_Markup),2)</f>
        <v>12.78</v>
      </c>
      <c r="E9" s="231">
        <f>ROUND((IF(MinBaseSurePost&gt;ROUND(((1-SurePostDiscount)*'Ground Econ and Inov Base'!E5),2),ROUND(MinBaseSurePost*(1+SurePostFuelSurcharge),2),ROUND(((1-SurePostDiscount)*'Ground Econ and Inov Base'!E5)*(1+SurePostFuelSurcharge),2)))*(1+FedEx_Markup),2)</f>
        <v>12.78</v>
      </c>
      <c r="F9" s="231">
        <f>ROUND((IF(MinBaseSurePost&gt;ROUND(((1-SurePostDiscount)*'Ground Econ and Inov Base'!F5),2),ROUND(MinBaseSurePost*(1+SurePostFuelSurcharge),2),ROUND(((1-SurePostDiscount)*'Ground Econ and Inov Base'!F5)*(1+SurePostFuelSurcharge),2)))*(1+FedEx_Markup),2)</f>
        <v>12.78</v>
      </c>
      <c r="G9" s="231">
        <f>ROUND((IF(MinBaseSurePost&gt;ROUND(((1-SurePostDiscount)*'Ground Econ and Inov Base'!G5),2),ROUND(MinBaseSurePost*(1+SurePostFuelSurcharge),2),ROUND(((1-SurePostDiscount)*'Ground Econ and Inov Base'!G5)*(1+SurePostFuelSurcharge),2)))*(1+FedEx_Markup),2)</f>
        <v>12.78</v>
      </c>
      <c r="H9" s="231">
        <f>ROUND((IF(MinBaseSurePost&gt;ROUND(((1-SurePostDiscount)*'Ground Econ and Inov Base'!H5),2),ROUND(MinBaseSurePost*(1+SurePostFuelSurcharge),2),ROUND(((1-SurePostDiscount)*'Ground Econ and Inov Base'!H5)*(1+SurePostFuelSurcharge),2)))*(1+FedEx_Markup),2)</f>
        <v>12.78</v>
      </c>
    </row>
    <row r="10" spans="1:13" ht="12.75" customHeight="1">
      <c r="A10" s="217">
        <v>4</v>
      </c>
      <c r="B10" s="231">
        <f>ROUND((IF(MinBaseSurePost&gt;ROUND(((1-SurePostDiscount)*'Ground Econ and Inov Base'!B6),2),ROUND(MinBaseSurePost*(1+SurePostFuelSurcharge),2),ROUND(((1-SurePostDiscount)*'Ground Econ and Inov Base'!B6)*(1+SurePostFuelSurcharge),2)))*(1+FedEx_Markup),2)</f>
        <v>12.78</v>
      </c>
      <c r="C10" s="231">
        <f>ROUND((IF(MinBaseSurePost&gt;ROUND(((1-SurePostDiscount)*'Ground Econ and Inov Base'!C6),2),ROUND(MinBaseSurePost*(1+SurePostFuelSurcharge),2),ROUND(((1-SurePostDiscount)*'Ground Econ and Inov Base'!C6)*(1+SurePostFuelSurcharge),2)))*(1+FedEx_Markup),2)</f>
        <v>12.78</v>
      </c>
      <c r="D10" s="231">
        <f>ROUND((IF(MinBaseSurePost&gt;ROUND(((1-SurePostDiscount)*'Ground Econ and Inov Base'!D6),2),ROUND(MinBaseSurePost*(1+SurePostFuelSurcharge),2),ROUND(((1-SurePostDiscount)*'Ground Econ and Inov Base'!D6)*(1+SurePostFuelSurcharge),2)))*(1+FedEx_Markup),2)</f>
        <v>12.78</v>
      </c>
      <c r="E10" s="231">
        <f>ROUND((IF(MinBaseSurePost&gt;ROUND(((1-SurePostDiscount)*'Ground Econ and Inov Base'!E6),2),ROUND(MinBaseSurePost*(1+SurePostFuelSurcharge),2),ROUND(((1-SurePostDiscount)*'Ground Econ and Inov Base'!E6)*(1+SurePostFuelSurcharge),2)))*(1+FedEx_Markup),2)</f>
        <v>12.78</v>
      </c>
      <c r="F10" s="231">
        <f>ROUND((IF(MinBaseSurePost&gt;ROUND(((1-SurePostDiscount)*'Ground Econ and Inov Base'!F6),2),ROUND(MinBaseSurePost*(1+SurePostFuelSurcharge),2),ROUND(((1-SurePostDiscount)*'Ground Econ and Inov Base'!F6)*(1+SurePostFuelSurcharge),2)))*(1+FedEx_Markup),2)</f>
        <v>12.78</v>
      </c>
      <c r="G10" s="231">
        <f>ROUND((IF(MinBaseSurePost&gt;ROUND(((1-SurePostDiscount)*'Ground Econ and Inov Base'!G6),2),ROUND(MinBaseSurePost*(1+SurePostFuelSurcharge),2),ROUND(((1-SurePostDiscount)*'Ground Econ and Inov Base'!G6)*(1+SurePostFuelSurcharge),2)))*(1+FedEx_Markup),2)</f>
        <v>12.78</v>
      </c>
      <c r="H10" s="231">
        <f>ROUND((IF(MinBaseSurePost&gt;ROUND(((1-SurePostDiscount)*'Ground Econ and Inov Base'!H6),2),ROUND(MinBaseSurePost*(1+SurePostFuelSurcharge),2),ROUND(((1-SurePostDiscount)*'Ground Econ and Inov Base'!H6)*(1+SurePostFuelSurcharge),2)))*(1+FedEx_Markup),2)</f>
        <v>12.78</v>
      </c>
    </row>
    <row r="11" spans="1:13" ht="12.75" customHeight="1">
      <c r="A11" s="217">
        <v>5</v>
      </c>
      <c r="B11" s="231">
        <f>ROUND((IF(MinBaseSurePost&gt;ROUND(((1-SurePostDiscount)*'Ground Econ and Inov Base'!B7),2),ROUND(MinBaseSurePost*(1+SurePostFuelSurcharge),2),ROUND(((1-SurePostDiscount)*'Ground Econ and Inov Base'!B7)*(1+SurePostFuelSurcharge),2)))*(1+FedEx_Markup),2)</f>
        <v>12.78</v>
      </c>
      <c r="C11" s="231">
        <f>ROUND((IF(MinBaseSurePost&gt;ROUND(((1-SurePostDiscount)*'Ground Econ and Inov Base'!C7),2),ROUND(MinBaseSurePost*(1+SurePostFuelSurcharge),2),ROUND(((1-SurePostDiscount)*'Ground Econ and Inov Base'!C7)*(1+SurePostFuelSurcharge),2)))*(1+FedEx_Markup),2)</f>
        <v>12.78</v>
      </c>
      <c r="D11" s="231">
        <f>ROUND((IF(MinBaseSurePost&gt;ROUND(((1-SurePostDiscount)*'Ground Econ and Inov Base'!D7),2),ROUND(MinBaseSurePost*(1+SurePostFuelSurcharge),2),ROUND(((1-SurePostDiscount)*'Ground Econ and Inov Base'!D7)*(1+SurePostFuelSurcharge),2)))*(1+FedEx_Markup),2)</f>
        <v>12.78</v>
      </c>
      <c r="E11" s="231">
        <f>ROUND((IF(MinBaseSurePost&gt;ROUND(((1-SurePostDiscount)*'Ground Econ and Inov Base'!E7),2),ROUND(MinBaseSurePost*(1+SurePostFuelSurcharge),2),ROUND(((1-SurePostDiscount)*'Ground Econ and Inov Base'!E7)*(1+SurePostFuelSurcharge),2)))*(1+FedEx_Markup),2)</f>
        <v>12.78</v>
      </c>
      <c r="F11" s="231">
        <f>ROUND((IF(MinBaseSurePost&gt;ROUND(((1-SurePostDiscount)*'Ground Econ and Inov Base'!F7),2),ROUND(MinBaseSurePost*(1+SurePostFuelSurcharge),2),ROUND(((1-SurePostDiscount)*'Ground Econ and Inov Base'!F7)*(1+SurePostFuelSurcharge),2)))*(1+FedEx_Markup),2)</f>
        <v>12.78</v>
      </c>
      <c r="G11" s="231">
        <f>ROUND((IF(MinBaseSurePost&gt;ROUND(((1-SurePostDiscount)*'Ground Econ and Inov Base'!G7),2),ROUND(MinBaseSurePost*(1+SurePostFuelSurcharge),2),ROUND(((1-SurePostDiscount)*'Ground Econ and Inov Base'!G7)*(1+SurePostFuelSurcharge),2)))*(1+FedEx_Markup),2)</f>
        <v>12.78</v>
      </c>
      <c r="H11" s="231">
        <f>ROUND((IF(MinBaseSurePost&gt;ROUND(((1-SurePostDiscount)*'Ground Econ and Inov Base'!H7),2),ROUND(MinBaseSurePost*(1+SurePostFuelSurcharge),2),ROUND(((1-SurePostDiscount)*'Ground Econ and Inov Base'!H7)*(1+SurePostFuelSurcharge),2)))*(1+FedEx_Markup),2)</f>
        <v>12.78</v>
      </c>
    </row>
    <row r="12" spans="1:13" ht="12.75" customHeight="1">
      <c r="A12" s="217">
        <v>6</v>
      </c>
      <c r="B12" s="231">
        <f>ROUND((IF(MinBaseSurePost&gt;ROUND(((1-SurePostDiscount)*'Ground Econ and Inov Base'!B8),2),ROUND(MinBaseSurePost*(1+SurePostFuelSurcharge),2),ROUND(((1-SurePostDiscount)*'Ground Econ and Inov Base'!B8)*(1+SurePostFuelSurcharge),2)))*(1+FedEx_Markup),2)</f>
        <v>12.78</v>
      </c>
      <c r="C12" s="231">
        <f>ROUND((IF(MinBaseSurePost&gt;ROUND(((1-SurePostDiscount)*'Ground Econ and Inov Base'!C8),2),ROUND(MinBaseSurePost*(1+SurePostFuelSurcharge),2),ROUND(((1-SurePostDiscount)*'Ground Econ and Inov Base'!C8)*(1+SurePostFuelSurcharge),2)))*(1+FedEx_Markup),2)</f>
        <v>12.78</v>
      </c>
      <c r="D12" s="231">
        <f>ROUND((IF(MinBaseSurePost&gt;ROUND(((1-SurePostDiscount)*'Ground Econ and Inov Base'!D8),2),ROUND(MinBaseSurePost*(1+SurePostFuelSurcharge),2),ROUND(((1-SurePostDiscount)*'Ground Econ and Inov Base'!D8)*(1+SurePostFuelSurcharge),2)))*(1+FedEx_Markup),2)</f>
        <v>12.78</v>
      </c>
      <c r="E12" s="231">
        <f>ROUND((IF(MinBaseSurePost&gt;ROUND(((1-SurePostDiscount)*'Ground Econ and Inov Base'!E8),2),ROUND(MinBaseSurePost*(1+SurePostFuelSurcharge),2),ROUND(((1-SurePostDiscount)*'Ground Econ and Inov Base'!E8)*(1+SurePostFuelSurcharge),2)))*(1+FedEx_Markup),2)</f>
        <v>12.78</v>
      </c>
      <c r="F12" s="231">
        <f>ROUND((IF(MinBaseSurePost&gt;ROUND(((1-SurePostDiscount)*'Ground Econ and Inov Base'!F8),2),ROUND(MinBaseSurePost*(1+SurePostFuelSurcharge),2),ROUND(((1-SurePostDiscount)*'Ground Econ and Inov Base'!F8)*(1+SurePostFuelSurcharge),2)))*(1+FedEx_Markup),2)</f>
        <v>12.78</v>
      </c>
      <c r="G12" s="231">
        <f>ROUND((IF(MinBaseSurePost&gt;ROUND(((1-SurePostDiscount)*'Ground Econ and Inov Base'!G8),2),ROUND(MinBaseSurePost*(1+SurePostFuelSurcharge),2),ROUND(((1-SurePostDiscount)*'Ground Econ and Inov Base'!G8)*(1+SurePostFuelSurcharge),2)))*(1+FedEx_Markup),2)</f>
        <v>12.78</v>
      </c>
      <c r="H12" s="231">
        <f>ROUND((IF(MinBaseSurePost&gt;ROUND(((1-SurePostDiscount)*'Ground Econ and Inov Base'!H8),2),ROUND(MinBaseSurePost*(1+SurePostFuelSurcharge),2),ROUND(((1-SurePostDiscount)*'Ground Econ and Inov Base'!H8)*(1+SurePostFuelSurcharge),2)))*(1+FedEx_Markup),2)</f>
        <v>12.78</v>
      </c>
    </row>
    <row r="13" spans="1:13" ht="12.75" customHeight="1">
      <c r="A13" s="217">
        <v>7</v>
      </c>
      <c r="B13" s="231">
        <f>ROUND((IF(MinBaseSurePost&gt;ROUND(((1-SurePostDiscount)*'Ground Econ and Inov Base'!B9),2),ROUND(MinBaseSurePost*(1+SurePostFuelSurcharge),2),ROUND(((1-SurePostDiscount)*'Ground Econ and Inov Base'!B9)*(1+SurePostFuelSurcharge),2)))*(1+FedEx_Markup),2)</f>
        <v>12.78</v>
      </c>
      <c r="C13" s="231">
        <f>ROUND((IF(MinBaseSurePost&gt;ROUND(((1-SurePostDiscount)*'Ground Econ and Inov Base'!C9),2),ROUND(MinBaseSurePost*(1+SurePostFuelSurcharge),2),ROUND(((1-SurePostDiscount)*'Ground Econ and Inov Base'!C9)*(1+SurePostFuelSurcharge),2)))*(1+FedEx_Markup),2)</f>
        <v>12.78</v>
      </c>
      <c r="D13" s="231">
        <f>ROUND((IF(MinBaseSurePost&gt;ROUND(((1-SurePostDiscount)*'Ground Econ and Inov Base'!D9),2),ROUND(MinBaseSurePost*(1+SurePostFuelSurcharge),2),ROUND(((1-SurePostDiscount)*'Ground Econ and Inov Base'!D9)*(1+SurePostFuelSurcharge),2)))*(1+FedEx_Markup),2)</f>
        <v>12.78</v>
      </c>
      <c r="E13" s="231">
        <f>ROUND((IF(MinBaseSurePost&gt;ROUND(((1-SurePostDiscount)*'Ground Econ and Inov Base'!E9),2),ROUND(MinBaseSurePost*(1+SurePostFuelSurcharge),2),ROUND(((1-SurePostDiscount)*'Ground Econ and Inov Base'!E9)*(1+SurePostFuelSurcharge),2)))*(1+FedEx_Markup),2)</f>
        <v>12.78</v>
      </c>
      <c r="F13" s="231">
        <f>ROUND((IF(MinBaseSurePost&gt;ROUND(((1-SurePostDiscount)*'Ground Econ and Inov Base'!F9),2),ROUND(MinBaseSurePost*(1+SurePostFuelSurcharge),2),ROUND(((1-SurePostDiscount)*'Ground Econ and Inov Base'!F9)*(1+SurePostFuelSurcharge),2)))*(1+FedEx_Markup),2)</f>
        <v>12.78</v>
      </c>
      <c r="G13" s="231">
        <f>ROUND((IF(MinBaseSurePost&gt;ROUND(((1-SurePostDiscount)*'Ground Econ and Inov Base'!G9),2),ROUND(MinBaseSurePost*(1+SurePostFuelSurcharge),2),ROUND(((1-SurePostDiscount)*'Ground Econ and Inov Base'!G9)*(1+SurePostFuelSurcharge),2)))*(1+FedEx_Markup),2)</f>
        <v>12.78</v>
      </c>
      <c r="H13" s="231">
        <f>ROUND((IF(MinBaseSurePost&gt;ROUND(((1-SurePostDiscount)*'Ground Econ and Inov Base'!H9),2),ROUND(MinBaseSurePost*(1+SurePostFuelSurcharge),2),ROUND(((1-SurePostDiscount)*'Ground Econ and Inov Base'!H9)*(1+SurePostFuelSurcharge),2)))*(1+FedEx_Markup),2)</f>
        <v>12.78</v>
      </c>
    </row>
    <row r="14" spans="1:13" ht="12.75" customHeight="1">
      <c r="A14" s="217">
        <v>8</v>
      </c>
      <c r="B14" s="231">
        <f>ROUND((IF(MinBaseSurePost&gt;ROUND(((1-SurePostDiscount)*'Ground Econ and Inov Base'!B10),2),ROUND(MinBaseSurePost*(1+SurePostFuelSurcharge),2),ROUND(((1-SurePostDiscount)*'Ground Econ and Inov Base'!B10)*(1+SurePostFuelSurcharge),2)))*(1+FedEx_Markup),2)</f>
        <v>12.78</v>
      </c>
      <c r="C14" s="231">
        <f>ROUND((IF(MinBaseSurePost&gt;ROUND(((1-SurePostDiscount)*'Ground Econ and Inov Base'!C10),2),ROUND(MinBaseSurePost*(1+SurePostFuelSurcharge),2),ROUND(((1-SurePostDiscount)*'Ground Econ and Inov Base'!C10)*(1+SurePostFuelSurcharge),2)))*(1+FedEx_Markup),2)</f>
        <v>12.78</v>
      </c>
      <c r="D14" s="231">
        <f>ROUND((IF(MinBaseSurePost&gt;ROUND(((1-SurePostDiscount)*'Ground Econ and Inov Base'!D10),2),ROUND(MinBaseSurePost*(1+SurePostFuelSurcharge),2),ROUND(((1-SurePostDiscount)*'Ground Econ and Inov Base'!D10)*(1+SurePostFuelSurcharge),2)))*(1+FedEx_Markup),2)</f>
        <v>12.78</v>
      </c>
      <c r="E14" s="231">
        <f>ROUND((IF(MinBaseSurePost&gt;ROUND(((1-SurePostDiscount)*'Ground Econ and Inov Base'!E10),2),ROUND(MinBaseSurePost*(1+SurePostFuelSurcharge),2),ROUND(((1-SurePostDiscount)*'Ground Econ and Inov Base'!E10)*(1+SurePostFuelSurcharge),2)))*(1+FedEx_Markup),2)</f>
        <v>12.78</v>
      </c>
      <c r="F14" s="231">
        <f>ROUND((IF(MinBaseSurePost&gt;ROUND(((1-SurePostDiscount)*'Ground Econ and Inov Base'!F10),2),ROUND(MinBaseSurePost*(1+SurePostFuelSurcharge),2),ROUND(((1-SurePostDiscount)*'Ground Econ and Inov Base'!F10)*(1+SurePostFuelSurcharge),2)))*(1+FedEx_Markup),2)</f>
        <v>12.78</v>
      </c>
      <c r="G14" s="231">
        <f>ROUND((IF(MinBaseSurePost&gt;ROUND(((1-SurePostDiscount)*'Ground Econ and Inov Base'!G10),2),ROUND(MinBaseSurePost*(1+SurePostFuelSurcharge),2),ROUND(((1-SurePostDiscount)*'Ground Econ and Inov Base'!G10)*(1+SurePostFuelSurcharge),2)))*(1+FedEx_Markup),2)</f>
        <v>12.78</v>
      </c>
      <c r="H14" s="231">
        <f>ROUND((IF(MinBaseSurePost&gt;ROUND(((1-SurePostDiscount)*'Ground Econ and Inov Base'!H10),2),ROUND(MinBaseSurePost*(1+SurePostFuelSurcharge),2),ROUND(((1-SurePostDiscount)*'Ground Econ and Inov Base'!H10)*(1+SurePostFuelSurcharge),2)))*(1+FedEx_Markup),2)</f>
        <v>12.78</v>
      </c>
    </row>
    <row r="15" spans="1:13" ht="12.75" customHeight="1">
      <c r="A15" s="217">
        <v>9</v>
      </c>
      <c r="B15" s="231">
        <f>ROUND((IF(MinBaseSurePost&gt;ROUND(((1-SurePostDiscount)*'Ground Econ and Inov Base'!B11),2),ROUND(MinBaseSurePost*(1+SurePostFuelSurcharge),2),ROUND(((1-SurePostDiscount)*'Ground Econ and Inov Base'!B11)*(1+SurePostFuelSurcharge),2)))*(1+FedEx_Markup),2)</f>
        <v>12.78</v>
      </c>
      <c r="C15" s="231">
        <f>ROUND((IF(MinBaseSurePost&gt;ROUND(((1-SurePostDiscount)*'Ground Econ and Inov Base'!C11),2),ROUND(MinBaseSurePost*(1+SurePostFuelSurcharge),2),ROUND(((1-SurePostDiscount)*'Ground Econ and Inov Base'!C11)*(1+SurePostFuelSurcharge),2)))*(1+FedEx_Markup),2)</f>
        <v>12.78</v>
      </c>
      <c r="D15" s="231">
        <f>ROUND((IF(MinBaseSurePost&gt;ROUND(((1-SurePostDiscount)*'Ground Econ and Inov Base'!D11),2),ROUND(MinBaseSurePost*(1+SurePostFuelSurcharge),2),ROUND(((1-SurePostDiscount)*'Ground Econ and Inov Base'!D11)*(1+SurePostFuelSurcharge),2)))*(1+FedEx_Markup),2)</f>
        <v>12.78</v>
      </c>
      <c r="E15" s="231">
        <f>ROUND((IF(MinBaseSurePost&gt;ROUND(((1-SurePostDiscount)*'Ground Econ and Inov Base'!E11),2),ROUND(MinBaseSurePost*(1+SurePostFuelSurcharge),2),ROUND(((1-SurePostDiscount)*'Ground Econ and Inov Base'!E11)*(1+SurePostFuelSurcharge),2)))*(1+FedEx_Markup),2)</f>
        <v>12.78</v>
      </c>
      <c r="F15" s="231">
        <f>ROUND((IF(MinBaseSurePost&gt;ROUND(((1-SurePostDiscount)*'Ground Econ and Inov Base'!F11),2),ROUND(MinBaseSurePost*(1+SurePostFuelSurcharge),2),ROUND(((1-SurePostDiscount)*'Ground Econ and Inov Base'!F11)*(1+SurePostFuelSurcharge),2)))*(1+FedEx_Markup),2)</f>
        <v>12.78</v>
      </c>
      <c r="G15" s="231">
        <f>ROUND((IF(MinBaseSurePost&gt;ROUND(((1-SurePostDiscount)*'Ground Econ and Inov Base'!G11),2),ROUND(MinBaseSurePost*(1+SurePostFuelSurcharge),2),ROUND(((1-SurePostDiscount)*'Ground Econ and Inov Base'!G11)*(1+SurePostFuelSurcharge),2)))*(1+FedEx_Markup),2)</f>
        <v>12.78</v>
      </c>
      <c r="H15" s="231">
        <f>ROUND((IF(MinBaseSurePost&gt;ROUND(((1-SurePostDiscount)*'Ground Econ and Inov Base'!H11),2),ROUND(MinBaseSurePost*(1+SurePostFuelSurcharge),2),ROUND(((1-SurePostDiscount)*'Ground Econ and Inov Base'!H11)*(1+SurePostFuelSurcharge),2)))*(1+FedEx_Markup),2)</f>
        <v>12.78</v>
      </c>
    </row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7:H15">
    <cfRule type="expression" dxfId="14" priority="1">
      <formula>MOD(ROW(),2)=0</formula>
    </cfRule>
  </conditionalFormatting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3300"/>
  </sheetPr>
  <dimension ref="A1:Z1000"/>
  <sheetViews>
    <sheetView showGridLines="0" workbookViewId="0">
      <pane ySplit="7" topLeftCell="A8" activePane="bottomLeft" state="frozen"/>
      <selection pane="bottomLeft" activeCell="B9" sqref="B9"/>
    </sheetView>
  </sheetViews>
  <sheetFormatPr defaultColWidth="12.5703125" defaultRowHeight="15" customHeight="1"/>
  <cols>
    <col min="1" max="1" width="7.28515625" customWidth="1"/>
    <col min="2" max="2" width="6.7109375" customWidth="1"/>
    <col min="3" max="3" width="6.85546875" customWidth="1"/>
    <col min="4" max="6" width="6.42578125" customWidth="1"/>
    <col min="7" max="7" width="7.85546875" customWidth="1"/>
    <col min="8" max="8" width="6.42578125" customWidth="1"/>
    <col min="9" max="12" width="7.28515625" customWidth="1"/>
    <col min="13" max="13" width="3.5703125" customWidth="1"/>
    <col min="14" max="14" width="24.5703125" customWidth="1"/>
    <col min="15" max="26" width="8.5703125" customWidth="1"/>
  </cols>
  <sheetData>
    <row r="1" spans="1:26" ht="12.75" customHeight="1">
      <c r="A1" s="212" t="s">
        <v>84</v>
      </c>
      <c r="B1" s="232"/>
      <c r="C1" s="232"/>
      <c r="D1" s="232"/>
    </row>
    <row r="2" spans="1:26" ht="12.75" customHeight="1">
      <c r="A2" s="212" t="s">
        <v>89</v>
      </c>
      <c r="B2" s="232"/>
      <c r="C2" s="232"/>
      <c r="D2" s="233"/>
    </row>
    <row r="3" spans="1:26" ht="12.75" customHeight="1">
      <c r="B3" s="322"/>
      <c r="C3" s="323"/>
      <c r="D3" s="323"/>
      <c r="E3" s="323"/>
      <c r="F3" s="323"/>
      <c r="G3" s="323"/>
      <c r="I3" s="212"/>
      <c r="J3" s="232"/>
      <c r="K3" s="232"/>
      <c r="L3" s="233"/>
    </row>
    <row r="4" spans="1:26" ht="12.75" customHeight="1">
      <c r="B4" s="234" t="s">
        <v>85</v>
      </c>
      <c r="F4" s="235"/>
    </row>
    <row r="5" spans="1:26" ht="12.75" customHeight="1">
      <c r="B5" s="213" t="s">
        <v>101</v>
      </c>
      <c r="F5" s="235"/>
    </row>
    <row r="6" spans="1:26" ht="12.75" customHeight="1">
      <c r="A6" s="215" t="s">
        <v>5</v>
      </c>
      <c r="B6" s="214" t="s">
        <v>0</v>
      </c>
      <c r="C6" s="214" t="s">
        <v>0</v>
      </c>
      <c r="D6" s="214" t="s">
        <v>0</v>
      </c>
      <c r="E6" s="214" t="s">
        <v>0</v>
      </c>
      <c r="F6" s="214" t="s">
        <v>0</v>
      </c>
      <c r="G6" s="214" t="s">
        <v>0</v>
      </c>
      <c r="H6" s="214" t="s">
        <v>0</v>
      </c>
      <c r="I6" s="214" t="s">
        <v>14</v>
      </c>
      <c r="J6" s="214" t="s">
        <v>15</v>
      </c>
      <c r="K6" s="214" t="s">
        <v>16</v>
      </c>
      <c r="L6" s="214" t="s">
        <v>16</v>
      </c>
    </row>
    <row r="7" spans="1:26" ht="12.75" customHeight="1">
      <c r="A7" s="215" t="s">
        <v>49</v>
      </c>
      <c r="B7" s="216">
        <v>2</v>
      </c>
      <c r="C7" s="216">
        <v>3</v>
      </c>
      <c r="D7" s="216">
        <v>4</v>
      </c>
      <c r="E7" s="216">
        <v>5</v>
      </c>
      <c r="F7" s="216">
        <v>6</v>
      </c>
      <c r="G7" s="216">
        <v>7</v>
      </c>
      <c r="H7" s="216">
        <v>8</v>
      </c>
      <c r="I7" s="216">
        <v>9</v>
      </c>
      <c r="J7" s="216">
        <v>17</v>
      </c>
      <c r="K7" s="216">
        <v>51</v>
      </c>
      <c r="L7" s="216">
        <v>54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217">
        <v>1</v>
      </c>
      <c r="B8" s="218">
        <f>ROUND((IF('Ground Base'!B$154&gt;ROUND(((1-GroundCommDiscount01to05-GroundCommIncentive)*'Ground Base'!B3),2),ROUND('Ground Base'!B$154*(1+GroundFuelSurcharge),2),ROUND(((1-GroundCommDiscount01to05-GroundCommIncentive)*'Ground Base'!B3)*(1+GroundFuelSurcharge),2)))*(1+FedEx_Markup),2)</f>
        <v>15.72</v>
      </c>
      <c r="C8" s="218">
        <f>ROUND((IF('Ground Base'!C$154&gt;ROUND(((1-GroundCommDiscount01to05-GroundCommIncentive)*'Ground Base'!C3),2),ROUND('Ground Base'!C$154*(1+GroundFuelSurcharge),2),ROUND(((1-GroundCommDiscount01to05-GroundCommIncentive)*'Ground Base'!C3)*(1+GroundFuelSurcharge),2)))*(1+FedEx_Markup),2)</f>
        <v>15.72</v>
      </c>
      <c r="D8" s="218">
        <f>ROUND((IF('Ground Base'!D$154&gt;ROUND(((1-GroundCommDiscount01to05-GroundCommIncentive)*'Ground Base'!D3),2),ROUND('Ground Base'!D$154*(1+GroundFuelSurcharge),2),ROUND(((1-GroundCommDiscount01to05-GroundCommIncentive)*'Ground Base'!D3)*(1+GroundFuelSurcharge),2)))*(1+FedEx_Markup),2)</f>
        <v>15.72</v>
      </c>
      <c r="E8" s="218">
        <f>ROUND((IF('Ground Base'!E$154&gt;ROUND(((1-GroundCommDiscount01to05-GroundCommIncentive)*'Ground Base'!E3),2),ROUND('Ground Base'!E$154*(1+GroundFuelSurcharge),2),ROUND(((1-GroundCommDiscount01to05-GroundCommIncentive)*'Ground Base'!E3)*(1+GroundFuelSurcharge),2)))*(1+FedEx_Markup),2)</f>
        <v>15.72</v>
      </c>
      <c r="F8" s="218">
        <f>ROUND((IF('Ground Base'!F$154&gt;ROUND(((1-GroundCommDiscount01to05-GroundCommIncentive)*'Ground Base'!F3),2),ROUND('Ground Base'!F$154*(1+GroundFuelSurcharge),2),ROUND(((1-GroundCommDiscount01to05-GroundCommIncentive)*'Ground Base'!F3)*(1+GroundFuelSurcharge),2)))*(1+FedEx_Markup),2)</f>
        <v>15.72</v>
      </c>
      <c r="G8" s="218">
        <f>ROUND((IF('Ground Base'!G$154&gt;ROUND(((1-GroundCommDiscount01to05-GroundCommIncentive)*'Ground Base'!G3),2),ROUND('Ground Base'!G$154*(1+GroundFuelSurcharge),2),ROUND(((1-GroundCommDiscount01to05-GroundCommIncentive)*'Ground Base'!G3)*(1+GroundFuelSurcharge),2)))*(1+FedEx_Markup),2)</f>
        <v>15.72</v>
      </c>
      <c r="H8" s="218">
        <f>ROUND((IF('Ground Base'!H$154&gt;ROUND(((1-GroundCommDiscount01to05-GroundCommIncentive)*'Ground Base'!H3),2),ROUND('Ground Base'!H$154*(1+GroundFuelSurcharge),2),ROUND(((1-GroundCommDiscount01to05-GroundCommIncentive)*'Ground Base'!H3)*(1+GroundFuelSurcharge),2)))*(1+FedEx_Markup),2)</f>
        <v>15.72</v>
      </c>
      <c r="I8" s="218">
        <f>ROUND((IF('Ground Base'!I$154&gt;ROUND(((1-GroundAKHIDiscount)*'Ground Base'!I3),2),ROUND('Ground Base'!I$154*(1+GroundFuelSurcharge),2),ROUND(((1-GroundAKHIDiscount)*'Ground Base'!I3)*(1+GroundFuelSurcharge),2)))*(1+FedEx_Markup),2)</f>
        <v>47.64</v>
      </c>
      <c r="J8" s="218">
        <f>ROUND((IF('Ground Base'!J$154&gt;ROUND(((1-GroundAKHIDiscount)*'Ground Base'!J3),2),ROUND('Ground Base'!J$154*(1+GroundFuelSurcharge),2),ROUND(((1-GroundAKHIDiscount)*'Ground Base'!J3)*(1+GroundFuelSurcharge),2)))*(1+FedEx_Markup),2)</f>
        <v>47.64</v>
      </c>
      <c r="K8" s="218">
        <f>ROUND((IF('Ground Base'!K$154&gt;ROUND(((1-GroundZone51Discount)*'Ground Base'!K3),2),ROUND('Ground Base'!K$154*(1+GroundFuelSurcharge),2),ROUND(((1-GroundZone51Discount)*'Ground Base'!K3)*(1+GroundFuelSurcharge),2)))*(1+FedEx_Markup),2)</f>
        <v>34.409999999999997</v>
      </c>
      <c r="L8" s="218">
        <f>ROUND((IF('Ground Base'!L$154&gt;ROUND(((1-GroundZone54Discount)*'Ground Base'!L3),2),ROUND('Ground Base'!L$154*(1+GroundFuelSurcharge),2),ROUND(((1-GroundZone54Discount)*'Ground Base'!L3)*(1+GroundFuelSurcharge),2)))*(1+FedEx_Markup),2)</f>
        <v>44.15</v>
      </c>
      <c r="M8" s="8"/>
      <c r="N8" s="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>
      <c r="A9" s="217">
        <v>2</v>
      </c>
      <c r="B9" s="218">
        <f>ROUND((IF('Ground Base'!B$154&gt;ROUND(((1-GroundCommDiscount01to05-GroundCommIncentive)*'Ground Base'!B4),2),ROUND('Ground Base'!B$154*(1+GroundFuelSurcharge),2),ROUND(((1-GroundCommDiscount01to05-GroundCommIncentive)*'Ground Base'!B4)*(1+GroundFuelSurcharge),2)))*(1+FedEx_Markup),2)</f>
        <v>15.72</v>
      </c>
      <c r="C9" s="218">
        <f>ROUND((IF('Ground Base'!C$154&gt;ROUND(((1-GroundCommDiscount01to05-GroundCommIncentive)*'Ground Base'!C4),2),ROUND('Ground Base'!C$154*(1+GroundFuelSurcharge),2),ROUND(((1-GroundCommDiscount01to05-GroundCommIncentive)*'Ground Base'!C4)*(1+GroundFuelSurcharge),2)))*(1+FedEx_Markup),2)</f>
        <v>15.72</v>
      </c>
      <c r="D9" s="218">
        <f>ROUND((IF('Ground Base'!D$154&gt;ROUND(((1-GroundCommDiscount01to05-GroundCommIncentive)*'Ground Base'!D4),2),ROUND('Ground Base'!D$154*(1+GroundFuelSurcharge),2),ROUND(((1-GroundCommDiscount01to05-GroundCommIncentive)*'Ground Base'!D4)*(1+GroundFuelSurcharge),2)))*(1+FedEx_Markup),2)</f>
        <v>15.72</v>
      </c>
      <c r="E9" s="218">
        <f>ROUND((IF('Ground Base'!E$154&gt;ROUND(((1-GroundCommDiscount01to05-GroundCommIncentive)*'Ground Base'!E4),2),ROUND('Ground Base'!E$154*(1+GroundFuelSurcharge),2),ROUND(((1-GroundCommDiscount01to05-GroundCommIncentive)*'Ground Base'!E4)*(1+GroundFuelSurcharge),2)))*(1+FedEx_Markup),2)</f>
        <v>15.72</v>
      </c>
      <c r="F9" s="218">
        <f>ROUND((IF('Ground Base'!F$154&gt;ROUND(((1-GroundCommDiscount01to05-GroundCommIncentive)*'Ground Base'!F4),2),ROUND('Ground Base'!F$154*(1+GroundFuelSurcharge),2),ROUND(((1-GroundCommDiscount01to05-GroundCommIncentive)*'Ground Base'!F4)*(1+GroundFuelSurcharge),2)))*(1+FedEx_Markup),2)</f>
        <v>15.72</v>
      </c>
      <c r="G9" s="218">
        <f>ROUND((IF('Ground Base'!G$154&gt;ROUND(((1-GroundCommDiscount01to05-GroundCommIncentive)*'Ground Base'!G4),2),ROUND('Ground Base'!G$154*(1+GroundFuelSurcharge),2),ROUND(((1-GroundCommDiscount01to05-GroundCommIncentive)*'Ground Base'!G4)*(1+GroundFuelSurcharge),2)))*(1+FedEx_Markup),2)</f>
        <v>15.72</v>
      </c>
      <c r="H9" s="218">
        <f>ROUND((IF('Ground Base'!H$154&gt;ROUND(((1-GroundCommDiscount01to05-GroundCommIncentive)*'Ground Base'!H4),2),ROUND('Ground Base'!H$154*(1+GroundFuelSurcharge),2),ROUND(((1-GroundCommDiscount01to05-GroundCommIncentive)*'Ground Base'!H4)*(1+GroundFuelSurcharge),2)))*(1+FedEx_Markup),2)</f>
        <v>15.72</v>
      </c>
      <c r="I9" s="218">
        <f>ROUND((IF('Ground Base'!I$154&gt;ROUND(((1-GroundAKHIDiscount)*'Ground Base'!I4),2),ROUND('Ground Base'!I$154*(1+GroundFuelSurcharge),2),ROUND(((1-GroundAKHIDiscount)*'Ground Base'!I4)*(1+GroundFuelSurcharge),2)))*(1+FedEx_Markup),2)</f>
        <v>52.99</v>
      </c>
      <c r="J9" s="218">
        <f>ROUND((IF('Ground Base'!J$154&gt;ROUND(((1-GroundAKHIDiscount)*'Ground Base'!J4),2),ROUND('Ground Base'!J$154*(1+GroundFuelSurcharge),2),ROUND(((1-GroundAKHIDiscount)*'Ground Base'!J4)*(1+GroundFuelSurcharge),2)))*(1+FedEx_Markup),2)</f>
        <v>52.99</v>
      </c>
      <c r="K9" s="218">
        <f>ROUND((IF('Ground Base'!K$154&gt;ROUND(((1-GroundZone51Discount)*'Ground Base'!K4),2),ROUND('Ground Base'!K$154*(1+GroundFuelSurcharge),2),ROUND(((1-GroundZone51Discount)*'Ground Base'!K4)*(1+GroundFuelSurcharge),2)))*(1+FedEx_Markup),2)</f>
        <v>34.409999999999997</v>
      </c>
      <c r="L9" s="218">
        <f>ROUND((IF('Ground Base'!L$154&gt;ROUND(((1-GroundZone54Discount)*'Ground Base'!L4),2),ROUND('Ground Base'!L$154*(1+GroundFuelSurcharge),2),ROUND(((1-GroundZone54Discount)*'Ground Base'!L4)*(1+GroundFuelSurcharge),2)))*(1+FedEx_Markup),2)</f>
        <v>44.15</v>
      </c>
      <c r="M9" s="12"/>
      <c r="N9" s="4"/>
      <c r="O9" s="236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3</v>
      </c>
      <c r="B10" s="218">
        <f>ROUND((IF('Ground Base'!B$154&gt;ROUND(((1-GroundCommDiscount01to05-GroundCommIncentive)*'Ground Base'!B5),2),ROUND('Ground Base'!B$154*(1+GroundFuelSurcharge),2),ROUND(((1-GroundCommDiscount01to05-GroundCommIncentive)*'Ground Base'!B5)*(1+GroundFuelSurcharge),2)))*(1+FedEx_Markup),2)</f>
        <v>15.72</v>
      </c>
      <c r="C10" s="218">
        <f>ROUND((IF('Ground Base'!C$154&gt;ROUND(((1-GroundCommDiscount01to05-GroundCommIncentive)*'Ground Base'!C5),2),ROUND('Ground Base'!C$154*(1+GroundFuelSurcharge),2),ROUND(((1-GroundCommDiscount01to05-GroundCommIncentive)*'Ground Base'!C5)*(1+GroundFuelSurcharge),2)))*(1+FedEx_Markup),2)</f>
        <v>15.72</v>
      </c>
      <c r="D10" s="218">
        <f>ROUND((IF('Ground Base'!D$154&gt;ROUND(((1-GroundCommDiscount01to05-GroundCommIncentive)*'Ground Base'!D5),2),ROUND('Ground Base'!D$154*(1+GroundFuelSurcharge),2),ROUND(((1-GroundCommDiscount01to05-GroundCommIncentive)*'Ground Base'!D5)*(1+GroundFuelSurcharge),2)))*(1+FedEx_Markup),2)</f>
        <v>15.72</v>
      </c>
      <c r="E10" s="218">
        <f>ROUND((IF('Ground Base'!E$154&gt;ROUND(((1-GroundCommDiscount01to05-GroundCommIncentive)*'Ground Base'!E5),2),ROUND('Ground Base'!E$154*(1+GroundFuelSurcharge),2),ROUND(((1-GroundCommDiscount01to05-GroundCommIncentive)*'Ground Base'!E5)*(1+GroundFuelSurcharge),2)))*(1+FedEx_Markup),2)</f>
        <v>15.72</v>
      </c>
      <c r="F10" s="218">
        <f>ROUND((IF('Ground Base'!F$154&gt;ROUND(((1-GroundCommDiscount01to05-GroundCommIncentive)*'Ground Base'!F5),2),ROUND('Ground Base'!F$154*(1+GroundFuelSurcharge),2),ROUND(((1-GroundCommDiscount01to05-GroundCommIncentive)*'Ground Base'!F5)*(1+GroundFuelSurcharge),2)))*(1+FedEx_Markup),2)</f>
        <v>15.72</v>
      </c>
      <c r="G10" s="218">
        <f>ROUND((IF('Ground Base'!G$154&gt;ROUND(((1-GroundCommDiscount01to05-GroundCommIncentive)*'Ground Base'!G5),2),ROUND('Ground Base'!G$154*(1+GroundFuelSurcharge),2),ROUND(((1-GroundCommDiscount01to05-GroundCommIncentive)*'Ground Base'!G5)*(1+GroundFuelSurcharge),2)))*(1+FedEx_Markup),2)</f>
        <v>15.72</v>
      </c>
      <c r="H10" s="218">
        <f>ROUND((IF('Ground Base'!H$154&gt;ROUND(((1-GroundCommDiscount01to05-GroundCommIncentive)*'Ground Base'!H5),2),ROUND('Ground Base'!H$154*(1+GroundFuelSurcharge),2),ROUND(((1-GroundCommDiscount01to05-GroundCommIncentive)*'Ground Base'!H5)*(1+GroundFuelSurcharge),2)))*(1+FedEx_Markup),2)</f>
        <v>15.72</v>
      </c>
      <c r="I10" s="218">
        <f>ROUND((IF('Ground Base'!I$154&gt;ROUND(((1-GroundAKHIDiscount)*'Ground Base'!I5),2),ROUND('Ground Base'!I$154*(1+GroundFuelSurcharge),2),ROUND(((1-GroundAKHIDiscount)*'Ground Base'!I5)*(1+GroundFuelSurcharge),2)))*(1+FedEx_Markup),2)</f>
        <v>57.59</v>
      </c>
      <c r="J10" s="218">
        <f>ROUND((IF('Ground Base'!J$154&gt;ROUND(((1-GroundAKHIDiscount)*'Ground Base'!J5),2),ROUND('Ground Base'!J$154*(1+GroundFuelSurcharge),2),ROUND(((1-GroundAKHIDiscount)*'Ground Base'!J5)*(1+GroundFuelSurcharge),2)))*(1+FedEx_Markup),2)</f>
        <v>57.59</v>
      </c>
      <c r="K10" s="218">
        <f>ROUND((IF('Ground Base'!K$154&gt;ROUND(((1-GroundZone51Discount)*'Ground Base'!K5),2),ROUND('Ground Base'!K$154*(1+GroundFuelSurcharge),2),ROUND(((1-GroundZone51Discount)*'Ground Base'!K5)*(1+GroundFuelSurcharge),2)))*(1+FedEx_Markup),2)</f>
        <v>34.409999999999997</v>
      </c>
      <c r="L10" s="218">
        <f>ROUND((IF('Ground Base'!L$154&gt;ROUND(((1-GroundZone54Discount)*'Ground Base'!L5),2),ROUND('Ground Base'!L$154*(1+GroundFuelSurcharge),2),ROUND(((1-GroundZone54Discount)*'Ground Base'!L5)*(1+GroundFuelSurcharge),2)))*(1+FedEx_Markup),2)</f>
        <v>44.15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4</v>
      </c>
      <c r="B11" s="218">
        <f>ROUND((IF('Ground Base'!B$154&gt;ROUND(((1-GroundCommDiscount01to05-GroundCommIncentive)*'Ground Base'!B6),2),ROUND('Ground Base'!B$154*(1+GroundFuelSurcharge),2),ROUND(((1-GroundCommDiscount01to05-GroundCommIncentive)*'Ground Base'!B6)*(1+GroundFuelSurcharge),2)))*(1+FedEx_Markup),2)</f>
        <v>15.72</v>
      </c>
      <c r="C11" s="218">
        <f>ROUND((IF('Ground Base'!C$154&gt;ROUND(((1-GroundCommDiscount01to05-GroundCommIncentive)*'Ground Base'!C6),2),ROUND('Ground Base'!C$154*(1+GroundFuelSurcharge),2),ROUND(((1-GroundCommDiscount01to05-GroundCommIncentive)*'Ground Base'!C6)*(1+GroundFuelSurcharge),2)))*(1+FedEx_Markup),2)</f>
        <v>15.72</v>
      </c>
      <c r="D11" s="218">
        <f>ROUND((IF('Ground Base'!D$154&gt;ROUND(((1-GroundCommDiscount01to05-GroundCommIncentive)*'Ground Base'!D6),2),ROUND('Ground Base'!D$154*(1+GroundFuelSurcharge),2),ROUND(((1-GroundCommDiscount01to05-GroundCommIncentive)*'Ground Base'!D6)*(1+GroundFuelSurcharge),2)))*(1+FedEx_Markup),2)</f>
        <v>15.72</v>
      </c>
      <c r="E11" s="218">
        <f>ROUND((IF('Ground Base'!E$154&gt;ROUND(((1-GroundCommDiscount01to05-GroundCommIncentive)*'Ground Base'!E6),2),ROUND('Ground Base'!E$154*(1+GroundFuelSurcharge),2),ROUND(((1-GroundCommDiscount01to05-GroundCommIncentive)*'Ground Base'!E6)*(1+GroundFuelSurcharge),2)))*(1+FedEx_Markup),2)</f>
        <v>15.72</v>
      </c>
      <c r="F11" s="218">
        <f>ROUND((IF('Ground Base'!F$154&gt;ROUND(((1-GroundCommDiscount01to05-GroundCommIncentive)*'Ground Base'!F6),2),ROUND('Ground Base'!F$154*(1+GroundFuelSurcharge),2),ROUND(((1-GroundCommDiscount01to05-GroundCommIncentive)*'Ground Base'!F6)*(1+GroundFuelSurcharge),2)))*(1+FedEx_Markup),2)</f>
        <v>15.72</v>
      </c>
      <c r="G11" s="218">
        <f>ROUND((IF('Ground Base'!G$154&gt;ROUND(((1-GroundCommDiscount01to05-GroundCommIncentive)*'Ground Base'!G6),2),ROUND('Ground Base'!G$154*(1+GroundFuelSurcharge),2),ROUND(((1-GroundCommDiscount01to05-GroundCommIncentive)*'Ground Base'!G6)*(1+GroundFuelSurcharge),2)))*(1+FedEx_Markup),2)</f>
        <v>15.72</v>
      </c>
      <c r="H11" s="218">
        <f>ROUND((IF('Ground Base'!H$154&gt;ROUND(((1-GroundCommDiscount01to05-GroundCommIncentive)*'Ground Base'!H6),2),ROUND('Ground Base'!H$154*(1+GroundFuelSurcharge),2),ROUND(((1-GroundCommDiscount01to05-GroundCommIncentive)*'Ground Base'!H6)*(1+GroundFuelSurcharge),2)))*(1+FedEx_Markup),2)</f>
        <v>15.72</v>
      </c>
      <c r="I11" s="218">
        <f>ROUND((IF('Ground Base'!I$154&gt;ROUND(((1-GroundAKHIDiscount)*'Ground Base'!I6),2),ROUND('Ground Base'!I$154*(1+GroundFuelSurcharge),2),ROUND(((1-GroundAKHIDiscount)*'Ground Base'!I6)*(1+GroundFuelSurcharge),2)))*(1+FedEx_Markup),2)</f>
        <v>63.23</v>
      </c>
      <c r="J11" s="218">
        <f>ROUND((IF('Ground Base'!J$154&gt;ROUND(((1-GroundAKHIDiscount)*'Ground Base'!J6),2),ROUND('Ground Base'!J$154*(1+GroundFuelSurcharge),2),ROUND(((1-GroundAKHIDiscount)*'Ground Base'!J6)*(1+GroundFuelSurcharge),2)))*(1+FedEx_Markup),2)</f>
        <v>63.23</v>
      </c>
      <c r="K11" s="218">
        <f>ROUND((IF('Ground Base'!K$154&gt;ROUND(((1-GroundZone51Discount)*'Ground Base'!K6),2),ROUND('Ground Base'!K$154*(1+GroundFuelSurcharge),2),ROUND(((1-GroundZone51Discount)*'Ground Base'!K6)*(1+GroundFuelSurcharge),2)))*(1+FedEx_Markup),2)</f>
        <v>34.409999999999997</v>
      </c>
      <c r="L11" s="218">
        <f>ROUND((IF('Ground Base'!L$154&gt;ROUND(((1-GroundZone54Discount)*'Ground Base'!L6),2),ROUND('Ground Base'!L$154*(1+GroundFuelSurcharge),2),ROUND(((1-GroundZone54Discount)*'Ground Base'!L6)*(1+GroundFuelSurcharge),2)))*(1+FedEx_Markup),2)</f>
        <v>44.15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5</v>
      </c>
      <c r="B12" s="218">
        <f>ROUND((IF('Ground Base'!B$154&gt;ROUND(((1-GroundCommDiscount01to05-GroundCommIncentive)*'Ground Base'!B7),2),ROUND('Ground Base'!B$154*(1+GroundFuelSurcharge),2),ROUND(((1-GroundCommDiscount01to05-GroundCommIncentive)*'Ground Base'!B7)*(1+GroundFuelSurcharge),2)))*(1+FedEx_Markup),2)</f>
        <v>15.72</v>
      </c>
      <c r="C12" s="218">
        <f>ROUND((IF('Ground Base'!C$154&gt;ROUND(((1-GroundCommDiscount01to05-GroundCommIncentive)*'Ground Base'!C7),2),ROUND('Ground Base'!C$154*(1+GroundFuelSurcharge),2),ROUND(((1-GroundCommDiscount01to05-GroundCommIncentive)*'Ground Base'!C7)*(1+GroundFuelSurcharge),2)))*(1+FedEx_Markup),2)</f>
        <v>15.72</v>
      </c>
      <c r="D12" s="218">
        <f>ROUND((IF('Ground Base'!D$154&gt;ROUND(((1-GroundCommDiscount01to05-GroundCommIncentive)*'Ground Base'!D7),2),ROUND('Ground Base'!D$154*(1+GroundFuelSurcharge),2),ROUND(((1-GroundCommDiscount01to05-GroundCommIncentive)*'Ground Base'!D7)*(1+GroundFuelSurcharge),2)))*(1+FedEx_Markup),2)</f>
        <v>15.72</v>
      </c>
      <c r="E12" s="218">
        <f>ROUND((IF('Ground Base'!E$154&gt;ROUND(((1-GroundCommDiscount01to05-GroundCommIncentive)*'Ground Base'!E7),2),ROUND('Ground Base'!E$154*(1+GroundFuelSurcharge),2),ROUND(((1-GroundCommDiscount01to05-GroundCommIncentive)*'Ground Base'!E7)*(1+GroundFuelSurcharge),2)))*(1+FedEx_Markup),2)</f>
        <v>15.72</v>
      </c>
      <c r="F12" s="218">
        <f>ROUND((IF('Ground Base'!F$154&gt;ROUND(((1-GroundCommDiscount01to05-GroundCommIncentive)*'Ground Base'!F7),2),ROUND('Ground Base'!F$154*(1+GroundFuelSurcharge),2),ROUND(((1-GroundCommDiscount01to05-GroundCommIncentive)*'Ground Base'!F7)*(1+GroundFuelSurcharge),2)))*(1+FedEx_Markup),2)</f>
        <v>15.72</v>
      </c>
      <c r="G12" s="218">
        <f>ROUND((IF('Ground Base'!G$154&gt;ROUND(((1-GroundCommDiscount01to05-GroundCommIncentive)*'Ground Base'!G7),2),ROUND('Ground Base'!G$154*(1+GroundFuelSurcharge),2),ROUND(((1-GroundCommDiscount01to05-GroundCommIncentive)*'Ground Base'!G7)*(1+GroundFuelSurcharge),2)))*(1+FedEx_Markup),2)</f>
        <v>15.72</v>
      </c>
      <c r="H12" s="218">
        <f>ROUND((IF('Ground Base'!H$154&gt;ROUND(((1-GroundCommDiscount01to05-GroundCommIncentive)*'Ground Base'!H7),2),ROUND('Ground Base'!H$154*(1+GroundFuelSurcharge),2),ROUND(((1-GroundCommDiscount01to05-GroundCommIncentive)*'Ground Base'!H7)*(1+GroundFuelSurcharge),2)))*(1+FedEx_Markup),2)</f>
        <v>15.72</v>
      </c>
      <c r="I12" s="218">
        <f>ROUND((IF('Ground Base'!I$154&gt;ROUND(((1-GroundAKHIDiscount)*'Ground Base'!I7),2),ROUND('Ground Base'!I$154*(1+GroundFuelSurcharge),2),ROUND(((1-GroundAKHIDiscount)*'Ground Base'!I7)*(1+GroundFuelSurcharge),2)))*(1+FedEx_Markup),2)</f>
        <v>68.540000000000006</v>
      </c>
      <c r="J12" s="218">
        <f>ROUND((IF('Ground Base'!J$154&gt;ROUND(((1-GroundAKHIDiscount)*'Ground Base'!J7),2),ROUND('Ground Base'!J$154*(1+GroundFuelSurcharge),2),ROUND(((1-GroundAKHIDiscount)*'Ground Base'!J7)*(1+GroundFuelSurcharge),2)))*(1+FedEx_Markup),2)</f>
        <v>68.540000000000006</v>
      </c>
      <c r="K12" s="218">
        <f>ROUND((IF('Ground Base'!K$154&gt;ROUND(((1-GroundZone51Discount)*'Ground Base'!K7),2),ROUND('Ground Base'!K$154*(1+GroundFuelSurcharge),2),ROUND(((1-GroundZone51Discount)*'Ground Base'!K7)*(1+GroundFuelSurcharge),2)))*(1+FedEx_Markup),2)</f>
        <v>34.409999999999997</v>
      </c>
      <c r="L12" s="218">
        <f>ROUND((IF('Ground Base'!L$154&gt;ROUND(((1-GroundZone54Discount)*'Ground Base'!L7),2),ROUND('Ground Base'!L$154*(1+GroundFuelSurcharge),2),ROUND(((1-GroundZone54Discount)*'Ground Base'!L7)*(1+GroundFuelSurcharge),2)))*(1+FedEx_Markup),2)</f>
        <v>44.15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6</v>
      </c>
      <c r="B13" s="218">
        <f>ROUND((IF('Ground Base'!B$154&gt;ROUND(((1-GroundCommDiscount06to10-GroundCommIncentive)*'Ground Base'!B8),2),ROUND('Ground Base'!B$154*(1+GroundFuelSurcharge),2),ROUND(((1-GroundCommDiscount06to10-GroundCommIncentive)*'Ground Base'!B8)*(1+GroundFuelSurcharge),2)))*(1+FedEx_Markup),2)</f>
        <v>15.72</v>
      </c>
      <c r="C13" s="218">
        <f>ROUND((IF('Ground Base'!C$154&gt;ROUND(((1-GroundCommDiscount06to10-GroundCommIncentive)*'Ground Base'!C8),2),ROUND('Ground Base'!C$154*(1+GroundFuelSurcharge),2),ROUND(((1-GroundCommDiscount06to10-GroundCommIncentive)*'Ground Base'!C8)*(1+GroundFuelSurcharge),2)))*(1+FedEx_Markup),2)</f>
        <v>15.72</v>
      </c>
      <c r="D13" s="218">
        <f>ROUND((IF('Ground Base'!D$154&gt;ROUND(((1-GroundCommDiscount06to10-GroundCommIncentive)*'Ground Base'!D8),2),ROUND('Ground Base'!D$154*(1+GroundFuelSurcharge),2),ROUND(((1-GroundCommDiscount06to10-GroundCommIncentive)*'Ground Base'!D8)*(1+GroundFuelSurcharge),2)))*(1+FedEx_Markup),2)</f>
        <v>15.72</v>
      </c>
      <c r="E13" s="218">
        <f>ROUND((IF('Ground Base'!E$154&gt;ROUND(((1-GroundCommDiscount06to10-GroundCommIncentive)*'Ground Base'!E8),2),ROUND('Ground Base'!E$154*(1+GroundFuelSurcharge),2),ROUND(((1-GroundCommDiscount06to10-GroundCommIncentive)*'Ground Base'!E8)*(1+GroundFuelSurcharge),2)))*(1+FedEx_Markup),2)</f>
        <v>15.72</v>
      </c>
      <c r="F13" s="218">
        <f>ROUND((IF('Ground Base'!F$154&gt;ROUND(((1-GroundCommDiscount06to10-GroundCommIncentive)*'Ground Base'!F8),2),ROUND('Ground Base'!F$154*(1+GroundFuelSurcharge),2),ROUND(((1-GroundCommDiscount06to10-GroundCommIncentive)*'Ground Base'!F8)*(1+GroundFuelSurcharge),2)))*(1+FedEx_Markup),2)</f>
        <v>15.72</v>
      </c>
      <c r="G13" s="218">
        <f>ROUND((IF('Ground Base'!G$154&gt;ROUND(((1-GroundCommDiscount06to10-GroundCommIncentive)*'Ground Base'!G8),2),ROUND('Ground Base'!G$154*(1+GroundFuelSurcharge),2),ROUND(((1-GroundCommDiscount06to10-GroundCommIncentive)*'Ground Base'!G8)*(1+GroundFuelSurcharge),2)))*(1+FedEx_Markup),2)</f>
        <v>15.72</v>
      </c>
      <c r="H13" s="218">
        <f>ROUND((IF('Ground Base'!H$154&gt;ROUND(((1-GroundCommDiscount06to10-GroundCommIncentive)*'Ground Base'!H8),2),ROUND('Ground Base'!H$154*(1+GroundFuelSurcharge),2),ROUND(((1-GroundCommDiscount06to10-GroundCommIncentive)*'Ground Base'!H8)*(1+GroundFuelSurcharge),2)))*(1+FedEx_Markup),2)</f>
        <v>16.190000000000001</v>
      </c>
      <c r="I13" s="218">
        <f>ROUND((IF('Ground Base'!I$154&gt;ROUND(((1-GroundAKHIDiscount)*'Ground Base'!I8),2),ROUND('Ground Base'!I$154*(1+GroundFuelSurcharge),2),ROUND(((1-GroundAKHIDiscount)*'Ground Base'!I8)*(1+GroundFuelSurcharge),2)))*(1+FedEx_Markup),2)</f>
        <v>73.97</v>
      </c>
      <c r="J13" s="218">
        <f>ROUND((IF('Ground Base'!J$154&gt;ROUND(((1-GroundAKHIDiscount)*'Ground Base'!J8),2),ROUND('Ground Base'!J$154*(1+GroundFuelSurcharge),2),ROUND(((1-GroundAKHIDiscount)*'Ground Base'!J8)*(1+GroundFuelSurcharge),2)))*(1+FedEx_Markup),2)</f>
        <v>73.97</v>
      </c>
      <c r="K13" s="218">
        <f>ROUND((IF('Ground Base'!K$154&gt;ROUND(((1-GroundZone51Discount)*'Ground Base'!K8),2),ROUND('Ground Base'!K$154*(1+GroundFuelSurcharge),2),ROUND(((1-GroundZone51Discount)*'Ground Base'!K8)*(1+GroundFuelSurcharge),2)))*(1+FedEx_Markup),2)</f>
        <v>34.409999999999997</v>
      </c>
      <c r="L13" s="218">
        <f>ROUND((IF('Ground Base'!L$154&gt;ROUND(((1-GroundZone54Discount)*'Ground Base'!L8),2),ROUND('Ground Base'!L$154*(1+GroundFuelSurcharge),2),ROUND(((1-GroundZone54Discount)*'Ground Base'!L8)*(1+GroundFuelSurcharge),2)))*(1+FedEx_Markup),2)</f>
        <v>44.15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7</v>
      </c>
      <c r="B14" s="218">
        <f>ROUND((IF('Ground Base'!B$154&gt;ROUND(((1-GroundCommDiscount06to10-GroundCommIncentive)*'Ground Base'!B9),2),ROUND('Ground Base'!B$154*(1+GroundFuelSurcharge),2),ROUND(((1-GroundCommDiscount06to10-GroundCommIncentive)*'Ground Base'!B9)*(1+GroundFuelSurcharge),2)))*(1+FedEx_Markup),2)</f>
        <v>15.72</v>
      </c>
      <c r="C14" s="218">
        <f>ROUND((IF('Ground Base'!C$154&gt;ROUND(((1-GroundCommDiscount06to10-GroundCommIncentive)*'Ground Base'!C9),2),ROUND('Ground Base'!C$154*(1+GroundFuelSurcharge),2),ROUND(((1-GroundCommDiscount06to10-GroundCommIncentive)*'Ground Base'!C9)*(1+GroundFuelSurcharge),2)))*(1+FedEx_Markup),2)</f>
        <v>15.72</v>
      </c>
      <c r="D14" s="218">
        <f>ROUND((IF('Ground Base'!D$154&gt;ROUND(((1-GroundCommDiscount06to10-GroundCommIncentive)*'Ground Base'!D9),2),ROUND('Ground Base'!D$154*(1+GroundFuelSurcharge),2),ROUND(((1-GroundCommDiscount06to10-GroundCommIncentive)*'Ground Base'!D9)*(1+GroundFuelSurcharge),2)))*(1+FedEx_Markup),2)</f>
        <v>15.72</v>
      </c>
      <c r="E14" s="218">
        <f>ROUND((IF('Ground Base'!E$154&gt;ROUND(((1-GroundCommDiscount06to10-GroundCommIncentive)*'Ground Base'!E9),2),ROUND('Ground Base'!E$154*(1+GroundFuelSurcharge),2),ROUND(((1-GroundCommDiscount06to10-GroundCommIncentive)*'Ground Base'!E9)*(1+GroundFuelSurcharge),2)))*(1+FedEx_Markup),2)</f>
        <v>15.72</v>
      </c>
      <c r="F14" s="218">
        <f>ROUND((IF('Ground Base'!F$154&gt;ROUND(((1-GroundCommDiscount06to10-GroundCommIncentive)*'Ground Base'!F9),2),ROUND('Ground Base'!F$154*(1+GroundFuelSurcharge),2),ROUND(((1-GroundCommDiscount06to10-GroundCommIncentive)*'Ground Base'!F9)*(1+GroundFuelSurcharge),2)))*(1+FedEx_Markup),2)</f>
        <v>15.72</v>
      </c>
      <c r="G14" s="218">
        <f>ROUND((IF('Ground Base'!G$154&gt;ROUND(((1-GroundCommDiscount06to10-GroundCommIncentive)*'Ground Base'!G9),2),ROUND('Ground Base'!G$154*(1+GroundFuelSurcharge),2),ROUND(((1-GroundCommDiscount06to10-GroundCommIncentive)*'Ground Base'!G9)*(1+GroundFuelSurcharge),2)))*(1+FedEx_Markup),2)</f>
        <v>15.72</v>
      </c>
      <c r="H14" s="218">
        <f>ROUND((IF('Ground Base'!H$154&gt;ROUND(((1-GroundCommDiscount06to10-GroundCommIncentive)*'Ground Base'!H9),2),ROUND('Ground Base'!H$154*(1+GroundFuelSurcharge),2),ROUND(((1-GroundCommDiscount06to10-GroundCommIncentive)*'Ground Base'!H9)*(1+GroundFuelSurcharge),2)))*(1+FedEx_Markup),2)</f>
        <v>16.8</v>
      </c>
      <c r="I14" s="218">
        <f>ROUND((IF('Ground Base'!I$154&gt;ROUND(((1-GroundAKHIDiscount)*'Ground Base'!I9),2),ROUND('Ground Base'!I$154*(1+GroundFuelSurcharge),2),ROUND(((1-GroundAKHIDiscount)*'Ground Base'!I9)*(1+GroundFuelSurcharge),2)))*(1+FedEx_Markup),2)</f>
        <v>78.97</v>
      </c>
      <c r="J14" s="218">
        <f>ROUND((IF('Ground Base'!J$154&gt;ROUND(((1-GroundAKHIDiscount)*'Ground Base'!J9),2),ROUND('Ground Base'!J$154*(1+GroundFuelSurcharge),2),ROUND(((1-GroundAKHIDiscount)*'Ground Base'!J9)*(1+GroundFuelSurcharge),2)))*(1+FedEx_Markup),2)</f>
        <v>78.97</v>
      </c>
      <c r="K14" s="218">
        <f>ROUND((IF('Ground Base'!K$154&gt;ROUND(((1-GroundZone51Discount)*'Ground Base'!K9),2),ROUND('Ground Base'!K$154*(1+GroundFuelSurcharge),2),ROUND(((1-GroundZone51Discount)*'Ground Base'!K9)*(1+GroundFuelSurcharge),2)))*(1+FedEx_Markup),2)</f>
        <v>34.409999999999997</v>
      </c>
      <c r="L14" s="218">
        <f>ROUND((IF('Ground Base'!L$154&gt;ROUND(((1-GroundZone54Discount)*'Ground Base'!L9),2),ROUND('Ground Base'!L$154*(1+GroundFuelSurcharge),2),ROUND(((1-GroundZone54Discount)*'Ground Base'!L9)*(1+GroundFuelSurcharge),2)))*(1+FedEx_Markup),2)</f>
        <v>44.15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8</v>
      </c>
      <c r="B15" s="218">
        <f>ROUND((IF('Ground Base'!B$154&gt;ROUND(((1-GroundCommDiscount06to10-GroundCommIncentive)*'Ground Base'!B10),2),ROUND('Ground Base'!B$154*(1+GroundFuelSurcharge),2),ROUND(((1-GroundCommDiscount06to10-GroundCommIncentive)*'Ground Base'!B10)*(1+GroundFuelSurcharge),2)))*(1+FedEx_Markup),2)</f>
        <v>15.72</v>
      </c>
      <c r="C15" s="218">
        <f>ROUND((IF('Ground Base'!C$154&gt;ROUND(((1-GroundCommDiscount06to10-GroundCommIncentive)*'Ground Base'!C10),2),ROUND('Ground Base'!C$154*(1+GroundFuelSurcharge),2),ROUND(((1-GroundCommDiscount06to10-GroundCommIncentive)*'Ground Base'!C10)*(1+GroundFuelSurcharge),2)))*(1+FedEx_Markup),2)</f>
        <v>15.72</v>
      </c>
      <c r="D15" s="218">
        <f>ROUND((IF('Ground Base'!D$154&gt;ROUND(((1-GroundCommDiscount06to10-GroundCommIncentive)*'Ground Base'!D10),2),ROUND('Ground Base'!D$154*(1+GroundFuelSurcharge),2),ROUND(((1-GroundCommDiscount06to10-GroundCommIncentive)*'Ground Base'!D10)*(1+GroundFuelSurcharge),2)))*(1+FedEx_Markup),2)</f>
        <v>15.72</v>
      </c>
      <c r="E15" s="218">
        <f>ROUND((IF('Ground Base'!E$154&gt;ROUND(((1-GroundCommDiscount06to10-GroundCommIncentive)*'Ground Base'!E10),2),ROUND('Ground Base'!E$154*(1+GroundFuelSurcharge),2),ROUND(((1-GroundCommDiscount06to10-GroundCommIncentive)*'Ground Base'!E10)*(1+GroundFuelSurcharge),2)))*(1+FedEx_Markup),2)</f>
        <v>15.72</v>
      </c>
      <c r="F15" s="218">
        <f>ROUND((IF('Ground Base'!F$154&gt;ROUND(((1-GroundCommDiscount06to10-GroundCommIncentive)*'Ground Base'!F10),2),ROUND('Ground Base'!F$154*(1+GroundFuelSurcharge),2),ROUND(((1-GroundCommDiscount06to10-GroundCommIncentive)*'Ground Base'!F10)*(1+GroundFuelSurcharge),2)))*(1+FedEx_Markup),2)</f>
        <v>15.72</v>
      </c>
      <c r="G15" s="218">
        <f>ROUND((IF('Ground Base'!G$154&gt;ROUND(((1-GroundCommDiscount06to10-GroundCommIncentive)*'Ground Base'!G10),2),ROUND('Ground Base'!G$154*(1+GroundFuelSurcharge),2),ROUND(((1-GroundCommDiscount06to10-GroundCommIncentive)*'Ground Base'!G10)*(1+GroundFuelSurcharge),2)))*(1+FedEx_Markup),2)</f>
        <v>16.329999999999998</v>
      </c>
      <c r="H15" s="218">
        <f>ROUND((IF('Ground Base'!H$154&gt;ROUND(((1-GroundCommDiscount06to10-GroundCommIncentive)*'Ground Base'!H10),2),ROUND('Ground Base'!H$154*(1+GroundFuelSurcharge),2),ROUND(((1-GroundCommDiscount06to10-GroundCommIncentive)*'Ground Base'!H10)*(1+GroundFuelSurcharge),2)))*(1+FedEx_Markup),2)</f>
        <v>17.54</v>
      </c>
      <c r="I15" s="218">
        <f>ROUND((IF('Ground Base'!I$154&gt;ROUND(((1-GroundAKHIDiscount)*'Ground Base'!I10),2),ROUND('Ground Base'!I$154*(1+GroundFuelSurcharge),2),ROUND(((1-GroundAKHIDiscount)*'Ground Base'!I10)*(1+GroundFuelSurcharge),2)))*(1+FedEx_Markup),2)</f>
        <v>82.06</v>
      </c>
      <c r="J15" s="218">
        <f>ROUND((IF('Ground Base'!J$154&gt;ROUND(((1-GroundAKHIDiscount)*'Ground Base'!J10),2),ROUND('Ground Base'!J$154*(1+GroundFuelSurcharge),2),ROUND(((1-GroundAKHIDiscount)*'Ground Base'!J10)*(1+GroundFuelSurcharge),2)))*(1+FedEx_Markup),2)</f>
        <v>82.06</v>
      </c>
      <c r="K15" s="218">
        <f>ROUND((IF('Ground Base'!K$154&gt;ROUND(((1-GroundZone51Discount)*'Ground Base'!K10),2),ROUND('Ground Base'!K$154*(1+GroundFuelSurcharge),2),ROUND(((1-GroundZone51Discount)*'Ground Base'!K10)*(1+GroundFuelSurcharge),2)))*(1+FedEx_Markup),2)</f>
        <v>34.409999999999997</v>
      </c>
      <c r="L15" s="218">
        <f>ROUND((IF('Ground Base'!L$154&gt;ROUND(((1-GroundZone54Discount)*'Ground Base'!L10),2),ROUND('Ground Base'!L$154*(1+GroundFuelSurcharge),2),ROUND(((1-GroundZone54Discount)*'Ground Base'!L10)*(1+GroundFuelSurcharge),2)))*(1+FedEx_Markup),2)</f>
        <v>44.15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9</v>
      </c>
      <c r="B16" s="218">
        <f>ROUND((IF('Ground Base'!B$154&gt;ROUND(((1-GroundCommDiscount06to10-GroundCommIncentive)*'Ground Base'!B11),2),ROUND('Ground Base'!B$154*(1+GroundFuelSurcharge),2),ROUND(((1-GroundCommDiscount06to10-GroundCommIncentive)*'Ground Base'!B11)*(1+GroundFuelSurcharge),2)))*(1+FedEx_Markup),2)</f>
        <v>15.72</v>
      </c>
      <c r="C16" s="218">
        <f>ROUND((IF('Ground Base'!C$154&gt;ROUND(((1-GroundCommDiscount06to10-GroundCommIncentive)*'Ground Base'!C11),2),ROUND('Ground Base'!C$154*(1+GroundFuelSurcharge),2),ROUND(((1-GroundCommDiscount06to10-GroundCommIncentive)*'Ground Base'!C11)*(1+GroundFuelSurcharge),2)))*(1+FedEx_Markup),2)</f>
        <v>15.72</v>
      </c>
      <c r="D16" s="218">
        <f>ROUND((IF('Ground Base'!D$154&gt;ROUND(((1-GroundCommDiscount06to10-GroundCommIncentive)*'Ground Base'!D11),2),ROUND('Ground Base'!D$154*(1+GroundFuelSurcharge),2),ROUND(((1-GroundCommDiscount06to10-GroundCommIncentive)*'Ground Base'!D11)*(1+GroundFuelSurcharge),2)))*(1+FedEx_Markup),2)</f>
        <v>15.72</v>
      </c>
      <c r="E16" s="218">
        <f>ROUND((IF('Ground Base'!E$154&gt;ROUND(((1-GroundCommDiscount06to10-GroundCommIncentive)*'Ground Base'!E11),2),ROUND('Ground Base'!E$154*(1+GroundFuelSurcharge),2),ROUND(((1-GroundCommDiscount06to10-GroundCommIncentive)*'Ground Base'!E11)*(1+GroundFuelSurcharge),2)))*(1+FedEx_Markup),2)</f>
        <v>15.72</v>
      </c>
      <c r="F16" s="218">
        <f>ROUND((IF('Ground Base'!F$154&gt;ROUND(((1-GroundCommDiscount06to10-GroundCommIncentive)*'Ground Base'!F11),2),ROUND('Ground Base'!F$154*(1+GroundFuelSurcharge),2),ROUND(((1-GroundCommDiscount06to10-GroundCommIncentive)*'Ground Base'!F11)*(1+GroundFuelSurcharge),2)))*(1+FedEx_Markup),2)</f>
        <v>15.72</v>
      </c>
      <c r="G16" s="218">
        <f>ROUND((IF('Ground Base'!G$154&gt;ROUND(((1-GroundCommDiscount06to10-GroundCommIncentive)*'Ground Base'!G11),2),ROUND('Ground Base'!G$154*(1+GroundFuelSurcharge),2),ROUND(((1-GroundCommDiscount06to10-GroundCommIncentive)*'Ground Base'!G11)*(1+GroundFuelSurcharge),2)))*(1+FedEx_Markup),2)</f>
        <v>17.010000000000002</v>
      </c>
      <c r="H16" s="218">
        <f>ROUND((IF('Ground Base'!H$154&gt;ROUND(((1-GroundCommDiscount06to10-GroundCommIncentive)*'Ground Base'!H11),2),ROUND('Ground Base'!H$154*(1+GroundFuelSurcharge),2),ROUND(((1-GroundCommDiscount06to10-GroundCommIncentive)*'Ground Base'!H11)*(1+GroundFuelSurcharge),2)))*(1+FedEx_Markup),2)</f>
        <v>18.47</v>
      </c>
      <c r="I16" s="218">
        <f>ROUND((IF('Ground Base'!I$154&gt;ROUND(((1-GroundAKHIDiscount)*'Ground Base'!I11),2),ROUND('Ground Base'!I$154*(1+GroundFuelSurcharge),2),ROUND(((1-GroundAKHIDiscount)*'Ground Base'!I11)*(1+GroundFuelSurcharge),2)))*(1+FedEx_Markup),2)</f>
        <v>87.84</v>
      </c>
      <c r="J16" s="218">
        <f>ROUND((IF('Ground Base'!J$154&gt;ROUND(((1-GroundAKHIDiscount)*'Ground Base'!J11),2),ROUND('Ground Base'!J$154*(1+GroundFuelSurcharge),2),ROUND(((1-GroundAKHIDiscount)*'Ground Base'!J11)*(1+GroundFuelSurcharge),2)))*(1+FedEx_Markup),2)</f>
        <v>87.84</v>
      </c>
      <c r="K16" s="218">
        <f>ROUND((IF('Ground Base'!K$154&gt;ROUND(((1-GroundZone51Discount)*'Ground Base'!K11),2),ROUND('Ground Base'!K$154*(1+GroundFuelSurcharge),2),ROUND(((1-GroundZone51Discount)*'Ground Base'!K11)*(1+GroundFuelSurcharge),2)))*(1+FedEx_Markup),2)</f>
        <v>34.409999999999997</v>
      </c>
      <c r="L16" s="218">
        <f>ROUND((IF('Ground Base'!L$154&gt;ROUND(((1-GroundZone54Discount)*'Ground Base'!L11),2),ROUND('Ground Base'!L$154*(1+GroundFuelSurcharge),2),ROUND(((1-GroundZone54Discount)*'Ground Base'!L11)*(1+GroundFuelSurcharge),2)))*(1+FedEx_Markup),2)</f>
        <v>44.15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10</v>
      </c>
      <c r="B17" s="218">
        <f>ROUND((IF('Ground Base'!B$154&gt;ROUND(((1-GroundCommDiscount06to10-GroundCommIncentive)*'Ground Base'!B12),2),ROUND('Ground Base'!B$154*(1+GroundFuelSurcharge),2),ROUND(((1-GroundCommDiscount06to10-GroundCommIncentive)*'Ground Base'!B12)*(1+GroundFuelSurcharge),2)))*(1+FedEx_Markup),2)</f>
        <v>15.72</v>
      </c>
      <c r="C17" s="218">
        <f>ROUND((IF('Ground Base'!C$154&gt;ROUND(((1-GroundCommDiscount06to10-GroundCommIncentive)*'Ground Base'!C12),2),ROUND('Ground Base'!C$154*(1+GroundFuelSurcharge),2),ROUND(((1-GroundCommDiscount06to10-GroundCommIncentive)*'Ground Base'!C12)*(1+GroundFuelSurcharge),2)))*(1+FedEx_Markup),2)</f>
        <v>15.72</v>
      </c>
      <c r="D17" s="218">
        <f>ROUND((IF('Ground Base'!D$154&gt;ROUND(((1-GroundCommDiscount06to10-GroundCommIncentive)*'Ground Base'!D12),2),ROUND('Ground Base'!D$154*(1+GroundFuelSurcharge),2),ROUND(((1-GroundCommDiscount06to10-GroundCommIncentive)*'Ground Base'!D12)*(1+GroundFuelSurcharge),2)))*(1+FedEx_Markup),2)</f>
        <v>15.72</v>
      </c>
      <c r="E17" s="218">
        <f>ROUND((IF('Ground Base'!E$154&gt;ROUND(((1-GroundCommDiscount06to10-GroundCommIncentive)*'Ground Base'!E12),2),ROUND('Ground Base'!E$154*(1+GroundFuelSurcharge),2),ROUND(((1-GroundCommDiscount06to10-GroundCommIncentive)*'Ground Base'!E12)*(1+GroundFuelSurcharge),2)))*(1+FedEx_Markup),2)</f>
        <v>15.72</v>
      </c>
      <c r="F17" s="218">
        <f>ROUND((IF('Ground Base'!F$154&gt;ROUND(((1-GroundCommDiscount06to10-GroundCommIncentive)*'Ground Base'!F12),2),ROUND('Ground Base'!F$154*(1+GroundFuelSurcharge),2),ROUND(((1-GroundCommDiscount06to10-GroundCommIncentive)*'Ground Base'!F12)*(1+GroundFuelSurcharge),2)))*(1+FedEx_Markup),2)</f>
        <v>15.74</v>
      </c>
      <c r="G17" s="218">
        <f>ROUND((IF('Ground Base'!G$154&gt;ROUND(((1-GroundCommDiscount06to10-GroundCommIncentive)*'Ground Base'!G12),2),ROUND('Ground Base'!G$154*(1+GroundFuelSurcharge),2),ROUND(((1-GroundCommDiscount06to10-GroundCommIncentive)*'Ground Base'!G12)*(1+GroundFuelSurcharge),2)))*(1+FedEx_Markup),2)</f>
        <v>17.809999999999999</v>
      </c>
      <c r="H17" s="218">
        <f>ROUND((IF('Ground Base'!H$154&gt;ROUND(((1-GroundCommDiscount06to10-GroundCommIncentive)*'Ground Base'!H12),2),ROUND('Ground Base'!H$154*(1+GroundFuelSurcharge),2),ROUND(((1-GroundCommDiscount06to10-GroundCommIncentive)*'Ground Base'!H12)*(1+GroundFuelSurcharge),2)))*(1+FedEx_Markup),2)</f>
        <v>19.690000000000001</v>
      </c>
      <c r="I17" s="218">
        <f>ROUND((IF('Ground Base'!I$154&gt;ROUND(((1-GroundAKHIDiscount)*'Ground Base'!I12),2),ROUND('Ground Base'!I$154*(1+GroundFuelSurcharge),2),ROUND(((1-GroundAKHIDiscount)*'Ground Base'!I12)*(1+GroundFuelSurcharge),2)))*(1+FedEx_Markup),2)</f>
        <v>93.33</v>
      </c>
      <c r="J17" s="218">
        <f>ROUND((IF('Ground Base'!J$154&gt;ROUND(((1-GroundAKHIDiscount)*'Ground Base'!J12),2),ROUND('Ground Base'!J$154*(1+GroundFuelSurcharge),2),ROUND(((1-GroundAKHIDiscount)*'Ground Base'!J12)*(1+GroundFuelSurcharge),2)))*(1+FedEx_Markup),2)</f>
        <v>93.33</v>
      </c>
      <c r="K17" s="218">
        <f>ROUND((IF('Ground Base'!K$154&gt;ROUND(((1-GroundZone51Discount)*'Ground Base'!K12),2),ROUND('Ground Base'!K$154*(1+GroundFuelSurcharge),2),ROUND(((1-GroundZone51Discount)*'Ground Base'!K12)*(1+GroundFuelSurcharge),2)))*(1+FedEx_Markup),2)</f>
        <v>34.409999999999997</v>
      </c>
      <c r="L17" s="218">
        <f>ROUND((IF('Ground Base'!L$154&gt;ROUND(((1-GroundZone54Discount)*'Ground Base'!L12),2),ROUND('Ground Base'!L$154*(1+GroundFuelSurcharge),2),ROUND(((1-GroundZone54Discount)*'Ground Base'!L12)*(1+GroundFuelSurcharge),2)))*(1+FedEx_Markup),2)</f>
        <v>44.15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11</v>
      </c>
      <c r="B18" s="218">
        <f>ROUND((IF('Ground Base'!B$154&gt;ROUND(((1-GroundCommDiscount11to20-GroundCommIncentive)*'Ground Base'!B13),2),ROUND('Ground Base'!B$154*(1+GroundFuelSurcharge),2),ROUND(((1-GroundCommDiscount11to20-GroundCommIncentive)*'Ground Base'!B13)*(1+GroundFuelSurcharge),2)))*(1+FedEx_Markup),2)</f>
        <v>15.72</v>
      </c>
      <c r="C18" s="218">
        <f>ROUND((IF('Ground Base'!C$154&gt;ROUND(((1-GroundCommDiscount11to20-GroundCommIncentive)*'Ground Base'!C13),2),ROUND('Ground Base'!C$154*(1+GroundFuelSurcharge),2),ROUND(((1-GroundCommDiscount11to20-GroundCommIncentive)*'Ground Base'!C13)*(1+GroundFuelSurcharge),2)))*(1+FedEx_Markup),2)</f>
        <v>15.72</v>
      </c>
      <c r="D18" s="218">
        <f>ROUND((IF('Ground Base'!D$154&gt;ROUND(((1-GroundCommDiscount11to20-GroundCommIncentive)*'Ground Base'!D13),2),ROUND('Ground Base'!D$154*(1+GroundFuelSurcharge),2),ROUND(((1-GroundCommDiscount11to20-GroundCommIncentive)*'Ground Base'!D13)*(1+GroundFuelSurcharge),2)))*(1+FedEx_Markup),2)</f>
        <v>15.72</v>
      </c>
      <c r="E18" s="218">
        <f>ROUND((IF('Ground Base'!E$154&gt;ROUND(((1-GroundCommDiscount11to20-GroundCommIncentive)*'Ground Base'!E13),2),ROUND('Ground Base'!E$154*(1+GroundFuelSurcharge),2),ROUND(((1-GroundCommDiscount11to20-GroundCommIncentive)*'Ground Base'!E13)*(1+GroundFuelSurcharge),2)))*(1+FedEx_Markup),2)</f>
        <v>15.72</v>
      </c>
      <c r="F18" s="218">
        <f>ROUND((IF('Ground Base'!F$154&gt;ROUND(((1-GroundCommDiscount11to20-GroundCommIncentive)*'Ground Base'!F13),2),ROUND('Ground Base'!F$154*(1+GroundFuelSurcharge),2),ROUND(((1-GroundCommDiscount11to20-GroundCommIncentive)*'Ground Base'!F13)*(1+GroundFuelSurcharge),2)))*(1+FedEx_Markup),2)</f>
        <v>15.72</v>
      </c>
      <c r="G18" s="218">
        <f>ROUND((IF('Ground Base'!G$154&gt;ROUND(((1-GroundCommDiscount11to20-GroundCommIncentive)*'Ground Base'!G13),2),ROUND('Ground Base'!G$154*(1+GroundFuelSurcharge),2),ROUND(((1-GroundCommDiscount11to20-GroundCommIncentive)*'Ground Base'!G13)*(1+GroundFuelSurcharge),2)))*(1+FedEx_Markup),2)</f>
        <v>18.48</v>
      </c>
      <c r="H18" s="218">
        <f>ROUND((IF('Ground Base'!H$154&gt;ROUND(((1-GroundCommDiscount11to20-GroundCommIncentive)*'Ground Base'!H13),2),ROUND('Ground Base'!H$154*(1+GroundFuelSurcharge),2),ROUND(((1-GroundCommDiscount11to20-GroundCommIncentive)*'Ground Base'!H13)*(1+GroundFuelSurcharge),2)))*(1+FedEx_Markup),2)</f>
        <v>20.079999999999998</v>
      </c>
      <c r="I18" s="218">
        <f>ROUND((IF('Ground Base'!I$154&gt;ROUND(((1-GroundAKHIDiscount)*'Ground Base'!I13),2),ROUND('Ground Base'!I$154*(1+GroundFuelSurcharge),2),ROUND(((1-GroundAKHIDiscount)*'Ground Base'!I13)*(1+GroundFuelSurcharge),2)))*(1+FedEx_Markup),2)</f>
        <v>99.41</v>
      </c>
      <c r="J18" s="218">
        <f>ROUND((IF('Ground Base'!J$154&gt;ROUND(((1-GroundAKHIDiscount)*'Ground Base'!J13),2),ROUND('Ground Base'!J$154*(1+GroundFuelSurcharge),2),ROUND(((1-GroundAKHIDiscount)*'Ground Base'!J13)*(1+GroundFuelSurcharge),2)))*(1+FedEx_Markup),2)</f>
        <v>99.41</v>
      </c>
      <c r="K18" s="218">
        <f>ROUND((IF('Ground Base'!K$154&gt;ROUND(((1-GroundZone51Discount)*'Ground Base'!K13),2),ROUND('Ground Base'!K$154*(1+GroundFuelSurcharge),2),ROUND(((1-GroundZone51Discount)*'Ground Base'!K13)*(1+GroundFuelSurcharge),2)))*(1+FedEx_Markup),2)</f>
        <v>35.03</v>
      </c>
      <c r="L18" s="218">
        <f>ROUND((IF('Ground Base'!L$154&gt;ROUND(((1-GroundZone54Discount)*'Ground Base'!L13),2),ROUND('Ground Base'!L$154*(1+GroundFuelSurcharge),2),ROUND(((1-GroundZone54Discount)*'Ground Base'!L13)*(1+GroundFuelSurcharge),2)))*(1+FedEx_Markup),2)</f>
        <v>44.15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12</v>
      </c>
      <c r="B19" s="218">
        <f>ROUND((IF('Ground Base'!B$154&gt;ROUND(((1-GroundCommDiscount11to20-GroundCommIncentive)*'Ground Base'!B14),2),ROUND('Ground Base'!B$154*(1+GroundFuelSurcharge),2),ROUND(((1-GroundCommDiscount11to20-GroundCommIncentive)*'Ground Base'!B14)*(1+GroundFuelSurcharge),2)))*(1+FedEx_Markup),2)</f>
        <v>15.72</v>
      </c>
      <c r="C19" s="218">
        <f>ROUND((IF('Ground Base'!C$154&gt;ROUND(((1-GroundCommDiscount11to20-GroundCommIncentive)*'Ground Base'!C14),2),ROUND('Ground Base'!C$154*(1+GroundFuelSurcharge),2),ROUND(((1-GroundCommDiscount11to20-GroundCommIncentive)*'Ground Base'!C14)*(1+GroundFuelSurcharge),2)))*(1+FedEx_Markup),2)</f>
        <v>15.72</v>
      </c>
      <c r="D19" s="218">
        <f>ROUND((IF('Ground Base'!D$154&gt;ROUND(((1-GroundCommDiscount11to20-GroundCommIncentive)*'Ground Base'!D14),2),ROUND('Ground Base'!D$154*(1+GroundFuelSurcharge),2),ROUND(((1-GroundCommDiscount11to20-GroundCommIncentive)*'Ground Base'!D14)*(1+GroundFuelSurcharge),2)))*(1+FedEx_Markup),2)</f>
        <v>15.72</v>
      </c>
      <c r="E19" s="218">
        <f>ROUND((IF('Ground Base'!E$154&gt;ROUND(((1-GroundCommDiscount11to20-GroundCommIncentive)*'Ground Base'!E14),2),ROUND('Ground Base'!E$154*(1+GroundFuelSurcharge),2),ROUND(((1-GroundCommDiscount11to20-GroundCommIncentive)*'Ground Base'!E14)*(1+GroundFuelSurcharge),2)))*(1+FedEx_Markup),2)</f>
        <v>15.72</v>
      </c>
      <c r="F19" s="218">
        <f>ROUND((IF('Ground Base'!F$154&gt;ROUND(((1-GroundCommDiscount11to20-GroundCommIncentive)*'Ground Base'!F14),2),ROUND('Ground Base'!F$154*(1+GroundFuelSurcharge),2),ROUND(((1-GroundCommDiscount11to20-GroundCommIncentive)*'Ground Base'!F14)*(1+GroundFuelSurcharge),2)))*(1+FedEx_Markup),2)</f>
        <v>16.190000000000001</v>
      </c>
      <c r="G19" s="218">
        <f>ROUND((IF('Ground Base'!G$154&gt;ROUND(((1-GroundCommDiscount11to20-GroundCommIncentive)*'Ground Base'!G14),2),ROUND('Ground Base'!G$154*(1+GroundFuelSurcharge),2),ROUND(((1-GroundCommDiscount11to20-GroundCommIncentive)*'Ground Base'!G14)*(1+GroundFuelSurcharge),2)))*(1+FedEx_Markup),2)</f>
        <v>19.23</v>
      </c>
      <c r="H19" s="218">
        <f>ROUND((IF('Ground Base'!H$154&gt;ROUND(((1-GroundCommDiscount11to20-GroundCommIncentive)*'Ground Base'!H14),2),ROUND('Ground Base'!H$154*(1+GroundFuelSurcharge),2),ROUND(((1-GroundCommDiscount11to20-GroundCommIncentive)*'Ground Base'!H14)*(1+GroundFuelSurcharge),2)))*(1+FedEx_Markup),2)</f>
        <v>21.02</v>
      </c>
      <c r="I19" s="218">
        <f>ROUND((IF('Ground Base'!I$154&gt;ROUND(((1-GroundAKHIDiscount)*'Ground Base'!I14),2),ROUND('Ground Base'!I$154*(1+GroundFuelSurcharge),2),ROUND(((1-GroundAKHIDiscount)*'Ground Base'!I14)*(1+GroundFuelSurcharge),2)))*(1+FedEx_Markup),2)</f>
        <v>103.66</v>
      </c>
      <c r="J19" s="218">
        <f>ROUND((IF('Ground Base'!J$154&gt;ROUND(((1-GroundAKHIDiscount)*'Ground Base'!J14),2),ROUND('Ground Base'!J$154*(1+GroundFuelSurcharge),2),ROUND(((1-GroundAKHIDiscount)*'Ground Base'!J14)*(1+GroundFuelSurcharge),2)))*(1+FedEx_Markup),2)</f>
        <v>103.66</v>
      </c>
      <c r="K19" s="218">
        <f>ROUND((IF('Ground Base'!K$154&gt;ROUND(((1-GroundZone51Discount)*'Ground Base'!K14),2),ROUND('Ground Base'!K$154*(1+GroundFuelSurcharge),2),ROUND(((1-GroundZone51Discount)*'Ground Base'!K14)*(1+GroundFuelSurcharge),2)))*(1+FedEx_Markup),2)</f>
        <v>36.21</v>
      </c>
      <c r="L19" s="218">
        <f>ROUND((IF('Ground Base'!L$154&gt;ROUND(((1-GroundZone54Discount)*'Ground Base'!L14),2),ROUND('Ground Base'!L$154*(1+GroundFuelSurcharge),2),ROUND(((1-GroundZone54Discount)*'Ground Base'!L14)*(1+GroundFuelSurcharge),2)))*(1+FedEx_Markup),2)</f>
        <v>44.15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13</v>
      </c>
      <c r="B20" s="218">
        <f>ROUND((IF('Ground Base'!B$154&gt;ROUND(((1-GroundCommDiscount11to20-GroundCommIncentive)*'Ground Base'!B15),2),ROUND('Ground Base'!B$154*(1+GroundFuelSurcharge),2),ROUND(((1-GroundCommDiscount11to20-GroundCommIncentive)*'Ground Base'!B15)*(1+GroundFuelSurcharge),2)))*(1+FedEx_Markup),2)</f>
        <v>15.72</v>
      </c>
      <c r="C20" s="218">
        <f>ROUND((IF('Ground Base'!C$154&gt;ROUND(((1-GroundCommDiscount11to20-GroundCommIncentive)*'Ground Base'!C15),2),ROUND('Ground Base'!C$154*(1+GroundFuelSurcharge),2),ROUND(((1-GroundCommDiscount11to20-GroundCommIncentive)*'Ground Base'!C15)*(1+GroundFuelSurcharge),2)))*(1+FedEx_Markup),2)</f>
        <v>15.72</v>
      </c>
      <c r="D20" s="218">
        <f>ROUND((IF('Ground Base'!D$154&gt;ROUND(((1-GroundCommDiscount11to20-GroundCommIncentive)*'Ground Base'!D15),2),ROUND('Ground Base'!D$154*(1+GroundFuelSurcharge),2),ROUND(((1-GroundCommDiscount11to20-GroundCommIncentive)*'Ground Base'!D15)*(1+GroundFuelSurcharge),2)))*(1+FedEx_Markup),2)</f>
        <v>15.72</v>
      </c>
      <c r="E20" s="218">
        <f>ROUND((IF('Ground Base'!E$154&gt;ROUND(((1-GroundCommDiscount11to20-GroundCommIncentive)*'Ground Base'!E15),2),ROUND('Ground Base'!E$154*(1+GroundFuelSurcharge),2),ROUND(((1-GroundCommDiscount11to20-GroundCommIncentive)*'Ground Base'!E15)*(1+GroundFuelSurcharge),2)))*(1+FedEx_Markup),2)</f>
        <v>15.72</v>
      </c>
      <c r="F20" s="218">
        <f>ROUND((IF('Ground Base'!F$154&gt;ROUND(((1-GroundCommDiscount11to20-GroundCommIncentive)*'Ground Base'!F15),2),ROUND('Ground Base'!F$154*(1+GroundFuelSurcharge),2),ROUND(((1-GroundCommDiscount11to20-GroundCommIncentive)*'Ground Base'!F15)*(1+GroundFuelSurcharge),2)))*(1+FedEx_Markup),2)</f>
        <v>16.690000000000001</v>
      </c>
      <c r="G20" s="218">
        <f>ROUND((IF('Ground Base'!G$154&gt;ROUND(((1-GroundCommDiscount11to20-GroundCommIncentive)*'Ground Base'!G15),2),ROUND('Ground Base'!G$154*(1+GroundFuelSurcharge),2),ROUND(((1-GroundCommDiscount11to20-GroundCommIncentive)*'Ground Base'!G15)*(1+GroundFuelSurcharge),2)))*(1+FedEx_Markup),2)</f>
        <v>20.399999999999999</v>
      </c>
      <c r="H20" s="218">
        <f>ROUND((IF('Ground Base'!H$154&gt;ROUND(((1-GroundCommDiscount11to20-GroundCommIncentive)*'Ground Base'!H15),2),ROUND('Ground Base'!H$154*(1+GroundFuelSurcharge),2),ROUND(((1-GroundCommDiscount11to20-GroundCommIncentive)*'Ground Base'!H15)*(1+GroundFuelSurcharge),2)))*(1+FedEx_Markup),2)</f>
        <v>21.97</v>
      </c>
      <c r="I20" s="218">
        <f>ROUND((IF('Ground Base'!I$154&gt;ROUND(((1-GroundAKHIDiscount)*'Ground Base'!I15),2),ROUND('Ground Base'!I$154*(1+GroundFuelSurcharge),2),ROUND(((1-GroundAKHIDiscount)*'Ground Base'!I15)*(1+GroundFuelSurcharge),2)))*(1+FedEx_Markup),2)</f>
        <v>107.96</v>
      </c>
      <c r="J20" s="218">
        <f>ROUND((IF('Ground Base'!J$154&gt;ROUND(((1-GroundAKHIDiscount)*'Ground Base'!J15),2),ROUND('Ground Base'!J$154*(1+GroundFuelSurcharge),2),ROUND(((1-GroundAKHIDiscount)*'Ground Base'!J15)*(1+GroundFuelSurcharge),2)))*(1+FedEx_Markup),2)</f>
        <v>107.96</v>
      </c>
      <c r="K20" s="218">
        <f>ROUND((IF('Ground Base'!K$154&gt;ROUND(((1-GroundZone51Discount)*'Ground Base'!K15),2),ROUND('Ground Base'!K$154*(1+GroundFuelSurcharge),2),ROUND(((1-GroundZone51Discount)*'Ground Base'!K15)*(1+GroundFuelSurcharge),2)))*(1+FedEx_Markup),2)</f>
        <v>37.69</v>
      </c>
      <c r="L20" s="218">
        <f>ROUND((IF('Ground Base'!L$154&gt;ROUND(((1-GroundZone54Discount)*'Ground Base'!L15),2),ROUND('Ground Base'!L$154*(1+GroundFuelSurcharge),2),ROUND(((1-GroundZone54Discount)*'Ground Base'!L15)*(1+GroundFuelSurcharge),2)))*(1+FedEx_Markup),2)</f>
        <v>44.95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14</v>
      </c>
      <c r="B21" s="218">
        <f>ROUND((IF('Ground Base'!B$154&gt;ROUND(((1-GroundCommDiscount11to20-GroundCommIncentive)*'Ground Base'!B16),2),ROUND('Ground Base'!B$154*(1+GroundFuelSurcharge),2),ROUND(((1-GroundCommDiscount11to20-GroundCommIncentive)*'Ground Base'!B16)*(1+GroundFuelSurcharge),2)))*(1+FedEx_Markup),2)</f>
        <v>15.72</v>
      </c>
      <c r="C21" s="218">
        <f>ROUND((IF('Ground Base'!C$154&gt;ROUND(((1-GroundCommDiscount11to20-GroundCommIncentive)*'Ground Base'!C16),2),ROUND('Ground Base'!C$154*(1+GroundFuelSurcharge),2),ROUND(((1-GroundCommDiscount11to20-GroundCommIncentive)*'Ground Base'!C16)*(1+GroundFuelSurcharge),2)))*(1+FedEx_Markup),2)</f>
        <v>15.72</v>
      </c>
      <c r="D21" s="218">
        <f>ROUND((IF('Ground Base'!D$154&gt;ROUND(((1-GroundCommDiscount11to20-GroundCommIncentive)*'Ground Base'!D16),2),ROUND('Ground Base'!D$154*(1+GroundFuelSurcharge),2),ROUND(((1-GroundCommDiscount11to20-GroundCommIncentive)*'Ground Base'!D16)*(1+GroundFuelSurcharge),2)))*(1+FedEx_Markup),2)</f>
        <v>15.72</v>
      </c>
      <c r="E21" s="218">
        <f>ROUND((IF('Ground Base'!E$154&gt;ROUND(((1-GroundCommDiscount11to20-GroundCommIncentive)*'Ground Base'!E16),2),ROUND('Ground Base'!E$154*(1+GroundFuelSurcharge),2),ROUND(((1-GroundCommDiscount11to20-GroundCommIncentive)*'Ground Base'!E16)*(1+GroundFuelSurcharge),2)))*(1+FedEx_Markup),2)</f>
        <v>15.72</v>
      </c>
      <c r="F21" s="218">
        <f>ROUND((IF('Ground Base'!F$154&gt;ROUND(((1-GroundCommDiscount11to20-GroundCommIncentive)*'Ground Base'!F16),2),ROUND('Ground Base'!F$154*(1+GroundFuelSurcharge),2),ROUND(((1-GroundCommDiscount11to20-GroundCommIncentive)*'Ground Base'!F16)*(1+GroundFuelSurcharge),2)))*(1+FedEx_Markup),2)</f>
        <v>17.68</v>
      </c>
      <c r="G21" s="218">
        <f>ROUND((IF('Ground Base'!G$154&gt;ROUND(((1-GroundCommDiscount11to20-GroundCommIncentive)*'Ground Base'!G16),2),ROUND('Ground Base'!G$154*(1+GroundFuelSurcharge),2),ROUND(((1-GroundCommDiscount11to20-GroundCommIncentive)*'Ground Base'!G16)*(1+GroundFuelSurcharge),2)))*(1+FedEx_Markup),2)</f>
        <v>21.85</v>
      </c>
      <c r="H21" s="218">
        <f>ROUND((IF('Ground Base'!H$154&gt;ROUND(((1-GroundCommDiscount11to20-GroundCommIncentive)*'Ground Base'!H16),2),ROUND('Ground Base'!H$154*(1+GroundFuelSurcharge),2),ROUND(((1-GroundCommDiscount11to20-GroundCommIncentive)*'Ground Base'!H16)*(1+GroundFuelSurcharge),2)))*(1+FedEx_Markup),2)</f>
        <v>23.89</v>
      </c>
      <c r="I21" s="218">
        <f>ROUND((IF('Ground Base'!I$154&gt;ROUND(((1-GroundAKHIDiscount)*'Ground Base'!I16),2),ROUND('Ground Base'!I$154*(1+GroundFuelSurcharge),2),ROUND(((1-GroundAKHIDiscount)*'Ground Base'!I16)*(1+GroundFuelSurcharge),2)))*(1+FedEx_Markup),2)</f>
        <v>112.44</v>
      </c>
      <c r="J21" s="218">
        <f>ROUND((IF('Ground Base'!J$154&gt;ROUND(((1-GroundAKHIDiscount)*'Ground Base'!J16),2),ROUND('Ground Base'!J$154*(1+GroundFuelSurcharge),2),ROUND(((1-GroundAKHIDiscount)*'Ground Base'!J16)*(1+GroundFuelSurcharge),2)))*(1+FedEx_Markup),2)</f>
        <v>112.44</v>
      </c>
      <c r="K21" s="218">
        <f>ROUND((IF('Ground Base'!K$154&gt;ROUND(((1-GroundZone51Discount)*'Ground Base'!K16),2),ROUND('Ground Base'!K$154*(1+GroundFuelSurcharge),2),ROUND(((1-GroundZone51Discount)*'Ground Base'!K16)*(1+GroundFuelSurcharge),2)))*(1+FedEx_Markup),2)</f>
        <v>37.69</v>
      </c>
      <c r="L21" s="218">
        <f>ROUND((IF('Ground Base'!L$154&gt;ROUND(((1-GroundZone54Discount)*'Ground Base'!L16),2),ROUND('Ground Base'!L$154*(1+GroundFuelSurcharge),2),ROUND(((1-GroundZone54Discount)*'Ground Base'!L16)*(1+GroundFuelSurcharge),2)))*(1+FedEx_Markup),2)</f>
        <v>44.98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15</v>
      </c>
      <c r="B22" s="218">
        <f>ROUND((IF('Ground Base'!B$154&gt;ROUND(((1-GroundCommDiscount11to20-GroundCommIncentive)*'Ground Base'!B17),2),ROUND('Ground Base'!B$154*(1+GroundFuelSurcharge),2),ROUND(((1-GroundCommDiscount11to20-GroundCommIncentive)*'Ground Base'!B17)*(1+GroundFuelSurcharge),2)))*(1+FedEx_Markup),2)</f>
        <v>15.72</v>
      </c>
      <c r="C22" s="218">
        <f>ROUND((IF('Ground Base'!C$154&gt;ROUND(((1-GroundCommDiscount11to20-GroundCommIncentive)*'Ground Base'!C17),2),ROUND('Ground Base'!C$154*(1+GroundFuelSurcharge),2),ROUND(((1-GroundCommDiscount11to20-GroundCommIncentive)*'Ground Base'!C17)*(1+GroundFuelSurcharge),2)))*(1+FedEx_Markup),2)</f>
        <v>15.72</v>
      </c>
      <c r="D22" s="218">
        <f>ROUND((IF('Ground Base'!D$154&gt;ROUND(((1-GroundCommDiscount11to20-GroundCommIncentive)*'Ground Base'!D17),2),ROUND('Ground Base'!D$154*(1+GroundFuelSurcharge),2),ROUND(((1-GroundCommDiscount11to20-GroundCommIncentive)*'Ground Base'!D17)*(1+GroundFuelSurcharge),2)))*(1+FedEx_Markup),2)</f>
        <v>15.72</v>
      </c>
      <c r="E22" s="218">
        <f>ROUND((IF('Ground Base'!E$154&gt;ROUND(((1-GroundCommDiscount11to20-GroundCommIncentive)*'Ground Base'!E17),2),ROUND('Ground Base'!E$154*(1+GroundFuelSurcharge),2),ROUND(((1-GroundCommDiscount11to20-GroundCommIncentive)*'Ground Base'!E17)*(1+GroundFuelSurcharge),2)))*(1+FedEx_Markup),2)</f>
        <v>16.16</v>
      </c>
      <c r="F22" s="218">
        <f>ROUND((IF('Ground Base'!F$154&gt;ROUND(((1-GroundCommDiscount11to20-GroundCommIncentive)*'Ground Base'!F17),2),ROUND('Ground Base'!F$154*(1+GroundFuelSurcharge),2),ROUND(((1-GroundCommDiscount11to20-GroundCommIncentive)*'Ground Base'!F17)*(1+GroundFuelSurcharge),2)))*(1+FedEx_Markup),2)</f>
        <v>18.64</v>
      </c>
      <c r="G22" s="218">
        <f>ROUND((IF('Ground Base'!G$154&gt;ROUND(((1-GroundCommDiscount11to20-GroundCommIncentive)*'Ground Base'!G17),2),ROUND('Ground Base'!G$154*(1+GroundFuelSurcharge),2),ROUND(((1-GroundCommDiscount11to20-GroundCommIncentive)*'Ground Base'!G17)*(1+GroundFuelSurcharge),2)))*(1+FedEx_Markup),2)</f>
        <v>22.53</v>
      </c>
      <c r="H22" s="218">
        <f>ROUND((IF('Ground Base'!H$154&gt;ROUND(((1-GroundCommDiscount11to20-GroundCommIncentive)*'Ground Base'!H17),2),ROUND('Ground Base'!H$154*(1+GroundFuelSurcharge),2),ROUND(((1-GroundCommDiscount11to20-GroundCommIncentive)*'Ground Base'!H17)*(1+GroundFuelSurcharge),2)))*(1+FedEx_Markup),2)</f>
        <v>24.86</v>
      </c>
      <c r="I22" s="218">
        <f>ROUND((IF('Ground Base'!I$154&gt;ROUND(((1-GroundAKHIDiscount)*'Ground Base'!I17),2),ROUND('Ground Base'!I$154*(1+GroundFuelSurcharge),2),ROUND(((1-GroundAKHIDiscount)*'Ground Base'!I17)*(1+GroundFuelSurcharge),2)))*(1+FedEx_Markup),2)</f>
        <v>116.56</v>
      </c>
      <c r="J22" s="218">
        <f>ROUND((IF('Ground Base'!J$154&gt;ROUND(((1-GroundAKHIDiscount)*'Ground Base'!J17),2),ROUND('Ground Base'!J$154*(1+GroundFuelSurcharge),2),ROUND(((1-GroundAKHIDiscount)*'Ground Base'!J17)*(1+GroundFuelSurcharge),2)))*(1+FedEx_Markup),2)</f>
        <v>116.56</v>
      </c>
      <c r="K22" s="218">
        <f>ROUND((IF('Ground Base'!K$154&gt;ROUND(((1-GroundZone51Discount)*'Ground Base'!K17),2),ROUND('Ground Base'!K$154*(1+GroundFuelSurcharge),2),ROUND(((1-GroundZone51Discount)*'Ground Base'!K17)*(1+GroundFuelSurcharge),2)))*(1+FedEx_Markup),2)</f>
        <v>38.76</v>
      </c>
      <c r="L22" s="218">
        <f>ROUND((IF('Ground Base'!L$154&gt;ROUND(((1-GroundZone54Discount)*'Ground Base'!L17),2),ROUND('Ground Base'!L$154*(1+GroundFuelSurcharge),2),ROUND(((1-GroundZone54Discount)*'Ground Base'!L17)*(1+GroundFuelSurcharge),2)))*(1+FedEx_Markup),2)</f>
        <v>45.8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16</v>
      </c>
      <c r="B23" s="218">
        <f>ROUND((IF('Ground Base'!B$154&gt;ROUND(((1-GroundCommDiscount11to20-GroundCommIncentive)*'Ground Base'!B18),2),ROUND('Ground Base'!B$154*(1+GroundFuelSurcharge),2),ROUND(((1-GroundCommDiscount11to20-GroundCommIncentive)*'Ground Base'!B18)*(1+GroundFuelSurcharge),2)))*(1+FedEx_Markup),2)</f>
        <v>15.72</v>
      </c>
      <c r="C23" s="218">
        <f>ROUND((IF('Ground Base'!C$154&gt;ROUND(((1-GroundCommDiscount11to20-GroundCommIncentive)*'Ground Base'!C18),2),ROUND('Ground Base'!C$154*(1+GroundFuelSurcharge),2),ROUND(((1-GroundCommDiscount11to20-GroundCommIncentive)*'Ground Base'!C18)*(1+GroundFuelSurcharge),2)))*(1+FedEx_Markup),2)</f>
        <v>15.72</v>
      </c>
      <c r="D23" s="218">
        <f>ROUND((IF('Ground Base'!D$154&gt;ROUND(((1-GroundCommDiscount11to20-GroundCommIncentive)*'Ground Base'!D18),2),ROUND('Ground Base'!D$154*(1+GroundFuelSurcharge),2),ROUND(((1-GroundCommDiscount11to20-GroundCommIncentive)*'Ground Base'!D18)*(1+GroundFuelSurcharge),2)))*(1+FedEx_Markup),2)</f>
        <v>15.72</v>
      </c>
      <c r="E23" s="218">
        <f>ROUND((IF('Ground Base'!E$154&gt;ROUND(((1-GroundCommDiscount11to20-GroundCommIncentive)*'Ground Base'!E18),2),ROUND('Ground Base'!E$154*(1+GroundFuelSurcharge),2),ROUND(((1-GroundCommDiscount11to20-GroundCommIncentive)*'Ground Base'!E18)*(1+GroundFuelSurcharge),2)))*(1+FedEx_Markup),2)</f>
        <v>16.45</v>
      </c>
      <c r="F23" s="218">
        <f>ROUND((IF('Ground Base'!F$154&gt;ROUND(((1-GroundCommDiscount11to20-GroundCommIncentive)*'Ground Base'!F18),2),ROUND('Ground Base'!F$154*(1+GroundFuelSurcharge),2),ROUND(((1-GroundCommDiscount11to20-GroundCommIncentive)*'Ground Base'!F18)*(1+GroundFuelSurcharge),2)))*(1+FedEx_Markup),2)</f>
        <v>19.239999999999998</v>
      </c>
      <c r="G23" s="218">
        <f>ROUND((IF('Ground Base'!G$154&gt;ROUND(((1-GroundCommDiscount11to20-GroundCommIncentive)*'Ground Base'!G18),2),ROUND('Ground Base'!G$154*(1+GroundFuelSurcharge),2),ROUND(((1-GroundCommDiscount11to20-GroundCommIncentive)*'Ground Base'!G18)*(1+GroundFuelSurcharge),2)))*(1+FedEx_Markup),2)</f>
        <v>23.72</v>
      </c>
      <c r="H23" s="218">
        <f>ROUND((IF('Ground Base'!H$154&gt;ROUND(((1-GroundCommDiscount11to20-GroundCommIncentive)*'Ground Base'!H18),2),ROUND('Ground Base'!H$154*(1+GroundFuelSurcharge),2),ROUND(((1-GroundCommDiscount11to20-GroundCommIncentive)*'Ground Base'!H18)*(1+GroundFuelSurcharge),2)))*(1+FedEx_Markup),2)</f>
        <v>26.11</v>
      </c>
      <c r="I23" s="218">
        <f>ROUND((IF('Ground Base'!I$154&gt;ROUND(((1-GroundAKHIDiscount)*'Ground Base'!I18),2),ROUND('Ground Base'!I$154*(1+GroundFuelSurcharge),2),ROUND(((1-GroundAKHIDiscount)*'Ground Base'!I18)*(1+GroundFuelSurcharge),2)))*(1+FedEx_Markup),2)</f>
        <v>121.79</v>
      </c>
      <c r="J23" s="218">
        <f>ROUND((IF('Ground Base'!J$154&gt;ROUND(((1-GroundAKHIDiscount)*'Ground Base'!J18),2),ROUND('Ground Base'!J$154*(1+GroundFuelSurcharge),2),ROUND(((1-GroundAKHIDiscount)*'Ground Base'!J18)*(1+GroundFuelSurcharge),2)))*(1+FedEx_Markup),2)</f>
        <v>121.79</v>
      </c>
      <c r="K23" s="218">
        <f>ROUND((IF('Ground Base'!K$154&gt;ROUND(((1-GroundZone51Discount)*'Ground Base'!K18),2),ROUND('Ground Base'!K$154*(1+GroundFuelSurcharge),2),ROUND(((1-GroundZone51Discount)*'Ground Base'!K18)*(1+GroundFuelSurcharge),2)))*(1+FedEx_Markup),2)</f>
        <v>40.049999999999997</v>
      </c>
      <c r="L23" s="218">
        <f>ROUND((IF('Ground Base'!L$154&gt;ROUND(((1-GroundZone54Discount)*'Ground Base'!L18),2),ROUND('Ground Base'!L$154*(1+GroundFuelSurcharge),2),ROUND(((1-GroundZone54Discount)*'Ground Base'!L18)*(1+GroundFuelSurcharge),2)))*(1+FedEx_Markup),2)</f>
        <v>47.38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17</v>
      </c>
      <c r="B24" s="218">
        <f>ROUND((IF('Ground Base'!B$154&gt;ROUND(((1-GroundCommDiscount11to20-GroundCommIncentive)*'Ground Base'!B19),2),ROUND('Ground Base'!B$154*(1+GroundFuelSurcharge),2),ROUND(((1-GroundCommDiscount11to20-GroundCommIncentive)*'Ground Base'!B19)*(1+GroundFuelSurcharge),2)))*(1+FedEx_Markup),2)</f>
        <v>15.72</v>
      </c>
      <c r="C24" s="218">
        <f>ROUND((IF('Ground Base'!C$154&gt;ROUND(((1-GroundCommDiscount11to20-GroundCommIncentive)*'Ground Base'!C19),2),ROUND('Ground Base'!C$154*(1+GroundFuelSurcharge),2),ROUND(((1-GroundCommDiscount11to20-GroundCommIncentive)*'Ground Base'!C19)*(1+GroundFuelSurcharge),2)))*(1+FedEx_Markup),2)</f>
        <v>15.72</v>
      </c>
      <c r="D24" s="218">
        <f>ROUND((IF('Ground Base'!D$154&gt;ROUND(((1-GroundCommDiscount11to20-GroundCommIncentive)*'Ground Base'!D19),2),ROUND('Ground Base'!D$154*(1+GroundFuelSurcharge),2),ROUND(((1-GroundCommDiscount11to20-GroundCommIncentive)*'Ground Base'!D19)*(1+GroundFuelSurcharge),2)))*(1+FedEx_Markup),2)</f>
        <v>15.72</v>
      </c>
      <c r="E24" s="218">
        <f>ROUND((IF('Ground Base'!E$154&gt;ROUND(((1-GroundCommDiscount11to20-GroundCommIncentive)*'Ground Base'!E19),2),ROUND('Ground Base'!E$154*(1+GroundFuelSurcharge),2),ROUND(((1-GroundCommDiscount11to20-GroundCommIncentive)*'Ground Base'!E19)*(1+GroundFuelSurcharge),2)))*(1+FedEx_Markup),2)</f>
        <v>16.91</v>
      </c>
      <c r="F24" s="218">
        <f>ROUND((IF('Ground Base'!F$154&gt;ROUND(((1-GroundCommDiscount11to20-GroundCommIncentive)*'Ground Base'!F19),2),ROUND('Ground Base'!F$154*(1+GroundFuelSurcharge),2),ROUND(((1-GroundCommDiscount11to20-GroundCommIncentive)*'Ground Base'!F19)*(1+GroundFuelSurcharge),2)))*(1+FedEx_Markup),2)</f>
        <v>20.059999999999999</v>
      </c>
      <c r="G24" s="218">
        <f>ROUND((IF('Ground Base'!G$154&gt;ROUND(((1-GroundCommDiscount11to20-GroundCommIncentive)*'Ground Base'!G19),2),ROUND('Ground Base'!G$154*(1+GroundFuelSurcharge),2),ROUND(((1-GroundCommDiscount11to20-GroundCommIncentive)*'Ground Base'!G19)*(1+GroundFuelSurcharge),2)))*(1+FedEx_Markup),2)</f>
        <v>24.94</v>
      </c>
      <c r="H24" s="218">
        <f>ROUND((IF('Ground Base'!H$154&gt;ROUND(((1-GroundCommDiscount11to20-GroundCommIncentive)*'Ground Base'!H19),2),ROUND('Ground Base'!H$154*(1+GroundFuelSurcharge),2),ROUND(((1-GroundCommDiscount11to20-GroundCommIncentive)*'Ground Base'!H19)*(1+GroundFuelSurcharge),2)))*(1+FedEx_Markup),2)</f>
        <v>26.11</v>
      </c>
      <c r="I24" s="218">
        <f>ROUND((IF('Ground Base'!I$154&gt;ROUND(((1-GroundAKHIDiscount)*'Ground Base'!I19),2),ROUND('Ground Base'!I$154*(1+GroundFuelSurcharge),2),ROUND(((1-GroundAKHIDiscount)*'Ground Base'!I19)*(1+GroundFuelSurcharge),2)))*(1+FedEx_Markup),2)</f>
        <v>126.97</v>
      </c>
      <c r="J24" s="218">
        <f>ROUND((IF('Ground Base'!J$154&gt;ROUND(((1-GroundAKHIDiscount)*'Ground Base'!J19),2),ROUND('Ground Base'!J$154*(1+GroundFuelSurcharge),2),ROUND(((1-GroundAKHIDiscount)*'Ground Base'!J19)*(1+GroundFuelSurcharge),2)))*(1+FedEx_Markup),2)</f>
        <v>126.97</v>
      </c>
      <c r="K24" s="218">
        <f>ROUND((IF('Ground Base'!K$154&gt;ROUND(((1-GroundZone51Discount)*'Ground Base'!K19),2),ROUND('Ground Base'!K$154*(1+GroundFuelSurcharge),2),ROUND(((1-GroundZone51Discount)*'Ground Base'!K19)*(1+GroundFuelSurcharge),2)))*(1+FedEx_Markup),2)</f>
        <v>41.12</v>
      </c>
      <c r="L24" s="218">
        <f>ROUND((IF('Ground Base'!L$154&gt;ROUND(((1-GroundZone54Discount)*'Ground Base'!L19),2),ROUND('Ground Base'!L$154*(1+GroundFuelSurcharge),2),ROUND(((1-GroundZone54Discount)*'Ground Base'!L19)*(1+GroundFuelSurcharge),2)))*(1+FedEx_Markup),2)</f>
        <v>48.71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18</v>
      </c>
      <c r="B25" s="218">
        <f>ROUND((IF('Ground Base'!B$154&gt;ROUND(((1-GroundCommDiscount11to20-GroundCommIncentive)*'Ground Base'!B20),2),ROUND('Ground Base'!B$154*(1+GroundFuelSurcharge),2),ROUND(((1-GroundCommDiscount11to20-GroundCommIncentive)*'Ground Base'!B20)*(1+GroundFuelSurcharge),2)))*(1+FedEx_Markup),2)</f>
        <v>15.72</v>
      </c>
      <c r="C25" s="218">
        <f>ROUND((IF('Ground Base'!C$154&gt;ROUND(((1-GroundCommDiscount11to20-GroundCommIncentive)*'Ground Base'!C20),2),ROUND('Ground Base'!C$154*(1+GroundFuelSurcharge),2),ROUND(((1-GroundCommDiscount11to20-GroundCommIncentive)*'Ground Base'!C20)*(1+GroundFuelSurcharge),2)))*(1+FedEx_Markup),2)</f>
        <v>15.72</v>
      </c>
      <c r="D25" s="218">
        <f>ROUND((IF('Ground Base'!D$154&gt;ROUND(((1-GroundCommDiscount11to20-GroundCommIncentive)*'Ground Base'!D20),2),ROUND('Ground Base'!D$154*(1+GroundFuelSurcharge),2),ROUND(((1-GroundCommDiscount11to20-GroundCommIncentive)*'Ground Base'!D20)*(1+GroundFuelSurcharge),2)))*(1+FedEx_Markup),2)</f>
        <v>15.72</v>
      </c>
      <c r="E25" s="218">
        <f>ROUND((IF('Ground Base'!E$154&gt;ROUND(((1-GroundCommDiscount11to20-GroundCommIncentive)*'Ground Base'!E20),2),ROUND('Ground Base'!E$154*(1+GroundFuelSurcharge),2),ROUND(((1-GroundCommDiscount11to20-GroundCommIncentive)*'Ground Base'!E20)*(1+GroundFuelSurcharge),2)))*(1+FedEx_Markup),2)</f>
        <v>17.72</v>
      </c>
      <c r="F25" s="218">
        <f>ROUND((IF('Ground Base'!F$154&gt;ROUND(((1-GroundCommDiscount11to20-GroundCommIncentive)*'Ground Base'!F20),2),ROUND('Ground Base'!F$154*(1+GroundFuelSurcharge),2),ROUND(((1-GroundCommDiscount11to20-GroundCommIncentive)*'Ground Base'!F20)*(1+GroundFuelSurcharge),2)))*(1+FedEx_Markup),2)</f>
        <v>21.1</v>
      </c>
      <c r="G25" s="218">
        <f>ROUND((IF('Ground Base'!G$154&gt;ROUND(((1-GroundCommDiscount11to20-GroundCommIncentive)*'Ground Base'!G20),2),ROUND('Ground Base'!G$154*(1+GroundFuelSurcharge),2),ROUND(((1-GroundCommDiscount11to20-GroundCommIncentive)*'Ground Base'!G20)*(1+GroundFuelSurcharge),2)))*(1+FedEx_Markup),2)</f>
        <v>25.69</v>
      </c>
      <c r="H25" s="218">
        <f>ROUND((IF('Ground Base'!H$154&gt;ROUND(((1-GroundCommDiscount11to20-GroundCommIncentive)*'Ground Base'!H20),2),ROUND('Ground Base'!H$154*(1+GroundFuelSurcharge),2),ROUND(((1-GroundCommDiscount11to20-GroundCommIncentive)*'Ground Base'!H20)*(1+GroundFuelSurcharge),2)))*(1+FedEx_Markup),2)</f>
        <v>28.15</v>
      </c>
      <c r="I25" s="218">
        <f>ROUND((IF('Ground Base'!I$154&gt;ROUND(((1-GroundAKHIDiscount)*'Ground Base'!I20),2),ROUND('Ground Base'!I$154*(1+GroundFuelSurcharge),2),ROUND(((1-GroundAKHIDiscount)*'Ground Base'!I20)*(1+GroundFuelSurcharge),2)))*(1+FedEx_Markup),2)</f>
        <v>132.22</v>
      </c>
      <c r="J25" s="218">
        <f>ROUND((IF('Ground Base'!J$154&gt;ROUND(((1-GroundAKHIDiscount)*'Ground Base'!J20),2),ROUND('Ground Base'!J$154*(1+GroundFuelSurcharge),2),ROUND(((1-GroundAKHIDiscount)*'Ground Base'!J20)*(1+GroundFuelSurcharge),2)))*(1+FedEx_Markup),2)</f>
        <v>132.22</v>
      </c>
      <c r="K25" s="218">
        <f>ROUND((IF('Ground Base'!K$154&gt;ROUND(((1-GroundZone51Discount)*'Ground Base'!K20),2),ROUND('Ground Base'!K$154*(1+GroundFuelSurcharge),2),ROUND(((1-GroundZone51Discount)*'Ground Base'!K20)*(1+GroundFuelSurcharge),2)))*(1+FedEx_Markup),2)</f>
        <v>42.58</v>
      </c>
      <c r="L25" s="218">
        <f>ROUND((IF('Ground Base'!L$154&gt;ROUND(((1-GroundZone54Discount)*'Ground Base'!L20),2),ROUND('Ground Base'!L$154*(1+GroundFuelSurcharge),2),ROUND(((1-GroundZone54Discount)*'Ground Base'!L20)*(1+GroundFuelSurcharge),2)))*(1+FedEx_Markup),2)</f>
        <v>50.16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19</v>
      </c>
      <c r="B26" s="218">
        <f>ROUND((IF('Ground Base'!B$154&gt;ROUND(((1-GroundCommDiscount11to20-GroundCommIncentive)*'Ground Base'!B21),2),ROUND('Ground Base'!B$154*(1+GroundFuelSurcharge),2),ROUND(((1-GroundCommDiscount11to20-GroundCommIncentive)*'Ground Base'!B21)*(1+GroundFuelSurcharge),2)))*(1+FedEx_Markup),2)</f>
        <v>15.72</v>
      </c>
      <c r="C26" s="218">
        <f>ROUND((IF('Ground Base'!C$154&gt;ROUND(((1-GroundCommDiscount11to20-GroundCommIncentive)*'Ground Base'!C21),2),ROUND('Ground Base'!C$154*(1+GroundFuelSurcharge),2),ROUND(((1-GroundCommDiscount11to20-GroundCommIncentive)*'Ground Base'!C21)*(1+GroundFuelSurcharge),2)))*(1+FedEx_Markup),2)</f>
        <v>15.72</v>
      </c>
      <c r="D26" s="218">
        <f>ROUND((IF('Ground Base'!D$154&gt;ROUND(((1-GroundCommDiscount11to20-GroundCommIncentive)*'Ground Base'!D21),2),ROUND('Ground Base'!D$154*(1+GroundFuelSurcharge),2),ROUND(((1-GroundCommDiscount11to20-GroundCommIncentive)*'Ground Base'!D21)*(1+GroundFuelSurcharge),2)))*(1+FedEx_Markup),2)</f>
        <v>15.72</v>
      </c>
      <c r="E26" s="218">
        <f>ROUND((IF('Ground Base'!E$154&gt;ROUND(((1-GroundCommDiscount11to20-GroundCommIncentive)*'Ground Base'!E21),2),ROUND('Ground Base'!E$154*(1+GroundFuelSurcharge),2),ROUND(((1-GroundCommDiscount11to20-GroundCommIncentive)*'Ground Base'!E21)*(1+GroundFuelSurcharge),2)))*(1+FedEx_Markup),2)</f>
        <v>18.559999999999999</v>
      </c>
      <c r="F26" s="218">
        <f>ROUND((IF('Ground Base'!F$154&gt;ROUND(((1-GroundCommDiscount11to20-GroundCommIncentive)*'Ground Base'!F21),2),ROUND('Ground Base'!F$154*(1+GroundFuelSurcharge),2),ROUND(((1-GroundCommDiscount11to20-GroundCommIncentive)*'Ground Base'!F21)*(1+GroundFuelSurcharge),2)))*(1+FedEx_Markup),2)</f>
        <v>21.74</v>
      </c>
      <c r="G26" s="218">
        <f>ROUND((IF('Ground Base'!G$154&gt;ROUND(((1-GroundCommDiscount11to20-GroundCommIncentive)*'Ground Base'!G21),2),ROUND('Ground Base'!G$154*(1+GroundFuelSurcharge),2),ROUND(((1-GroundCommDiscount11to20-GroundCommIncentive)*'Ground Base'!G21)*(1+GroundFuelSurcharge),2)))*(1+FedEx_Markup),2)</f>
        <v>26.46</v>
      </c>
      <c r="H26" s="218">
        <f>ROUND((IF('Ground Base'!H$154&gt;ROUND(((1-GroundCommDiscount11to20-GroundCommIncentive)*'Ground Base'!H21),2),ROUND('Ground Base'!H$154*(1+GroundFuelSurcharge),2),ROUND(((1-GroundCommDiscount11to20-GroundCommIncentive)*'Ground Base'!H21)*(1+GroundFuelSurcharge),2)))*(1+FedEx_Markup),2)</f>
        <v>29.5</v>
      </c>
      <c r="I26" s="218">
        <f>ROUND((IF('Ground Base'!I$154&gt;ROUND(((1-GroundAKHIDiscount)*'Ground Base'!I21),2),ROUND('Ground Base'!I$154*(1+GroundFuelSurcharge),2),ROUND(((1-GroundAKHIDiscount)*'Ground Base'!I21)*(1+GroundFuelSurcharge),2)))*(1+FedEx_Markup),2)</f>
        <v>137.44999999999999</v>
      </c>
      <c r="J26" s="218">
        <f>ROUND((IF('Ground Base'!J$154&gt;ROUND(((1-GroundAKHIDiscount)*'Ground Base'!J21),2),ROUND('Ground Base'!J$154*(1+GroundFuelSurcharge),2),ROUND(((1-GroundAKHIDiscount)*'Ground Base'!J21)*(1+GroundFuelSurcharge),2)))*(1+FedEx_Markup),2)</f>
        <v>137.44999999999999</v>
      </c>
      <c r="K26" s="218">
        <f>ROUND((IF('Ground Base'!K$154&gt;ROUND(((1-GroundZone51Discount)*'Ground Base'!K21),2),ROUND('Ground Base'!K$154*(1+GroundFuelSurcharge),2),ROUND(((1-GroundZone51Discount)*'Ground Base'!K21)*(1+GroundFuelSurcharge),2)))*(1+FedEx_Markup),2)</f>
        <v>43.92</v>
      </c>
      <c r="L26" s="218">
        <f>ROUND((IF('Ground Base'!L$154&gt;ROUND(((1-GroundZone54Discount)*'Ground Base'!L21),2),ROUND('Ground Base'!L$154*(1+GroundFuelSurcharge),2),ROUND(((1-GroundZone54Discount)*'Ground Base'!L21)*(1+GroundFuelSurcharge),2)))*(1+FedEx_Markup),2)</f>
        <v>51.64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20</v>
      </c>
      <c r="B27" s="218">
        <f>ROUND((IF('Ground Base'!B$154&gt;ROUND(((1-GroundCommDiscount11to20-GroundCommIncentive)*'Ground Base'!B22),2),ROUND('Ground Base'!B$154*(1+GroundFuelSurcharge),2),ROUND(((1-GroundCommDiscount11to20-GroundCommIncentive)*'Ground Base'!B22)*(1+GroundFuelSurcharge),2)))*(1+FedEx_Markup),2)</f>
        <v>15.72</v>
      </c>
      <c r="C27" s="218">
        <f>ROUND((IF('Ground Base'!C$154&gt;ROUND(((1-GroundCommDiscount11to20-GroundCommIncentive)*'Ground Base'!C22),2),ROUND('Ground Base'!C$154*(1+GroundFuelSurcharge),2),ROUND(((1-GroundCommDiscount11to20-GroundCommIncentive)*'Ground Base'!C22)*(1+GroundFuelSurcharge),2)))*(1+FedEx_Markup),2)</f>
        <v>15.72</v>
      </c>
      <c r="D27" s="218">
        <f>ROUND((IF('Ground Base'!D$154&gt;ROUND(((1-GroundCommDiscount11to20-GroundCommIncentive)*'Ground Base'!D22),2),ROUND('Ground Base'!D$154*(1+GroundFuelSurcharge),2),ROUND(((1-GroundCommDiscount11to20-GroundCommIncentive)*'Ground Base'!D22)*(1+GroundFuelSurcharge),2)))*(1+FedEx_Markup),2)</f>
        <v>15.72</v>
      </c>
      <c r="E27" s="218">
        <f>ROUND((IF('Ground Base'!E$154&gt;ROUND(((1-GroundCommDiscount11to20-GroundCommIncentive)*'Ground Base'!E22),2),ROUND('Ground Base'!E$154*(1+GroundFuelSurcharge),2),ROUND(((1-GroundCommDiscount11to20-GroundCommIncentive)*'Ground Base'!E22)*(1+GroundFuelSurcharge),2)))*(1+FedEx_Markup),2)</f>
        <v>19.3</v>
      </c>
      <c r="F27" s="218">
        <f>ROUND((IF('Ground Base'!F$154&gt;ROUND(((1-GroundCommDiscount11to20-GroundCommIncentive)*'Ground Base'!F22),2),ROUND('Ground Base'!F$154*(1+GroundFuelSurcharge),2),ROUND(((1-GroundCommDiscount11to20-GroundCommIncentive)*'Ground Base'!F22)*(1+GroundFuelSurcharge),2)))*(1+FedEx_Markup),2)</f>
        <v>22.47</v>
      </c>
      <c r="G27" s="218">
        <f>ROUND((IF('Ground Base'!G$154&gt;ROUND(((1-GroundCommDiscount11to20-GroundCommIncentive)*'Ground Base'!G22),2),ROUND('Ground Base'!G$154*(1+GroundFuelSurcharge),2),ROUND(((1-GroundCommDiscount11to20-GroundCommIncentive)*'Ground Base'!G22)*(1+GroundFuelSurcharge),2)))*(1+FedEx_Markup),2)</f>
        <v>27.44</v>
      </c>
      <c r="H27" s="218">
        <f>ROUND((IF('Ground Base'!H$154&gt;ROUND(((1-GroundCommDiscount11to20-GroundCommIncentive)*'Ground Base'!H22),2),ROUND('Ground Base'!H$154*(1+GroundFuelSurcharge),2),ROUND(((1-GroundCommDiscount11to20-GroundCommIncentive)*'Ground Base'!H22)*(1+GroundFuelSurcharge),2)))*(1+FedEx_Markup),2)</f>
        <v>30.57</v>
      </c>
      <c r="I27" s="218">
        <f>ROUND((IF('Ground Base'!I$154&gt;ROUND(((1-GroundAKHIDiscount)*'Ground Base'!I22),2),ROUND('Ground Base'!I$154*(1+GroundFuelSurcharge),2),ROUND(((1-GroundAKHIDiscount)*'Ground Base'!I22)*(1+GroundFuelSurcharge),2)))*(1+FedEx_Markup),2)</f>
        <v>142.05000000000001</v>
      </c>
      <c r="J27" s="218">
        <f>ROUND((IF('Ground Base'!J$154&gt;ROUND(((1-GroundAKHIDiscount)*'Ground Base'!J22),2),ROUND('Ground Base'!J$154*(1+GroundFuelSurcharge),2),ROUND(((1-GroundAKHIDiscount)*'Ground Base'!J22)*(1+GroundFuelSurcharge),2)))*(1+FedEx_Markup),2)</f>
        <v>142.05000000000001</v>
      </c>
      <c r="K27" s="218">
        <f>ROUND((IF('Ground Base'!K$154&gt;ROUND(((1-GroundZone51Discount)*'Ground Base'!K22),2),ROUND('Ground Base'!K$154*(1+GroundFuelSurcharge),2),ROUND(((1-GroundZone51Discount)*'Ground Base'!K22)*(1+GroundFuelSurcharge),2)))*(1+FedEx_Markup),2)</f>
        <v>45.01</v>
      </c>
      <c r="L27" s="218">
        <f>ROUND((IF('Ground Base'!L$154&gt;ROUND(((1-GroundZone54Discount)*'Ground Base'!L22),2),ROUND('Ground Base'!L$154*(1+GroundFuelSurcharge),2),ROUND(((1-GroundZone54Discount)*'Ground Base'!L22)*(1+GroundFuelSurcharge),2)))*(1+FedEx_Markup),2)</f>
        <v>53.03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21</v>
      </c>
      <c r="B28" s="218">
        <f>ROUND((IF('Ground Base'!B$154&gt;ROUND(((1-GroundCommDiscount21to30-GroundCommIncentive)*'Ground Base'!B23),2),ROUND('Ground Base'!B$154*(1+GroundFuelSurcharge),2),ROUND(((1-GroundCommDiscount21to30-GroundCommIncentive)*'Ground Base'!B23)*(1+GroundFuelSurcharge),2)))*(1+FedEx_Markup),2)</f>
        <v>15.72</v>
      </c>
      <c r="C28" s="218">
        <f>ROUND((IF('Ground Base'!C$154&gt;ROUND(((1-GroundCommDiscount21to30-GroundCommIncentive)*'Ground Base'!C23),2),ROUND('Ground Base'!C$154*(1+GroundFuelSurcharge),2),ROUND(((1-GroundCommDiscount21to30-GroundCommIncentive)*'Ground Base'!C23)*(1+GroundFuelSurcharge),2)))*(1+FedEx_Markup),2)</f>
        <v>15.72</v>
      </c>
      <c r="D28" s="218">
        <f>ROUND((IF('Ground Base'!D$154&gt;ROUND(((1-GroundCommDiscount21to30-GroundCommIncentive)*'Ground Base'!D23),2),ROUND('Ground Base'!D$154*(1+GroundFuelSurcharge),2),ROUND(((1-GroundCommDiscount21to30-GroundCommIncentive)*'Ground Base'!D23)*(1+GroundFuelSurcharge),2)))*(1+FedEx_Markup),2)</f>
        <v>15.72</v>
      </c>
      <c r="E28" s="218">
        <f>ROUND((IF('Ground Base'!E$154&gt;ROUND(((1-GroundCommDiscount21to30-GroundCommIncentive)*'Ground Base'!E23),2),ROUND('Ground Base'!E$154*(1+GroundFuelSurcharge),2),ROUND(((1-GroundCommDiscount21to30-GroundCommIncentive)*'Ground Base'!E23)*(1+GroundFuelSurcharge),2)))*(1+FedEx_Markup),2)</f>
        <v>16.920000000000002</v>
      </c>
      <c r="F28" s="218">
        <f>ROUND((IF('Ground Base'!F$154&gt;ROUND(((1-GroundCommDiscount21to30-GroundCommIncentive)*'Ground Base'!F23),2),ROUND('Ground Base'!F$154*(1+GroundFuelSurcharge),2),ROUND(((1-GroundCommDiscount21to30-GroundCommIncentive)*'Ground Base'!F23)*(1+GroundFuelSurcharge),2)))*(1+FedEx_Markup),2)</f>
        <v>20.27</v>
      </c>
      <c r="G28" s="218">
        <f>ROUND((IF('Ground Base'!G$154&gt;ROUND(((1-GroundCommDiscount21to30-GroundCommIncentive)*'Ground Base'!G23),2),ROUND('Ground Base'!G$154*(1+GroundFuelSurcharge),2),ROUND(((1-GroundCommDiscount21to30-GroundCommIncentive)*'Ground Base'!G23)*(1+GroundFuelSurcharge),2)))*(1+FedEx_Markup),2)</f>
        <v>24.68</v>
      </c>
      <c r="H28" s="218">
        <f>ROUND((IF('Ground Base'!H$154&gt;ROUND(((1-GroundCommDiscount21to30-GroundCommIncentive)*'Ground Base'!H23),2),ROUND('Ground Base'!H$154*(1+GroundFuelSurcharge),2),ROUND(((1-GroundCommDiscount21to30-GroundCommIncentive)*'Ground Base'!H23)*(1+GroundFuelSurcharge),2)))*(1+FedEx_Markup),2)</f>
        <v>27.58</v>
      </c>
      <c r="I28" s="218">
        <f>ROUND((IF('Ground Base'!I$154&gt;ROUND(((1-GroundAKHIDiscount)*'Ground Base'!I23),2),ROUND('Ground Base'!I$154*(1+GroundFuelSurcharge),2),ROUND(((1-GroundAKHIDiscount)*'Ground Base'!I23)*(1+GroundFuelSurcharge),2)))*(1+FedEx_Markup),2)</f>
        <v>145.29</v>
      </c>
      <c r="J28" s="218">
        <f>ROUND((IF('Ground Base'!J$154&gt;ROUND(((1-GroundAKHIDiscount)*'Ground Base'!J23),2),ROUND('Ground Base'!J$154*(1+GroundFuelSurcharge),2),ROUND(((1-GroundAKHIDiscount)*'Ground Base'!J23)*(1+GroundFuelSurcharge),2)))*(1+FedEx_Markup),2)</f>
        <v>145.29</v>
      </c>
      <c r="K28" s="218">
        <f>ROUND((IF('Ground Base'!K$154&gt;ROUND(((1-GroundZone51Discount)*'Ground Base'!K23),2),ROUND('Ground Base'!K$154*(1+GroundFuelSurcharge),2),ROUND(((1-GroundZone51Discount)*'Ground Base'!K23)*(1+GroundFuelSurcharge),2)))*(1+FedEx_Markup),2)</f>
        <v>46</v>
      </c>
      <c r="L28" s="218">
        <f>ROUND((IF('Ground Base'!L$154&gt;ROUND(((1-GroundZone54Discount)*'Ground Base'!L23),2),ROUND('Ground Base'!L$154*(1+GroundFuelSurcharge),2),ROUND(((1-GroundZone54Discount)*'Ground Base'!L23)*(1+GroundFuelSurcharge),2)))*(1+FedEx_Markup),2)</f>
        <v>54.38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22</v>
      </c>
      <c r="B29" s="218">
        <f>ROUND((IF('Ground Base'!B$154&gt;ROUND(((1-GroundCommDiscount21to30-GroundCommIncentive)*'Ground Base'!B24),2),ROUND('Ground Base'!B$154*(1+GroundFuelSurcharge),2),ROUND(((1-GroundCommDiscount21to30-GroundCommIncentive)*'Ground Base'!B24)*(1+GroundFuelSurcharge),2)))*(1+FedEx_Markup),2)</f>
        <v>15.72</v>
      </c>
      <c r="C29" s="218">
        <f>ROUND((IF('Ground Base'!C$154&gt;ROUND(((1-GroundCommDiscount21to30-GroundCommIncentive)*'Ground Base'!C24),2),ROUND('Ground Base'!C$154*(1+GroundFuelSurcharge),2),ROUND(((1-GroundCommDiscount21to30-GroundCommIncentive)*'Ground Base'!C24)*(1+GroundFuelSurcharge),2)))*(1+FedEx_Markup),2)</f>
        <v>15.72</v>
      </c>
      <c r="D29" s="218">
        <f>ROUND((IF('Ground Base'!D$154&gt;ROUND(((1-GroundCommDiscount21to30-GroundCommIncentive)*'Ground Base'!D24),2),ROUND('Ground Base'!D$154*(1+GroundFuelSurcharge),2),ROUND(((1-GroundCommDiscount21to30-GroundCommIncentive)*'Ground Base'!D24)*(1+GroundFuelSurcharge),2)))*(1+FedEx_Markup),2)</f>
        <v>15.72</v>
      </c>
      <c r="E29" s="218">
        <f>ROUND((IF('Ground Base'!E$154&gt;ROUND(((1-GroundCommDiscount21to30-GroundCommIncentive)*'Ground Base'!E24),2),ROUND('Ground Base'!E$154*(1+GroundFuelSurcharge),2),ROUND(((1-GroundCommDiscount21to30-GroundCommIncentive)*'Ground Base'!E24)*(1+GroundFuelSurcharge),2)))*(1+FedEx_Markup),2)</f>
        <v>17.38</v>
      </c>
      <c r="F29" s="218">
        <f>ROUND((IF('Ground Base'!F$154&gt;ROUND(((1-GroundCommDiscount21to30-GroundCommIncentive)*'Ground Base'!F24),2),ROUND('Ground Base'!F$154*(1+GroundFuelSurcharge),2),ROUND(((1-GroundCommDiscount21to30-GroundCommIncentive)*'Ground Base'!F24)*(1+GroundFuelSurcharge),2)))*(1+FedEx_Markup),2)</f>
        <v>21.1</v>
      </c>
      <c r="G29" s="218">
        <f>ROUND((IF('Ground Base'!G$154&gt;ROUND(((1-GroundCommDiscount21to30-GroundCommIncentive)*'Ground Base'!G24),2),ROUND('Ground Base'!G$154*(1+GroundFuelSurcharge),2),ROUND(((1-GroundCommDiscount21to30-GroundCommIncentive)*'Ground Base'!G24)*(1+GroundFuelSurcharge),2)))*(1+FedEx_Markup),2)</f>
        <v>25.36</v>
      </c>
      <c r="H29" s="218">
        <f>ROUND((IF('Ground Base'!H$154&gt;ROUND(((1-GroundCommDiscount21to30-GroundCommIncentive)*'Ground Base'!H24),2),ROUND('Ground Base'!H$154*(1+GroundFuelSurcharge),2),ROUND(((1-GroundCommDiscount21to30-GroundCommIncentive)*'Ground Base'!H24)*(1+GroundFuelSurcharge),2)))*(1+FedEx_Markup),2)</f>
        <v>28.51</v>
      </c>
      <c r="I29" s="218">
        <f>ROUND((IF('Ground Base'!I$154&gt;ROUND(((1-GroundAKHIDiscount)*'Ground Base'!I24),2),ROUND('Ground Base'!I$154*(1+GroundFuelSurcharge),2),ROUND(((1-GroundAKHIDiscount)*'Ground Base'!I24)*(1+GroundFuelSurcharge),2)))*(1+FedEx_Markup),2)</f>
        <v>149.83000000000001</v>
      </c>
      <c r="J29" s="218">
        <f>ROUND((IF('Ground Base'!J$154&gt;ROUND(((1-GroundAKHIDiscount)*'Ground Base'!J24),2),ROUND('Ground Base'!J$154*(1+GroundFuelSurcharge),2),ROUND(((1-GroundAKHIDiscount)*'Ground Base'!J24)*(1+GroundFuelSurcharge),2)))*(1+FedEx_Markup),2)</f>
        <v>149.83000000000001</v>
      </c>
      <c r="K29" s="218">
        <f>ROUND((IF('Ground Base'!K$154&gt;ROUND(((1-GroundZone51Discount)*'Ground Base'!K24),2),ROUND('Ground Base'!K$154*(1+GroundFuelSurcharge),2),ROUND(((1-GroundZone51Discount)*'Ground Base'!K24)*(1+GroundFuelSurcharge),2)))*(1+FedEx_Markup),2)</f>
        <v>47.4</v>
      </c>
      <c r="L29" s="218">
        <f>ROUND((IF('Ground Base'!L$154&gt;ROUND(((1-GroundZone54Discount)*'Ground Base'!L24),2),ROUND('Ground Base'!L$154*(1+GroundFuelSurcharge),2),ROUND(((1-GroundZone54Discount)*'Ground Base'!L24)*(1+GroundFuelSurcharge),2)))*(1+FedEx_Markup),2)</f>
        <v>55.96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23</v>
      </c>
      <c r="B30" s="218">
        <f>ROUND((IF('Ground Base'!B$154&gt;ROUND(((1-GroundCommDiscount21to30-GroundCommIncentive)*'Ground Base'!B25),2),ROUND('Ground Base'!B$154*(1+GroundFuelSurcharge),2),ROUND(((1-GroundCommDiscount21to30-GroundCommIncentive)*'Ground Base'!B25)*(1+GroundFuelSurcharge),2)))*(1+FedEx_Markup),2)</f>
        <v>15.72</v>
      </c>
      <c r="C30" s="218">
        <f>ROUND((IF('Ground Base'!C$154&gt;ROUND(((1-GroundCommDiscount21to30-GroundCommIncentive)*'Ground Base'!C25),2),ROUND('Ground Base'!C$154*(1+GroundFuelSurcharge),2),ROUND(((1-GroundCommDiscount21to30-GroundCommIncentive)*'Ground Base'!C25)*(1+GroundFuelSurcharge),2)))*(1+FedEx_Markup),2)</f>
        <v>15.72</v>
      </c>
      <c r="D30" s="218">
        <f>ROUND((IF('Ground Base'!D$154&gt;ROUND(((1-GroundCommDiscount21to30-GroundCommIncentive)*'Ground Base'!D25),2),ROUND('Ground Base'!D$154*(1+GroundFuelSurcharge),2),ROUND(((1-GroundCommDiscount21to30-GroundCommIncentive)*'Ground Base'!D25)*(1+GroundFuelSurcharge),2)))*(1+FedEx_Markup),2)</f>
        <v>15.72</v>
      </c>
      <c r="E30" s="218">
        <f>ROUND((IF('Ground Base'!E$154&gt;ROUND(((1-GroundCommDiscount21to30-GroundCommIncentive)*'Ground Base'!E25),2),ROUND('Ground Base'!E$154*(1+GroundFuelSurcharge),2),ROUND(((1-GroundCommDiscount21to30-GroundCommIncentive)*'Ground Base'!E25)*(1+GroundFuelSurcharge),2)))*(1+FedEx_Markup),2)</f>
        <v>17.88</v>
      </c>
      <c r="F30" s="218">
        <f>ROUND((IF('Ground Base'!F$154&gt;ROUND(((1-GroundCommDiscount21to30-GroundCommIncentive)*'Ground Base'!F25),2),ROUND('Ground Base'!F$154*(1+GroundFuelSurcharge),2),ROUND(((1-GroundCommDiscount21to30-GroundCommIncentive)*'Ground Base'!F25)*(1+GroundFuelSurcharge),2)))*(1+FedEx_Markup),2)</f>
        <v>21.9</v>
      </c>
      <c r="G30" s="218">
        <f>ROUND((IF('Ground Base'!G$154&gt;ROUND(((1-GroundCommDiscount21to30-GroundCommIncentive)*'Ground Base'!G25),2),ROUND('Ground Base'!G$154*(1+GroundFuelSurcharge),2),ROUND(((1-GroundCommDiscount21to30-GroundCommIncentive)*'Ground Base'!G25)*(1+GroundFuelSurcharge),2)))*(1+FedEx_Markup),2)</f>
        <v>26.21</v>
      </c>
      <c r="H30" s="218">
        <f>ROUND((IF('Ground Base'!H$154&gt;ROUND(((1-GroundCommDiscount21to30-GroundCommIncentive)*'Ground Base'!H25),2),ROUND('Ground Base'!H$154*(1+GroundFuelSurcharge),2),ROUND(((1-GroundCommDiscount21to30-GroundCommIncentive)*'Ground Base'!H25)*(1+GroundFuelSurcharge),2)))*(1+FedEx_Markup),2)</f>
        <v>29.92</v>
      </c>
      <c r="I30" s="218">
        <f>ROUND((IF('Ground Base'!I$154&gt;ROUND(((1-GroundAKHIDiscount)*'Ground Base'!I25),2),ROUND('Ground Base'!I$154*(1+GroundFuelSurcharge),2),ROUND(((1-GroundAKHIDiscount)*'Ground Base'!I25)*(1+GroundFuelSurcharge),2)))*(1+FedEx_Markup),2)</f>
        <v>154.35</v>
      </c>
      <c r="J30" s="218">
        <f>ROUND((IF('Ground Base'!J$154&gt;ROUND(((1-GroundAKHIDiscount)*'Ground Base'!J25),2),ROUND('Ground Base'!J$154*(1+GroundFuelSurcharge),2),ROUND(((1-GroundAKHIDiscount)*'Ground Base'!J25)*(1+GroundFuelSurcharge),2)))*(1+FedEx_Markup),2)</f>
        <v>154.35</v>
      </c>
      <c r="K30" s="218">
        <f>ROUND((IF('Ground Base'!K$154&gt;ROUND(((1-GroundZone51Discount)*'Ground Base'!K25),2),ROUND('Ground Base'!K$154*(1+GroundFuelSurcharge),2),ROUND(((1-GroundZone51Discount)*'Ground Base'!K25)*(1+GroundFuelSurcharge),2)))*(1+FedEx_Markup),2)</f>
        <v>48.56</v>
      </c>
      <c r="L30" s="218">
        <f>ROUND((IF('Ground Base'!L$154&gt;ROUND(((1-GroundZone54Discount)*'Ground Base'!L25),2),ROUND('Ground Base'!L$154*(1+GroundFuelSurcharge),2),ROUND(((1-GroundZone54Discount)*'Ground Base'!L25)*(1+GroundFuelSurcharge),2)))*(1+FedEx_Markup),2)</f>
        <v>57.35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24</v>
      </c>
      <c r="B31" s="218">
        <f>ROUND((IF('Ground Base'!B$154&gt;ROUND(((1-GroundCommDiscount21to30-GroundCommIncentive)*'Ground Base'!B26),2),ROUND('Ground Base'!B$154*(1+GroundFuelSurcharge),2),ROUND(((1-GroundCommDiscount21to30-GroundCommIncentive)*'Ground Base'!B26)*(1+GroundFuelSurcharge),2)))*(1+FedEx_Markup),2)</f>
        <v>15.72</v>
      </c>
      <c r="C31" s="218">
        <f>ROUND((IF('Ground Base'!C$154&gt;ROUND(((1-GroundCommDiscount21to30-GroundCommIncentive)*'Ground Base'!C26),2),ROUND('Ground Base'!C$154*(1+GroundFuelSurcharge),2),ROUND(((1-GroundCommDiscount21to30-GroundCommIncentive)*'Ground Base'!C26)*(1+GroundFuelSurcharge),2)))*(1+FedEx_Markup),2)</f>
        <v>15.72</v>
      </c>
      <c r="D31" s="218">
        <f>ROUND((IF('Ground Base'!D$154&gt;ROUND(((1-GroundCommDiscount21to30-GroundCommIncentive)*'Ground Base'!D26),2),ROUND('Ground Base'!D$154*(1+GroundFuelSurcharge),2),ROUND(((1-GroundCommDiscount21to30-GroundCommIncentive)*'Ground Base'!D26)*(1+GroundFuelSurcharge),2)))*(1+FedEx_Markup),2)</f>
        <v>15.8</v>
      </c>
      <c r="E31" s="218">
        <f>ROUND((IF('Ground Base'!E$154&gt;ROUND(((1-GroundCommDiscount21to30-GroundCommIncentive)*'Ground Base'!E26),2),ROUND('Ground Base'!E$154*(1+GroundFuelSurcharge),2),ROUND(((1-GroundCommDiscount21to30-GroundCommIncentive)*'Ground Base'!E26)*(1+GroundFuelSurcharge),2)))*(1+FedEx_Markup),2)</f>
        <v>18.84</v>
      </c>
      <c r="F31" s="218">
        <f>ROUND((IF('Ground Base'!F$154&gt;ROUND(((1-GroundCommDiscount21to30-GroundCommIncentive)*'Ground Base'!F26),2),ROUND('Ground Base'!F$154*(1+GroundFuelSurcharge),2),ROUND(((1-GroundCommDiscount21to30-GroundCommIncentive)*'Ground Base'!F26)*(1+GroundFuelSurcharge),2)))*(1+FedEx_Markup),2)</f>
        <v>22.94</v>
      </c>
      <c r="G31" s="218">
        <f>ROUND((IF('Ground Base'!G$154&gt;ROUND(((1-GroundCommDiscount21to30-GroundCommIncentive)*'Ground Base'!G26),2),ROUND('Ground Base'!G$154*(1+GroundFuelSurcharge),2),ROUND(((1-GroundCommDiscount21to30-GroundCommIncentive)*'Ground Base'!G26)*(1+GroundFuelSurcharge),2)))*(1+FedEx_Markup),2)</f>
        <v>27.09</v>
      </c>
      <c r="H31" s="218">
        <f>ROUND((IF('Ground Base'!H$154&gt;ROUND(((1-GroundCommDiscount21to30-GroundCommIncentive)*'Ground Base'!H26),2),ROUND('Ground Base'!H$154*(1+GroundFuelSurcharge),2),ROUND(((1-GroundCommDiscount21to30-GroundCommIncentive)*'Ground Base'!H26)*(1+GroundFuelSurcharge),2)))*(1+FedEx_Markup),2)</f>
        <v>31.64</v>
      </c>
      <c r="I31" s="218">
        <f>ROUND((IF('Ground Base'!I$154&gt;ROUND(((1-GroundAKHIDiscount)*'Ground Base'!I26),2),ROUND('Ground Base'!I$154*(1+GroundFuelSurcharge),2),ROUND(((1-GroundAKHIDiscount)*'Ground Base'!I26)*(1+GroundFuelSurcharge),2)))*(1+FedEx_Markup),2)</f>
        <v>159.41999999999999</v>
      </c>
      <c r="J31" s="218">
        <f>ROUND((IF('Ground Base'!J$154&gt;ROUND(((1-GroundAKHIDiscount)*'Ground Base'!J26),2),ROUND('Ground Base'!J$154*(1+GroundFuelSurcharge),2),ROUND(((1-GroundAKHIDiscount)*'Ground Base'!J26)*(1+GroundFuelSurcharge),2)))*(1+FedEx_Markup),2)</f>
        <v>159.41999999999999</v>
      </c>
      <c r="K31" s="218">
        <f>ROUND((IF('Ground Base'!K$154&gt;ROUND(((1-GroundZone51Discount)*'Ground Base'!K26),2),ROUND('Ground Base'!K$154*(1+GroundFuelSurcharge),2),ROUND(((1-GroundZone51Discount)*'Ground Base'!K26)*(1+GroundFuelSurcharge),2)))*(1+FedEx_Markup),2)</f>
        <v>49.82</v>
      </c>
      <c r="L31" s="218">
        <f>ROUND((IF('Ground Base'!L$154&gt;ROUND(((1-GroundZone54Discount)*'Ground Base'!L26),2),ROUND('Ground Base'!L$154*(1+GroundFuelSurcharge),2),ROUND(((1-GroundZone54Discount)*'Ground Base'!L26)*(1+GroundFuelSurcharge),2)))*(1+FedEx_Markup),2)</f>
        <v>58.75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25</v>
      </c>
      <c r="B32" s="218">
        <f>ROUND((IF('Ground Base'!B$154&gt;ROUND(((1-GroundCommDiscount21to30-GroundCommIncentive)*'Ground Base'!B27),2),ROUND('Ground Base'!B$154*(1+GroundFuelSurcharge),2),ROUND(((1-GroundCommDiscount21to30-GroundCommIncentive)*'Ground Base'!B27)*(1+GroundFuelSurcharge),2)))*(1+FedEx_Markup),2)</f>
        <v>15.72</v>
      </c>
      <c r="C32" s="218">
        <f>ROUND((IF('Ground Base'!C$154&gt;ROUND(((1-GroundCommDiscount21to30-GroundCommIncentive)*'Ground Base'!C27),2),ROUND('Ground Base'!C$154*(1+GroundFuelSurcharge),2),ROUND(((1-GroundCommDiscount21to30-GroundCommIncentive)*'Ground Base'!C27)*(1+GroundFuelSurcharge),2)))*(1+FedEx_Markup),2)</f>
        <v>15.72</v>
      </c>
      <c r="D32" s="218">
        <f>ROUND((IF('Ground Base'!D$154&gt;ROUND(((1-GroundCommDiscount21to30-GroundCommIncentive)*'Ground Base'!D27),2),ROUND('Ground Base'!D$154*(1+GroundFuelSurcharge),2),ROUND(((1-GroundCommDiscount21to30-GroundCommIncentive)*'Ground Base'!D27)*(1+GroundFuelSurcharge),2)))*(1+FedEx_Markup),2)</f>
        <v>15.87</v>
      </c>
      <c r="E32" s="218">
        <f>ROUND((IF('Ground Base'!E$154&gt;ROUND(((1-GroundCommDiscount21to30-GroundCommIncentive)*'Ground Base'!E27),2),ROUND('Ground Base'!E$154*(1+GroundFuelSurcharge),2),ROUND(((1-GroundCommDiscount21to30-GroundCommIncentive)*'Ground Base'!E27)*(1+GroundFuelSurcharge),2)))*(1+FedEx_Markup),2)</f>
        <v>19.190000000000001</v>
      </c>
      <c r="F32" s="218">
        <f>ROUND((IF('Ground Base'!F$154&gt;ROUND(((1-GroundCommDiscount21to30-GroundCommIncentive)*'Ground Base'!F27),2),ROUND('Ground Base'!F$154*(1+GroundFuelSurcharge),2),ROUND(((1-GroundCommDiscount21to30-GroundCommIncentive)*'Ground Base'!F27)*(1+GroundFuelSurcharge),2)))*(1+FedEx_Markup),2)</f>
        <v>23.61</v>
      </c>
      <c r="G32" s="218">
        <f>ROUND((IF('Ground Base'!G$154&gt;ROUND(((1-GroundCommDiscount21to30-GroundCommIncentive)*'Ground Base'!G27),2),ROUND('Ground Base'!G$154*(1+GroundFuelSurcharge),2),ROUND(((1-GroundCommDiscount21to30-GroundCommIncentive)*'Ground Base'!G27)*(1+GroundFuelSurcharge),2)))*(1+FedEx_Markup),2)</f>
        <v>28.59</v>
      </c>
      <c r="H32" s="218">
        <f>ROUND((IF('Ground Base'!H$154&gt;ROUND(((1-GroundCommDiscount21to30-GroundCommIncentive)*'Ground Base'!H27),2),ROUND('Ground Base'!H$154*(1+GroundFuelSurcharge),2),ROUND(((1-GroundCommDiscount21to30-GroundCommIncentive)*'Ground Base'!H27)*(1+GroundFuelSurcharge),2)))*(1+FedEx_Markup),2)</f>
        <v>32.6</v>
      </c>
      <c r="I32" s="218">
        <f>ROUND((IF('Ground Base'!I$154&gt;ROUND(((1-GroundAKHIDiscount)*'Ground Base'!I27),2),ROUND('Ground Base'!I$154*(1+GroundFuelSurcharge),2),ROUND(((1-GroundAKHIDiscount)*'Ground Base'!I27)*(1+GroundFuelSurcharge),2)))*(1+FedEx_Markup),2)</f>
        <v>164.36</v>
      </c>
      <c r="J32" s="218">
        <f>ROUND((IF('Ground Base'!J$154&gt;ROUND(((1-GroundAKHIDiscount)*'Ground Base'!J27),2),ROUND('Ground Base'!J$154*(1+GroundFuelSurcharge),2),ROUND(((1-GroundAKHIDiscount)*'Ground Base'!J27)*(1+GroundFuelSurcharge),2)))*(1+FedEx_Markup),2)</f>
        <v>164.36</v>
      </c>
      <c r="K32" s="218">
        <f>ROUND((IF('Ground Base'!K$154&gt;ROUND(((1-GroundZone51Discount)*'Ground Base'!K27),2),ROUND('Ground Base'!K$154*(1+GroundFuelSurcharge),2),ROUND(((1-GroundZone51Discount)*'Ground Base'!K27)*(1+GroundFuelSurcharge),2)))*(1+FedEx_Markup),2)</f>
        <v>50.78</v>
      </c>
      <c r="L32" s="218">
        <f>ROUND((IF('Ground Base'!L$154&gt;ROUND(((1-GroundZone54Discount)*'Ground Base'!L27),2),ROUND('Ground Base'!L$154*(1+GroundFuelSurcharge),2),ROUND(((1-GroundZone54Discount)*'Ground Base'!L27)*(1+GroundFuelSurcharge),2)))*(1+FedEx_Markup),2)</f>
        <v>60.16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26</v>
      </c>
      <c r="B33" s="218">
        <f>ROUND((IF('Ground Base'!B$154&gt;ROUND(((1-GroundCommDiscount21to30-GroundCommIncentive)*'Ground Base'!B28),2),ROUND('Ground Base'!B$154*(1+GroundFuelSurcharge),2),ROUND(((1-GroundCommDiscount21to30-GroundCommIncentive)*'Ground Base'!B28)*(1+GroundFuelSurcharge),2)))*(1+FedEx_Markup),2)</f>
        <v>15.72</v>
      </c>
      <c r="C33" s="218">
        <f>ROUND((IF('Ground Base'!C$154&gt;ROUND(((1-GroundCommDiscount21to30-GroundCommIncentive)*'Ground Base'!C28),2),ROUND('Ground Base'!C$154*(1+GroundFuelSurcharge),2),ROUND(((1-GroundCommDiscount21to30-GroundCommIncentive)*'Ground Base'!C28)*(1+GroundFuelSurcharge),2)))*(1+FedEx_Markup),2)</f>
        <v>15.72</v>
      </c>
      <c r="D33" s="218">
        <f>ROUND((IF('Ground Base'!D$154&gt;ROUND(((1-GroundCommDiscount21to30-GroundCommIncentive)*'Ground Base'!D28),2),ROUND('Ground Base'!D$154*(1+GroundFuelSurcharge),2),ROUND(((1-GroundCommDiscount21to30-GroundCommIncentive)*'Ground Base'!D28)*(1+GroundFuelSurcharge),2)))*(1+FedEx_Markup),2)</f>
        <v>16.54</v>
      </c>
      <c r="E33" s="218">
        <f>ROUND((IF('Ground Base'!E$154&gt;ROUND(((1-GroundCommDiscount21to30-GroundCommIncentive)*'Ground Base'!E28),2),ROUND('Ground Base'!E$154*(1+GroundFuelSurcharge),2),ROUND(((1-GroundCommDiscount21to30-GroundCommIncentive)*'Ground Base'!E28)*(1+GroundFuelSurcharge),2)))*(1+FedEx_Markup),2)</f>
        <v>19.98</v>
      </c>
      <c r="F33" s="218">
        <f>ROUND((IF('Ground Base'!F$154&gt;ROUND(((1-GroundCommDiscount21to30-GroundCommIncentive)*'Ground Base'!F28),2),ROUND('Ground Base'!F$154*(1+GroundFuelSurcharge),2),ROUND(((1-GroundCommDiscount21to30-GroundCommIncentive)*'Ground Base'!F28)*(1+GroundFuelSurcharge),2)))*(1+FedEx_Markup),2)</f>
        <v>24.47</v>
      </c>
      <c r="G33" s="218">
        <f>ROUND((IF('Ground Base'!G$154&gt;ROUND(((1-GroundCommDiscount21to30-GroundCommIncentive)*'Ground Base'!G28),2),ROUND('Ground Base'!G$154*(1+GroundFuelSurcharge),2),ROUND(((1-GroundCommDiscount21to30-GroundCommIncentive)*'Ground Base'!G28)*(1+GroundFuelSurcharge),2)))*(1+FedEx_Markup),2)</f>
        <v>29.75</v>
      </c>
      <c r="H33" s="218">
        <f>ROUND((IF('Ground Base'!H$154&gt;ROUND(((1-GroundCommDiscount21to30-GroundCommIncentive)*'Ground Base'!H28),2),ROUND('Ground Base'!H$154*(1+GroundFuelSurcharge),2),ROUND(((1-GroundCommDiscount21to30-GroundCommIncentive)*'Ground Base'!H28)*(1+GroundFuelSurcharge),2)))*(1+FedEx_Markup),2)</f>
        <v>33.96</v>
      </c>
      <c r="I33" s="218">
        <f>ROUND((IF('Ground Base'!I$154&gt;ROUND(((1-GroundAKHIDiscount)*'Ground Base'!I28),2),ROUND('Ground Base'!I$154*(1+GroundFuelSurcharge),2),ROUND(((1-GroundAKHIDiscount)*'Ground Base'!I28)*(1+GroundFuelSurcharge),2)))*(1+FedEx_Markup),2)</f>
        <v>169.56</v>
      </c>
      <c r="J33" s="218">
        <f>ROUND((IF('Ground Base'!J$154&gt;ROUND(((1-GroundAKHIDiscount)*'Ground Base'!J28),2),ROUND('Ground Base'!J$154*(1+GroundFuelSurcharge),2),ROUND(((1-GroundAKHIDiscount)*'Ground Base'!J28)*(1+GroundFuelSurcharge),2)))*(1+FedEx_Markup),2)</f>
        <v>169.56</v>
      </c>
      <c r="K33" s="218">
        <f>ROUND((IF('Ground Base'!K$154&gt;ROUND(((1-GroundZone51Discount)*'Ground Base'!K28),2),ROUND('Ground Base'!K$154*(1+GroundFuelSurcharge),2),ROUND(((1-GroundZone51Discount)*'Ground Base'!K28)*(1+GroundFuelSurcharge),2)))*(1+FedEx_Markup),2)</f>
        <v>51.99</v>
      </c>
      <c r="L33" s="218">
        <f>ROUND((IF('Ground Base'!L$154&gt;ROUND(((1-GroundZone54Discount)*'Ground Base'!L28),2),ROUND('Ground Base'!L$154*(1+GroundFuelSurcharge),2),ROUND(((1-GroundZone54Discount)*'Ground Base'!L28)*(1+GroundFuelSurcharge),2)))*(1+FedEx_Markup),2)</f>
        <v>61.81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27</v>
      </c>
      <c r="B34" s="218">
        <f>ROUND((IF('Ground Base'!B$154&gt;ROUND(((1-GroundCommDiscount21to30-GroundCommIncentive)*'Ground Base'!B29),2),ROUND('Ground Base'!B$154*(1+GroundFuelSurcharge),2),ROUND(((1-GroundCommDiscount21to30-GroundCommIncentive)*'Ground Base'!B29)*(1+GroundFuelSurcharge),2)))*(1+FedEx_Markup),2)</f>
        <v>15.72</v>
      </c>
      <c r="C34" s="218">
        <f>ROUND((IF('Ground Base'!C$154&gt;ROUND(((1-GroundCommDiscount21to30-GroundCommIncentive)*'Ground Base'!C29),2),ROUND('Ground Base'!C$154*(1+GroundFuelSurcharge),2),ROUND(((1-GroundCommDiscount21to30-GroundCommIncentive)*'Ground Base'!C29)*(1+GroundFuelSurcharge),2)))*(1+FedEx_Markup),2)</f>
        <v>15.72</v>
      </c>
      <c r="D34" s="218">
        <f>ROUND((IF('Ground Base'!D$154&gt;ROUND(((1-GroundCommDiscount21to30-GroundCommIncentive)*'Ground Base'!D29),2),ROUND('Ground Base'!D$154*(1+GroundFuelSurcharge),2),ROUND(((1-GroundCommDiscount21to30-GroundCommIncentive)*'Ground Base'!D29)*(1+GroundFuelSurcharge),2)))*(1+FedEx_Markup),2)</f>
        <v>16.87</v>
      </c>
      <c r="E34" s="218">
        <f>ROUND((IF('Ground Base'!E$154&gt;ROUND(((1-GroundCommDiscount21to30-GroundCommIncentive)*'Ground Base'!E29),2),ROUND('Ground Base'!E$154*(1+GroundFuelSurcharge),2),ROUND(((1-GroundCommDiscount21to30-GroundCommIncentive)*'Ground Base'!E29)*(1+GroundFuelSurcharge),2)))*(1+FedEx_Markup),2)</f>
        <v>20.11</v>
      </c>
      <c r="F34" s="218">
        <f>ROUND((IF('Ground Base'!F$154&gt;ROUND(((1-GroundCommDiscount21to30-GroundCommIncentive)*'Ground Base'!F29),2),ROUND('Ground Base'!F$154*(1+GroundFuelSurcharge),2),ROUND(((1-GroundCommDiscount21to30-GroundCommIncentive)*'Ground Base'!F29)*(1+GroundFuelSurcharge),2)))*(1+FedEx_Markup),2)</f>
        <v>25.46</v>
      </c>
      <c r="G34" s="218">
        <f>ROUND((IF('Ground Base'!G$154&gt;ROUND(((1-GroundCommDiscount21to30-GroundCommIncentive)*'Ground Base'!G29),2),ROUND('Ground Base'!G$154*(1+GroundFuelSurcharge),2),ROUND(((1-GroundCommDiscount21to30-GroundCommIncentive)*'Ground Base'!G29)*(1+GroundFuelSurcharge),2)))*(1+FedEx_Markup),2)</f>
        <v>30.3</v>
      </c>
      <c r="H34" s="218">
        <f>ROUND((IF('Ground Base'!H$154&gt;ROUND(((1-GroundCommDiscount21to30-GroundCommIncentive)*'Ground Base'!H29),2),ROUND('Ground Base'!H$154*(1+GroundFuelSurcharge),2),ROUND(((1-GroundCommDiscount21to30-GroundCommIncentive)*'Ground Base'!H29)*(1+GroundFuelSurcharge),2)))*(1+FedEx_Markup),2)</f>
        <v>34.200000000000003</v>
      </c>
      <c r="I34" s="218">
        <f>ROUND((IF('Ground Base'!I$154&gt;ROUND(((1-GroundAKHIDiscount)*'Ground Base'!I29),2),ROUND('Ground Base'!I$154*(1+GroundFuelSurcharge),2),ROUND(((1-GroundAKHIDiscount)*'Ground Base'!I29)*(1+GroundFuelSurcharge),2)))*(1+FedEx_Markup),2)</f>
        <v>174.27</v>
      </c>
      <c r="J34" s="218">
        <f>ROUND((IF('Ground Base'!J$154&gt;ROUND(((1-GroundAKHIDiscount)*'Ground Base'!J29),2),ROUND('Ground Base'!J$154*(1+GroundFuelSurcharge),2),ROUND(((1-GroundAKHIDiscount)*'Ground Base'!J29)*(1+GroundFuelSurcharge),2)))*(1+FedEx_Markup),2)</f>
        <v>174.27</v>
      </c>
      <c r="K34" s="218">
        <f>ROUND((IF('Ground Base'!K$154&gt;ROUND(((1-GroundZone51Discount)*'Ground Base'!K29),2),ROUND('Ground Base'!K$154*(1+GroundFuelSurcharge),2),ROUND(((1-GroundZone51Discount)*'Ground Base'!K29)*(1+GroundFuelSurcharge),2)))*(1+FedEx_Markup),2)</f>
        <v>53.44</v>
      </c>
      <c r="L34" s="218">
        <f>ROUND((IF('Ground Base'!L$154&gt;ROUND(((1-GroundZone54Discount)*'Ground Base'!L29),2),ROUND('Ground Base'!L$154*(1+GroundFuelSurcharge),2),ROUND(((1-GroundZone54Discount)*'Ground Base'!L29)*(1+GroundFuelSurcharge),2)))*(1+FedEx_Markup),2)</f>
        <v>63.33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217">
        <v>28</v>
      </c>
      <c r="B35" s="218">
        <f>ROUND((IF('Ground Base'!B$154&gt;ROUND(((1-GroundCommDiscount21to30-GroundCommIncentive)*'Ground Base'!B30),2),ROUND('Ground Base'!B$154*(1+GroundFuelSurcharge),2),ROUND(((1-GroundCommDiscount21to30-GroundCommIncentive)*'Ground Base'!B30)*(1+GroundFuelSurcharge),2)))*(1+FedEx_Markup),2)</f>
        <v>15.72</v>
      </c>
      <c r="C35" s="218">
        <f>ROUND((IF('Ground Base'!C$154&gt;ROUND(((1-GroundCommDiscount21to30-GroundCommIncentive)*'Ground Base'!C30),2),ROUND('Ground Base'!C$154*(1+GroundFuelSurcharge),2),ROUND(((1-GroundCommDiscount21to30-GroundCommIncentive)*'Ground Base'!C30)*(1+GroundFuelSurcharge),2)))*(1+FedEx_Markup),2)</f>
        <v>16.05</v>
      </c>
      <c r="D35" s="218">
        <f>ROUND((IF('Ground Base'!D$154&gt;ROUND(((1-GroundCommDiscount21to30-GroundCommIncentive)*'Ground Base'!D30),2),ROUND('Ground Base'!D$154*(1+GroundFuelSurcharge),2),ROUND(((1-GroundCommDiscount21to30-GroundCommIncentive)*'Ground Base'!D30)*(1+GroundFuelSurcharge),2)))*(1+FedEx_Markup),2)</f>
        <v>17.649999999999999</v>
      </c>
      <c r="E35" s="218">
        <f>ROUND((IF('Ground Base'!E$154&gt;ROUND(((1-GroundCommDiscount21to30-GroundCommIncentive)*'Ground Base'!E30),2),ROUND('Ground Base'!E$154*(1+GroundFuelSurcharge),2),ROUND(((1-GroundCommDiscount21to30-GroundCommIncentive)*'Ground Base'!E30)*(1+GroundFuelSurcharge),2)))*(1+FedEx_Markup),2)</f>
        <v>21.3</v>
      </c>
      <c r="F35" s="218">
        <f>ROUND((IF('Ground Base'!F$154&gt;ROUND(((1-GroundCommDiscount21to30-GroundCommIncentive)*'Ground Base'!F30),2),ROUND('Ground Base'!F$154*(1+GroundFuelSurcharge),2),ROUND(((1-GroundCommDiscount21to30-GroundCommIncentive)*'Ground Base'!F30)*(1+GroundFuelSurcharge),2)))*(1+FedEx_Markup),2)</f>
        <v>26.7</v>
      </c>
      <c r="G35" s="218">
        <f>ROUND((IF('Ground Base'!G$154&gt;ROUND(((1-GroundCommDiscount21to30-GroundCommIncentive)*'Ground Base'!G30),2),ROUND('Ground Base'!G$154*(1+GroundFuelSurcharge),2),ROUND(((1-GroundCommDiscount21to30-GroundCommIncentive)*'Ground Base'!G30)*(1+GroundFuelSurcharge),2)))*(1+FedEx_Markup),2)</f>
        <v>31.66</v>
      </c>
      <c r="H35" s="218">
        <f>ROUND((IF('Ground Base'!H$154&gt;ROUND(((1-GroundCommDiscount21to30-GroundCommIncentive)*'Ground Base'!H30),2),ROUND('Ground Base'!H$154*(1+GroundFuelSurcharge),2),ROUND(((1-GroundCommDiscount21to30-GroundCommIncentive)*'Ground Base'!H30)*(1+GroundFuelSurcharge),2)))*(1+FedEx_Markup),2)</f>
        <v>35.85</v>
      </c>
      <c r="I35" s="218">
        <f>ROUND((IF('Ground Base'!I$154&gt;ROUND(((1-GroundAKHIDiscount)*'Ground Base'!I30),2),ROUND('Ground Base'!I$154*(1+GroundFuelSurcharge),2),ROUND(((1-GroundAKHIDiscount)*'Ground Base'!I30)*(1+GroundFuelSurcharge),2)))*(1+FedEx_Markup),2)</f>
        <v>178.95</v>
      </c>
      <c r="J35" s="218">
        <f>ROUND((IF('Ground Base'!J$154&gt;ROUND(((1-GroundAKHIDiscount)*'Ground Base'!J30),2),ROUND('Ground Base'!J$154*(1+GroundFuelSurcharge),2),ROUND(((1-GroundAKHIDiscount)*'Ground Base'!J30)*(1+GroundFuelSurcharge),2)))*(1+FedEx_Markup),2)</f>
        <v>178.95</v>
      </c>
      <c r="K35" s="218">
        <f>ROUND((IF('Ground Base'!K$154&gt;ROUND(((1-GroundZone51Discount)*'Ground Base'!K30),2),ROUND('Ground Base'!K$154*(1+GroundFuelSurcharge),2),ROUND(((1-GroundZone51Discount)*'Ground Base'!K30)*(1+GroundFuelSurcharge),2)))*(1+FedEx_Markup),2)</f>
        <v>54.73</v>
      </c>
      <c r="L35" s="218">
        <f>ROUND((IF('Ground Base'!L$154&gt;ROUND(((1-GroundZone54Discount)*'Ground Base'!L30),2),ROUND('Ground Base'!L$154*(1+GroundFuelSurcharge),2),ROUND(((1-GroundZone54Discount)*'Ground Base'!L30)*(1+GroundFuelSurcharge),2)))*(1+FedEx_Markup),2)</f>
        <v>64.89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>
      <c r="A36" s="217">
        <v>29</v>
      </c>
      <c r="B36" s="218">
        <f>ROUND((IF('Ground Base'!B$154&gt;ROUND(((1-GroundCommDiscount21to30-GroundCommIncentive)*'Ground Base'!B31),2),ROUND('Ground Base'!B$154*(1+GroundFuelSurcharge),2),ROUND(((1-GroundCommDiscount21to30-GroundCommIncentive)*'Ground Base'!B31)*(1+GroundFuelSurcharge),2)))*(1+FedEx_Markup),2)</f>
        <v>15.72</v>
      </c>
      <c r="C36" s="218">
        <f>ROUND((IF('Ground Base'!C$154&gt;ROUND(((1-GroundCommDiscount21to30-GroundCommIncentive)*'Ground Base'!C31),2),ROUND('Ground Base'!C$154*(1+GroundFuelSurcharge),2),ROUND(((1-GroundCommDiscount21to30-GroundCommIncentive)*'Ground Base'!C31)*(1+GroundFuelSurcharge),2)))*(1+FedEx_Markup),2)</f>
        <v>16.36</v>
      </c>
      <c r="D36" s="218">
        <f>ROUND((IF('Ground Base'!D$154&gt;ROUND(((1-GroundCommDiscount21to30-GroundCommIncentive)*'Ground Base'!D31),2),ROUND('Ground Base'!D$154*(1+GroundFuelSurcharge),2),ROUND(((1-GroundCommDiscount21to30-GroundCommIncentive)*'Ground Base'!D31)*(1+GroundFuelSurcharge),2)))*(1+FedEx_Markup),2)</f>
        <v>17.809999999999999</v>
      </c>
      <c r="E36" s="218">
        <f>ROUND((IF('Ground Base'!E$154&gt;ROUND(((1-GroundCommDiscount21to30-GroundCommIncentive)*'Ground Base'!E31),2),ROUND('Ground Base'!E$154*(1+GroundFuelSurcharge),2),ROUND(((1-GroundCommDiscount21to30-GroundCommIncentive)*'Ground Base'!E31)*(1+GroundFuelSurcharge),2)))*(1+FedEx_Markup),2)</f>
        <v>21.46</v>
      </c>
      <c r="F36" s="218">
        <f>ROUND((IF('Ground Base'!F$154&gt;ROUND(((1-GroundCommDiscount21to30-GroundCommIncentive)*'Ground Base'!F31),2),ROUND('Ground Base'!F$154*(1+GroundFuelSurcharge),2),ROUND(((1-GroundCommDiscount21to30-GroundCommIncentive)*'Ground Base'!F31)*(1+GroundFuelSurcharge),2)))*(1+FedEx_Markup),2)</f>
        <v>27.46</v>
      </c>
      <c r="G36" s="218">
        <f>ROUND((IF('Ground Base'!G$154&gt;ROUND(((1-GroundCommDiscount21to30-GroundCommIncentive)*'Ground Base'!G31),2),ROUND('Ground Base'!G$154*(1+GroundFuelSurcharge),2),ROUND(((1-GroundCommDiscount21to30-GroundCommIncentive)*'Ground Base'!G31)*(1+GroundFuelSurcharge),2)))*(1+FedEx_Markup),2)</f>
        <v>32.380000000000003</v>
      </c>
      <c r="H36" s="218">
        <f>ROUND((IF('Ground Base'!H$154&gt;ROUND(((1-GroundCommDiscount21to30-GroundCommIncentive)*'Ground Base'!H31),2),ROUND('Ground Base'!H$154*(1+GroundFuelSurcharge),2),ROUND(((1-GroundCommDiscount21to30-GroundCommIncentive)*'Ground Base'!H31)*(1+GroundFuelSurcharge),2)))*(1+FedEx_Markup),2)</f>
        <v>36.799999999999997</v>
      </c>
      <c r="I36" s="218">
        <f>ROUND((IF('Ground Base'!I$154&gt;ROUND(((1-GroundAKHIDiscount)*'Ground Base'!I31),2),ROUND('Ground Base'!I$154*(1+GroundFuelSurcharge),2),ROUND(((1-GroundAKHIDiscount)*'Ground Base'!I31)*(1+GroundFuelSurcharge),2)))*(1+FedEx_Markup),2)</f>
        <v>183.36</v>
      </c>
      <c r="J36" s="218">
        <f>ROUND((IF('Ground Base'!J$154&gt;ROUND(((1-GroundAKHIDiscount)*'Ground Base'!J31),2),ROUND('Ground Base'!J$154*(1+GroundFuelSurcharge),2),ROUND(((1-GroundAKHIDiscount)*'Ground Base'!J31)*(1+GroundFuelSurcharge),2)))*(1+FedEx_Markup),2)</f>
        <v>183.36</v>
      </c>
      <c r="K36" s="218">
        <f>ROUND((IF('Ground Base'!K$154&gt;ROUND(((1-GroundZone51Discount)*'Ground Base'!K31),2),ROUND('Ground Base'!K$154*(1+GroundFuelSurcharge),2),ROUND(((1-GroundZone51Discount)*'Ground Base'!K31)*(1+GroundFuelSurcharge),2)))*(1+FedEx_Markup),2)</f>
        <v>55.99</v>
      </c>
      <c r="L36" s="218">
        <f>ROUND((IF('Ground Base'!L$154&gt;ROUND(((1-GroundZone54Discount)*'Ground Base'!L31),2),ROUND('Ground Base'!L$154*(1+GroundFuelSurcharge),2),ROUND(((1-GroundZone54Discount)*'Ground Base'!L31)*(1+GroundFuelSurcharge),2)))*(1+FedEx_Markup),2)</f>
        <v>66.400000000000006</v>
      </c>
    </row>
    <row r="37" spans="1:26" ht="12.75" customHeight="1">
      <c r="A37" s="217">
        <v>30</v>
      </c>
      <c r="B37" s="218">
        <f>ROUND((IF('Ground Base'!B$154&gt;ROUND(((1-GroundCommDiscount21to30-GroundCommIncentive)*'Ground Base'!B32),2),ROUND('Ground Base'!B$154*(1+GroundFuelSurcharge),2),ROUND(((1-GroundCommDiscount21to30-GroundCommIncentive)*'Ground Base'!B32)*(1+GroundFuelSurcharge),2)))*(1+FedEx_Markup),2)</f>
        <v>15.72</v>
      </c>
      <c r="C37" s="218">
        <f>ROUND((IF('Ground Base'!C$154&gt;ROUND(((1-GroundCommDiscount21to30-GroundCommIncentive)*'Ground Base'!C32),2),ROUND('Ground Base'!C$154*(1+GroundFuelSurcharge),2),ROUND(((1-GroundCommDiscount21to30-GroundCommIncentive)*'Ground Base'!C32)*(1+GroundFuelSurcharge),2)))*(1+FedEx_Markup),2)</f>
        <v>16.739999999999998</v>
      </c>
      <c r="D37" s="218">
        <f>ROUND((IF('Ground Base'!D$154&gt;ROUND(((1-GroundCommDiscount21to30-GroundCommIncentive)*'Ground Base'!D32),2),ROUND('Ground Base'!D$154*(1+GroundFuelSurcharge),2),ROUND(((1-GroundCommDiscount21to30-GroundCommIncentive)*'Ground Base'!D32)*(1+GroundFuelSurcharge),2)))*(1+FedEx_Markup),2)</f>
        <v>18.489999999999998</v>
      </c>
      <c r="E37" s="218">
        <f>ROUND((IF('Ground Base'!E$154&gt;ROUND(((1-GroundCommDiscount21to30-GroundCommIncentive)*'Ground Base'!E32),2),ROUND('Ground Base'!E$154*(1+GroundFuelSurcharge),2),ROUND(((1-GroundCommDiscount21to30-GroundCommIncentive)*'Ground Base'!E32)*(1+GroundFuelSurcharge),2)))*(1+FedEx_Markup),2)</f>
        <v>22.15</v>
      </c>
      <c r="F37" s="218">
        <f>ROUND((IF('Ground Base'!F$154&gt;ROUND(((1-GroundCommDiscount21to30-GroundCommIncentive)*'Ground Base'!F32),2),ROUND('Ground Base'!F$154*(1+GroundFuelSurcharge),2),ROUND(((1-GroundCommDiscount21to30-GroundCommIncentive)*'Ground Base'!F32)*(1+GroundFuelSurcharge),2)))*(1+FedEx_Markup),2)</f>
        <v>27.9</v>
      </c>
      <c r="G37" s="218">
        <f>ROUND((IF('Ground Base'!G$154&gt;ROUND(((1-GroundCommDiscount21to30-GroundCommIncentive)*'Ground Base'!G32),2),ROUND('Ground Base'!G$154*(1+GroundFuelSurcharge),2),ROUND(((1-GroundCommDiscount21to30-GroundCommIncentive)*'Ground Base'!G32)*(1+GroundFuelSurcharge),2)))*(1+FedEx_Markup),2)</f>
        <v>32.549999999999997</v>
      </c>
      <c r="H37" s="218">
        <f>ROUND((IF('Ground Base'!H$154&gt;ROUND(((1-GroundCommDiscount21to30-GroundCommIncentive)*'Ground Base'!H32),2),ROUND('Ground Base'!H$154*(1+GroundFuelSurcharge),2),ROUND(((1-GroundCommDiscount21to30-GroundCommIncentive)*'Ground Base'!H32)*(1+GroundFuelSurcharge),2)))*(1+FedEx_Markup),2)</f>
        <v>37.97</v>
      </c>
      <c r="I37" s="218">
        <f>ROUND((IF('Ground Base'!I$154&gt;ROUND(((1-GroundAKHIDiscount)*'Ground Base'!I32),2),ROUND('Ground Base'!I$154*(1+GroundFuelSurcharge),2),ROUND(((1-GroundAKHIDiscount)*'Ground Base'!I32)*(1+GroundFuelSurcharge),2)))*(1+FedEx_Markup),2)</f>
        <v>187.75</v>
      </c>
      <c r="J37" s="218">
        <f>ROUND((IF('Ground Base'!J$154&gt;ROUND(((1-GroundAKHIDiscount)*'Ground Base'!J32),2),ROUND('Ground Base'!J$154*(1+GroundFuelSurcharge),2),ROUND(((1-GroundAKHIDiscount)*'Ground Base'!J32)*(1+GroundFuelSurcharge),2)))*(1+FedEx_Markup),2)</f>
        <v>187.75</v>
      </c>
      <c r="K37" s="218">
        <f>ROUND((IF('Ground Base'!K$154&gt;ROUND(((1-GroundZone51Discount)*'Ground Base'!K32),2),ROUND('Ground Base'!K$154*(1+GroundFuelSurcharge),2),ROUND(((1-GroundZone51Discount)*'Ground Base'!K32)*(1+GroundFuelSurcharge),2)))*(1+FedEx_Markup),2)</f>
        <v>57.27</v>
      </c>
      <c r="L37" s="218">
        <f>ROUND((IF('Ground Base'!L$154&gt;ROUND(((1-GroundZone54Discount)*'Ground Base'!L32),2),ROUND('Ground Base'!L$154*(1+GroundFuelSurcharge),2),ROUND(((1-GroundZone54Discount)*'Ground Base'!L32)*(1+GroundFuelSurcharge),2)))*(1+FedEx_Markup),2)</f>
        <v>67.930000000000007</v>
      </c>
    </row>
    <row r="38" spans="1:26" ht="12.75" customHeight="1">
      <c r="A38" s="217">
        <v>31</v>
      </c>
      <c r="B38" s="218">
        <f>ROUND((IF('Ground Base'!B$154&gt;ROUND(((1-GroundCommDiscount31Up-GroundCommIncentive)*'Ground Base'!B33),2),ROUND('Ground Base'!B$154*(1+GroundFuelSurcharge),2),ROUND(((1-GroundCommDiscount31Up-GroundCommIncentive)*'Ground Base'!B33)*(1+GroundFuelSurcharge),2)))*(1+FedEx_Markup),2)</f>
        <v>15.72</v>
      </c>
      <c r="C38" s="218">
        <f>ROUND((IF('Ground Base'!C$154&gt;ROUND(((1-GroundCommDiscount31Up-GroundCommIncentive)*'Ground Base'!C33),2),ROUND('Ground Base'!C$154*(1+GroundFuelSurcharge),2),ROUND(((1-GroundCommDiscount31Up-GroundCommIncentive)*'Ground Base'!C33)*(1+GroundFuelSurcharge),2)))*(1+FedEx_Markup),2)</f>
        <v>17.12</v>
      </c>
      <c r="D38" s="218">
        <f>ROUND((IF('Ground Base'!D$154&gt;ROUND(((1-GroundCommDiscount31Up-GroundCommIncentive)*'Ground Base'!D33),2),ROUND('Ground Base'!D$154*(1+GroundFuelSurcharge),2),ROUND(((1-GroundCommDiscount31Up-GroundCommIncentive)*'Ground Base'!D33)*(1+GroundFuelSurcharge),2)))*(1+FedEx_Markup),2)</f>
        <v>18.86</v>
      </c>
      <c r="E38" s="218">
        <f>ROUND((IF('Ground Base'!E$154&gt;ROUND(((1-GroundCommDiscount31Up-GroundCommIncentive)*'Ground Base'!E33),2),ROUND('Ground Base'!E$154*(1+GroundFuelSurcharge),2),ROUND(((1-GroundCommDiscount31Up-GroundCommIncentive)*'Ground Base'!E33)*(1+GroundFuelSurcharge),2)))*(1+FedEx_Markup),2)</f>
        <v>22.43</v>
      </c>
      <c r="F38" s="218">
        <f>ROUND((IF('Ground Base'!F$154&gt;ROUND(((1-GroundCommDiscount31Up-GroundCommIncentive)*'Ground Base'!F33),2),ROUND('Ground Base'!F$154*(1+GroundFuelSurcharge),2),ROUND(((1-GroundCommDiscount31Up-GroundCommIncentive)*'Ground Base'!F33)*(1+GroundFuelSurcharge),2)))*(1+FedEx_Markup),2)</f>
        <v>28.44</v>
      </c>
      <c r="G38" s="218">
        <f>ROUND((IF('Ground Base'!G$154&gt;ROUND(((1-GroundCommDiscount31Up-GroundCommIncentive)*'Ground Base'!G33),2),ROUND('Ground Base'!G$154*(1+GroundFuelSurcharge),2),ROUND(((1-GroundCommDiscount31Up-GroundCommIncentive)*'Ground Base'!G33)*(1+GroundFuelSurcharge),2)))*(1+FedEx_Markup),2)</f>
        <v>33.43</v>
      </c>
      <c r="H38" s="218">
        <f>ROUND((IF('Ground Base'!H$154&gt;ROUND(((1-GroundCommDiscount31Up-GroundCommIncentive)*'Ground Base'!H33),2),ROUND('Ground Base'!H$154*(1+GroundFuelSurcharge),2),ROUND(((1-GroundCommDiscount31Up-GroundCommIncentive)*'Ground Base'!H33)*(1+GroundFuelSurcharge),2)))*(1+FedEx_Markup),2)</f>
        <v>39.19</v>
      </c>
      <c r="I38" s="218">
        <f>ROUND((IF('Ground Base'!I$154&gt;ROUND(((1-GroundAKHIDiscount)*'Ground Base'!I33),2),ROUND('Ground Base'!I$154*(1+GroundFuelSurcharge),2),ROUND(((1-GroundAKHIDiscount)*'Ground Base'!I33)*(1+GroundFuelSurcharge),2)))*(1+FedEx_Markup),2)</f>
        <v>187.75</v>
      </c>
      <c r="J38" s="218">
        <f>ROUND((IF('Ground Base'!J$154&gt;ROUND(((1-GroundAKHIDiscount)*'Ground Base'!J33),2),ROUND('Ground Base'!J$154*(1+GroundFuelSurcharge),2),ROUND(((1-GroundAKHIDiscount)*'Ground Base'!J33)*(1+GroundFuelSurcharge),2)))*(1+FedEx_Markup),2)</f>
        <v>187.75</v>
      </c>
      <c r="K38" s="218">
        <f>ROUND((IF('Ground Base'!K$154&gt;ROUND(((1-GroundZone51Discount)*'Ground Base'!K33),2),ROUND('Ground Base'!K$154*(1+GroundFuelSurcharge),2),ROUND(((1-GroundZone51Discount)*'Ground Base'!K33)*(1+GroundFuelSurcharge),2)))*(1+FedEx_Markup),2)</f>
        <v>58.34</v>
      </c>
      <c r="L38" s="218">
        <f>ROUND((IF('Ground Base'!L$154&gt;ROUND(((1-GroundZone54Discount)*'Ground Base'!L33),2),ROUND('Ground Base'!L$154*(1+GroundFuelSurcharge),2),ROUND(((1-GroundZone54Discount)*'Ground Base'!L33)*(1+GroundFuelSurcharge),2)))*(1+FedEx_Markup),2)</f>
        <v>69.56</v>
      </c>
    </row>
    <row r="39" spans="1:26" ht="12.75" customHeight="1">
      <c r="A39" s="217">
        <v>32</v>
      </c>
      <c r="B39" s="218">
        <f>ROUND((IF('Ground Base'!B$154&gt;ROUND(((1-GroundCommDiscount31Up-GroundCommIncentive)*'Ground Base'!B34),2),ROUND('Ground Base'!B$154*(1+GroundFuelSurcharge),2),ROUND(((1-GroundCommDiscount31Up-GroundCommIncentive)*'Ground Base'!B34)*(1+GroundFuelSurcharge),2)))*(1+FedEx_Markup),2)</f>
        <v>15.72</v>
      </c>
      <c r="C39" s="218">
        <f>ROUND((IF('Ground Base'!C$154&gt;ROUND(((1-GroundCommDiscount31Up-GroundCommIncentive)*'Ground Base'!C34),2),ROUND('Ground Base'!C$154*(1+GroundFuelSurcharge),2),ROUND(((1-GroundCommDiscount31Up-GroundCommIncentive)*'Ground Base'!C34)*(1+GroundFuelSurcharge),2)))*(1+FedEx_Markup),2)</f>
        <v>17.14</v>
      </c>
      <c r="D39" s="218">
        <f>ROUND((IF('Ground Base'!D$154&gt;ROUND(((1-GroundCommDiscount31Up-GroundCommIncentive)*'Ground Base'!D34),2),ROUND('Ground Base'!D$154*(1+GroundFuelSurcharge),2),ROUND(((1-GroundCommDiscount31Up-GroundCommIncentive)*'Ground Base'!D34)*(1+GroundFuelSurcharge),2)))*(1+FedEx_Markup),2)</f>
        <v>18.87</v>
      </c>
      <c r="E39" s="218">
        <f>ROUND((IF('Ground Base'!E$154&gt;ROUND(((1-GroundCommDiscount31Up-GroundCommIncentive)*'Ground Base'!E34),2),ROUND('Ground Base'!E$154*(1+GroundFuelSurcharge),2),ROUND(((1-GroundCommDiscount31Up-GroundCommIncentive)*'Ground Base'!E34)*(1+GroundFuelSurcharge),2)))*(1+FedEx_Markup),2)</f>
        <v>22.44</v>
      </c>
      <c r="F39" s="218">
        <f>ROUND((IF('Ground Base'!F$154&gt;ROUND(((1-GroundCommDiscount31Up-GroundCommIncentive)*'Ground Base'!F34),2),ROUND('Ground Base'!F$154*(1+GroundFuelSurcharge),2),ROUND(((1-GroundCommDiscount31Up-GroundCommIncentive)*'Ground Base'!F34)*(1+GroundFuelSurcharge),2)))*(1+FedEx_Markup),2)</f>
        <v>28.45</v>
      </c>
      <c r="G39" s="218">
        <f>ROUND((IF('Ground Base'!G$154&gt;ROUND(((1-GroundCommDiscount31Up-GroundCommIncentive)*'Ground Base'!G34),2),ROUND('Ground Base'!G$154*(1+GroundFuelSurcharge),2),ROUND(((1-GroundCommDiscount31Up-GroundCommIncentive)*'Ground Base'!G34)*(1+GroundFuelSurcharge),2)))*(1+FedEx_Markup),2)</f>
        <v>33.44</v>
      </c>
      <c r="H39" s="218">
        <f>ROUND((IF('Ground Base'!H$154&gt;ROUND(((1-GroundCommDiscount31Up-GroundCommIncentive)*'Ground Base'!H34),2),ROUND('Ground Base'!H$154*(1+GroundFuelSurcharge),2),ROUND(((1-GroundCommDiscount31Up-GroundCommIncentive)*'Ground Base'!H34)*(1+GroundFuelSurcharge),2)))*(1+FedEx_Markup),2)</f>
        <v>39.619999999999997</v>
      </c>
      <c r="I39" s="218">
        <f>ROUND((IF('Ground Base'!I$154&gt;ROUND(((1-GroundAKHIDiscount)*'Ground Base'!I34),2),ROUND('Ground Base'!I$154*(1+GroundFuelSurcharge),2),ROUND(((1-GroundAKHIDiscount)*'Ground Base'!I34)*(1+GroundFuelSurcharge),2)))*(1+FedEx_Markup),2)</f>
        <v>188.4</v>
      </c>
      <c r="J39" s="218">
        <f>ROUND((IF('Ground Base'!J$154&gt;ROUND(((1-GroundAKHIDiscount)*'Ground Base'!J34),2),ROUND('Ground Base'!J$154*(1+GroundFuelSurcharge),2),ROUND(((1-GroundAKHIDiscount)*'Ground Base'!J34)*(1+GroundFuelSurcharge),2)))*(1+FedEx_Markup),2)</f>
        <v>188.4</v>
      </c>
      <c r="K39" s="218">
        <f>ROUND((IF('Ground Base'!K$154&gt;ROUND(((1-GroundZone51Discount)*'Ground Base'!K34),2),ROUND('Ground Base'!K$154*(1+GroundFuelSurcharge),2),ROUND(((1-GroundZone51Discount)*'Ground Base'!K34)*(1+GroundFuelSurcharge),2)))*(1+FedEx_Markup),2)</f>
        <v>59.59</v>
      </c>
      <c r="L39" s="218">
        <f>ROUND((IF('Ground Base'!L$154&gt;ROUND(((1-GroundZone54Discount)*'Ground Base'!L34),2),ROUND('Ground Base'!L$154*(1+GroundFuelSurcharge),2),ROUND(((1-GroundZone54Discount)*'Ground Base'!L34)*(1+GroundFuelSurcharge),2)))*(1+FedEx_Markup),2)</f>
        <v>71.099999999999994</v>
      </c>
    </row>
    <row r="40" spans="1:26" ht="12.75" customHeight="1">
      <c r="A40" s="217">
        <v>33</v>
      </c>
      <c r="B40" s="218">
        <f>ROUND((IF('Ground Base'!B$154&gt;ROUND(((1-GroundCommDiscount31Up-GroundCommIncentive)*'Ground Base'!B35),2),ROUND('Ground Base'!B$154*(1+GroundFuelSurcharge),2),ROUND(((1-GroundCommDiscount31Up-GroundCommIncentive)*'Ground Base'!B35)*(1+GroundFuelSurcharge),2)))*(1+FedEx_Markup),2)</f>
        <v>15.72</v>
      </c>
      <c r="C40" s="218">
        <f>ROUND((IF('Ground Base'!C$154&gt;ROUND(((1-GroundCommDiscount31Up-GroundCommIncentive)*'Ground Base'!C35),2),ROUND('Ground Base'!C$154*(1+GroundFuelSurcharge),2),ROUND(((1-GroundCommDiscount31Up-GroundCommIncentive)*'Ground Base'!C35)*(1+GroundFuelSurcharge),2)))*(1+FedEx_Markup),2)</f>
        <v>17.38</v>
      </c>
      <c r="D40" s="218">
        <f>ROUND((IF('Ground Base'!D$154&gt;ROUND(((1-GroundCommDiscount31Up-GroundCommIncentive)*'Ground Base'!D35),2),ROUND('Ground Base'!D$154*(1+GroundFuelSurcharge),2),ROUND(((1-GroundCommDiscount31Up-GroundCommIncentive)*'Ground Base'!D35)*(1+GroundFuelSurcharge),2)))*(1+FedEx_Markup),2)</f>
        <v>19.72</v>
      </c>
      <c r="E40" s="218">
        <f>ROUND((IF('Ground Base'!E$154&gt;ROUND(((1-GroundCommDiscount31Up-GroundCommIncentive)*'Ground Base'!E35),2),ROUND('Ground Base'!E$154*(1+GroundFuelSurcharge),2),ROUND(((1-GroundCommDiscount31Up-GroundCommIncentive)*'Ground Base'!E35)*(1+GroundFuelSurcharge),2)))*(1+FedEx_Markup),2)</f>
        <v>23.48</v>
      </c>
      <c r="F40" s="218">
        <f>ROUND((IF('Ground Base'!F$154&gt;ROUND(((1-GroundCommDiscount31Up-GroundCommIncentive)*'Ground Base'!F35),2),ROUND('Ground Base'!F$154*(1+GroundFuelSurcharge),2),ROUND(((1-GroundCommDiscount31Up-GroundCommIncentive)*'Ground Base'!F35)*(1+GroundFuelSurcharge),2)))*(1+FedEx_Markup),2)</f>
        <v>30.25</v>
      </c>
      <c r="G40" s="218">
        <f>ROUND((IF('Ground Base'!G$154&gt;ROUND(((1-GroundCommDiscount31Up-GroundCommIncentive)*'Ground Base'!G35),2),ROUND('Ground Base'!G$154*(1+GroundFuelSurcharge),2),ROUND(((1-GroundCommDiscount31Up-GroundCommIncentive)*'Ground Base'!G35)*(1+GroundFuelSurcharge),2)))*(1+FedEx_Markup),2)</f>
        <v>34.549999999999997</v>
      </c>
      <c r="H40" s="218">
        <f>ROUND((IF('Ground Base'!H$154&gt;ROUND(((1-GroundCommDiscount31Up-GroundCommIncentive)*'Ground Base'!H35),2),ROUND('Ground Base'!H$154*(1+GroundFuelSurcharge),2),ROUND(((1-GroundCommDiscount31Up-GroundCommIncentive)*'Ground Base'!H35)*(1+GroundFuelSurcharge),2)))*(1+FedEx_Markup),2)</f>
        <v>40.69</v>
      </c>
      <c r="I40" s="218">
        <f>ROUND((IF('Ground Base'!I$154&gt;ROUND(((1-GroundAKHIDiscount)*'Ground Base'!I35),2),ROUND('Ground Base'!I$154*(1+GroundFuelSurcharge),2),ROUND(((1-GroundAKHIDiscount)*'Ground Base'!I35)*(1+GroundFuelSurcharge),2)))*(1+FedEx_Markup),2)</f>
        <v>192.34</v>
      </c>
      <c r="J40" s="218">
        <f>ROUND((IF('Ground Base'!J$154&gt;ROUND(((1-GroundAKHIDiscount)*'Ground Base'!J35),2),ROUND('Ground Base'!J$154*(1+GroundFuelSurcharge),2),ROUND(((1-GroundAKHIDiscount)*'Ground Base'!J35)*(1+GroundFuelSurcharge),2)))*(1+FedEx_Markup),2)</f>
        <v>192.34</v>
      </c>
      <c r="K40" s="218">
        <f>ROUND((IF('Ground Base'!K$154&gt;ROUND(((1-GroundZone51Discount)*'Ground Base'!K35),2),ROUND('Ground Base'!K$154*(1+GroundFuelSurcharge),2),ROUND(((1-GroundZone51Discount)*'Ground Base'!K35)*(1+GroundFuelSurcharge),2)))*(1+FedEx_Markup),2)</f>
        <v>61.08</v>
      </c>
      <c r="L40" s="218">
        <f>ROUND((IF('Ground Base'!L$154&gt;ROUND(((1-GroundZone54Discount)*'Ground Base'!L35),2),ROUND('Ground Base'!L$154*(1+GroundFuelSurcharge),2),ROUND(((1-GroundZone54Discount)*'Ground Base'!L35)*(1+GroundFuelSurcharge),2)))*(1+FedEx_Markup),2)</f>
        <v>72.63</v>
      </c>
    </row>
    <row r="41" spans="1:26" ht="12.75" customHeight="1">
      <c r="A41" s="217">
        <v>34</v>
      </c>
      <c r="B41" s="218">
        <f>ROUND((IF('Ground Base'!B$154&gt;ROUND(((1-GroundCommDiscount31Up-GroundCommIncentive)*'Ground Base'!B36),2),ROUND('Ground Base'!B$154*(1+GroundFuelSurcharge),2),ROUND(((1-GroundCommDiscount31Up-GroundCommIncentive)*'Ground Base'!B36)*(1+GroundFuelSurcharge),2)))*(1+FedEx_Markup),2)</f>
        <v>15.72</v>
      </c>
      <c r="C41" s="218">
        <f>ROUND((IF('Ground Base'!C$154&gt;ROUND(((1-GroundCommDiscount31Up-GroundCommIncentive)*'Ground Base'!C36),2),ROUND('Ground Base'!C$154*(1+GroundFuelSurcharge),2),ROUND(((1-GroundCommDiscount31Up-GroundCommIncentive)*'Ground Base'!C36)*(1+GroundFuelSurcharge),2)))*(1+FedEx_Markup),2)</f>
        <v>17.78</v>
      </c>
      <c r="D41" s="218">
        <f>ROUND((IF('Ground Base'!D$154&gt;ROUND(((1-GroundCommDiscount31Up-GroundCommIncentive)*'Ground Base'!D36),2),ROUND('Ground Base'!D$154*(1+GroundFuelSurcharge),2),ROUND(((1-GroundCommDiscount31Up-GroundCommIncentive)*'Ground Base'!D36)*(1+GroundFuelSurcharge),2)))*(1+FedEx_Markup),2)</f>
        <v>20.34</v>
      </c>
      <c r="E41" s="218">
        <f>ROUND((IF('Ground Base'!E$154&gt;ROUND(((1-GroundCommDiscount31Up-GroundCommIncentive)*'Ground Base'!E36),2),ROUND('Ground Base'!E$154*(1+GroundFuelSurcharge),2),ROUND(((1-GroundCommDiscount31Up-GroundCommIncentive)*'Ground Base'!E36)*(1+GroundFuelSurcharge),2)))*(1+FedEx_Markup),2)</f>
        <v>24.31</v>
      </c>
      <c r="F41" s="218">
        <f>ROUND((IF('Ground Base'!F$154&gt;ROUND(((1-GroundCommDiscount31Up-GroundCommIncentive)*'Ground Base'!F36),2),ROUND('Ground Base'!F$154*(1+GroundFuelSurcharge),2),ROUND(((1-GroundCommDiscount31Up-GroundCommIncentive)*'Ground Base'!F36)*(1+GroundFuelSurcharge),2)))*(1+FedEx_Markup),2)</f>
        <v>30.26</v>
      </c>
      <c r="G41" s="218">
        <f>ROUND((IF('Ground Base'!G$154&gt;ROUND(((1-GroundCommDiscount31Up-GroundCommIncentive)*'Ground Base'!G36),2),ROUND('Ground Base'!G$154*(1+GroundFuelSurcharge),2),ROUND(((1-GroundCommDiscount31Up-GroundCommIncentive)*'Ground Base'!G36)*(1+GroundFuelSurcharge),2)))*(1+FedEx_Markup),2)</f>
        <v>35.58</v>
      </c>
      <c r="H41" s="218">
        <f>ROUND((IF('Ground Base'!H$154&gt;ROUND(((1-GroundCommDiscount31Up-GroundCommIncentive)*'Ground Base'!H36),2),ROUND('Ground Base'!H$154*(1+GroundFuelSurcharge),2),ROUND(((1-GroundCommDiscount31Up-GroundCommIncentive)*'Ground Base'!H36)*(1+GroundFuelSurcharge),2)))*(1+FedEx_Markup),2)</f>
        <v>42.63</v>
      </c>
      <c r="I41" s="218">
        <f>ROUND((IF('Ground Base'!I$154&gt;ROUND(((1-GroundAKHIDiscount)*'Ground Base'!I36),2),ROUND('Ground Base'!I$154*(1+GroundFuelSurcharge),2),ROUND(((1-GroundAKHIDiscount)*'Ground Base'!I36)*(1+GroundFuelSurcharge),2)))*(1+FedEx_Markup),2)</f>
        <v>196.66</v>
      </c>
      <c r="J41" s="218">
        <f>ROUND((IF('Ground Base'!J$154&gt;ROUND(((1-GroundAKHIDiscount)*'Ground Base'!J36),2),ROUND('Ground Base'!J$154*(1+GroundFuelSurcharge),2),ROUND(((1-GroundAKHIDiscount)*'Ground Base'!J36)*(1+GroundFuelSurcharge),2)))*(1+FedEx_Markup),2)</f>
        <v>196.66</v>
      </c>
      <c r="K41" s="218">
        <f>ROUND((IF('Ground Base'!K$154&gt;ROUND(((1-GroundZone51Discount)*'Ground Base'!K36),2),ROUND('Ground Base'!K$154*(1+GroundFuelSurcharge),2),ROUND(((1-GroundZone51Discount)*'Ground Base'!K36)*(1+GroundFuelSurcharge),2)))*(1+FedEx_Markup),2)</f>
        <v>62.24</v>
      </c>
      <c r="L41" s="218">
        <f>ROUND((IF('Ground Base'!L$154&gt;ROUND(((1-GroundZone54Discount)*'Ground Base'!L36),2),ROUND('Ground Base'!L$154*(1+GroundFuelSurcharge),2),ROUND(((1-GroundZone54Discount)*'Ground Base'!L36)*(1+GroundFuelSurcharge),2)))*(1+FedEx_Markup),2)</f>
        <v>74.150000000000006</v>
      </c>
    </row>
    <row r="42" spans="1:26" ht="12.75" customHeight="1">
      <c r="A42" s="217">
        <v>35</v>
      </c>
      <c r="B42" s="218">
        <f>ROUND((IF('Ground Base'!B$154&gt;ROUND(((1-GroundCommDiscount31Up-GroundCommIncentive)*'Ground Base'!B37),2),ROUND('Ground Base'!B$154*(1+GroundFuelSurcharge),2),ROUND(((1-GroundCommDiscount31Up-GroundCommIncentive)*'Ground Base'!B37)*(1+GroundFuelSurcharge),2)))*(1+FedEx_Markup),2)</f>
        <v>15.72</v>
      </c>
      <c r="C42" s="218">
        <f>ROUND((IF('Ground Base'!C$154&gt;ROUND(((1-GroundCommDiscount31Up-GroundCommIncentive)*'Ground Base'!C37),2),ROUND('Ground Base'!C$154*(1+GroundFuelSurcharge),2),ROUND(((1-GroundCommDiscount31Up-GroundCommIncentive)*'Ground Base'!C37)*(1+GroundFuelSurcharge),2)))*(1+FedEx_Markup),2)</f>
        <v>18.71</v>
      </c>
      <c r="D42" s="218">
        <f>ROUND((IF('Ground Base'!D$154&gt;ROUND(((1-GroundCommDiscount31Up-GroundCommIncentive)*'Ground Base'!D37),2),ROUND('Ground Base'!D$154*(1+GroundFuelSurcharge),2),ROUND(((1-GroundCommDiscount31Up-GroundCommIncentive)*'Ground Base'!D37)*(1+GroundFuelSurcharge),2)))*(1+FedEx_Markup),2)</f>
        <v>21.01</v>
      </c>
      <c r="E42" s="218">
        <f>ROUND((IF('Ground Base'!E$154&gt;ROUND(((1-GroundCommDiscount31Up-GroundCommIncentive)*'Ground Base'!E37),2),ROUND('Ground Base'!E$154*(1+GroundFuelSurcharge),2),ROUND(((1-GroundCommDiscount31Up-GroundCommIncentive)*'Ground Base'!E37)*(1+GroundFuelSurcharge),2)))*(1+FedEx_Markup),2)</f>
        <v>24.9</v>
      </c>
      <c r="F42" s="218">
        <f>ROUND((IF('Ground Base'!F$154&gt;ROUND(((1-GroundCommDiscount31Up-GroundCommIncentive)*'Ground Base'!F37),2),ROUND('Ground Base'!F$154*(1+GroundFuelSurcharge),2),ROUND(((1-GroundCommDiscount31Up-GroundCommIncentive)*'Ground Base'!F37)*(1+GroundFuelSurcharge),2)))*(1+FedEx_Markup),2)</f>
        <v>30.76</v>
      </c>
      <c r="G42" s="218">
        <f>ROUND((IF('Ground Base'!G$154&gt;ROUND(((1-GroundCommDiscount31Up-GroundCommIncentive)*'Ground Base'!G37),2),ROUND('Ground Base'!G$154*(1+GroundFuelSurcharge),2),ROUND(((1-GroundCommDiscount31Up-GroundCommIncentive)*'Ground Base'!G37)*(1+GroundFuelSurcharge),2)))*(1+FedEx_Markup),2)</f>
        <v>36.5</v>
      </c>
      <c r="H42" s="218">
        <f>ROUND((IF('Ground Base'!H$154&gt;ROUND(((1-GroundCommDiscount31Up-GroundCommIncentive)*'Ground Base'!H37),2),ROUND('Ground Base'!H$154*(1+GroundFuelSurcharge),2),ROUND(((1-GroundCommDiscount31Up-GroundCommIncentive)*'Ground Base'!H37)*(1+GroundFuelSurcharge),2)))*(1+FedEx_Markup),2)</f>
        <v>42.94</v>
      </c>
      <c r="I42" s="218">
        <f>ROUND((IF('Ground Base'!I$154&gt;ROUND(((1-GroundAKHIDiscount)*'Ground Base'!I37),2),ROUND('Ground Base'!I$154*(1+GroundFuelSurcharge),2),ROUND(((1-GroundAKHIDiscount)*'Ground Base'!I37)*(1+GroundFuelSurcharge),2)))*(1+FedEx_Markup),2)</f>
        <v>201.54</v>
      </c>
      <c r="J42" s="218">
        <f>ROUND((IF('Ground Base'!J$154&gt;ROUND(((1-GroundAKHIDiscount)*'Ground Base'!J37),2),ROUND('Ground Base'!J$154*(1+GroundFuelSurcharge),2),ROUND(((1-GroundAKHIDiscount)*'Ground Base'!J37)*(1+GroundFuelSurcharge),2)))*(1+FedEx_Markup),2)</f>
        <v>201.54</v>
      </c>
      <c r="K42" s="218">
        <f>ROUND((IF('Ground Base'!K$154&gt;ROUND(((1-GroundZone51Discount)*'Ground Base'!K37),2),ROUND('Ground Base'!K$154*(1+GroundFuelSurcharge),2),ROUND(((1-GroundZone51Discount)*'Ground Base'!K37)*(1+GroundFuelSurcharge),2)))*(1+FedEx_Markup),2)</f>
        <v>63.43</v>
      </c>
      <c r="L42" s="218">
        <f>ROUND((IF('Ground Base'!L$154&gt;ROUND(((1-GroundZone54Discount)*'Ground Base'!L37),2),ROUND('Ground Base'!L$154*(1+GroundFuelSurcharge),2),ROUND(((1-GroundZone54Discount)*'Ground Base'!L37)*(1+GroundFuelSurcharge),2)))*(1+FedEx_Markup),2)</f>
        <v>75.13</v>
      </c>
    </row>
    <row r="43" spans="1:26" ht="12.75" customHeight="1">
      <c r="A43" s="217">
        <v>36</v>
      </c>
      <c r="B43" s="218">
        <f>ROUND((IF('Ground Base'!B$154&gt;ROUND(((1-GroundCommDiscount31Up-GroundCommIncentive)*'Ground Base'!B38),2),ROUND('Ground Base'!B$154*(1+GroundFuelSurcharge),2),ROUND(((1-GroundCommDiscount31Up-GroundCommIncentive)*'Ground Base'!B38)*(1+GroundFuelSurcharge),2)))*(1+FedEx_Markup),2)</f>
        <v>15.72</v>
      </c>
      <c r="C43" s="218">
        <f>ROUND((IF('Ground Base'!C$154&gt;ROUND(((1-GroundCommDiscount31Up-GroundCommIncentive)*'Ground Base'!C38),2),ROUND('Ground Base'!C$154*(1+GroundFuelSurcharge),2),ROUND(((1-GroundCommDiscount31Up-GroundCommIncentive)*'Ground Base'!C38)*(1+GroundFuelSurcharge),2)))*(1+FedEx_Markup),2)</f>
        <v>18.72</v>
      </c>
      <c r="D43" s="218">
        <f>ROUND((IF('Ground Base'!D$154&gt;ROUND(((1-GroundCommDiscount31Up-GroundCommIncentive)*'Ground Base'!D38),2),ROUND('Ground Base'!D$154*(1+GroundFuelSurcharge),2),ROUND(((1-GroundCommDiscount31Up-GroundCommIncentive)*'Ground Base'!D38)*(1+GroundFuelSurcharge),2)))*(1+FedEx_Markup),2)</f>
        <v>21.18</v>
      </c>
      <c r="E43" s="218">
        <f>ROUND((IF('Ground Base'!E$154&gt;ROUND(((1-GroundCommDiscount31Up-GroundCommIncentive)*'Ground Base'!E38),2),ROUND('Ground Base'!E$154*(1+GroundFuelSurcharge),2),ROUND(((1-GroundCommDiscount31Up-GroundCommIncentive)*'Ground Base'!E38)*(1+GroundFuelSurcharge),2)))*(1+FedEx_Markup),2)</f>
        <v>25.51</v>
      </c>
      <c r="F43" s="218">
        <f>ROUND((IF('Ground Base'!F$154&gt;ROUND(((1-GroundCommDiscount31Up-GroundCommIncentive)*'Ground Base'!F38),2),ROUND('Ground Base'!F$154*(1+GroundFuelSurcharge),2),ROUND(((1-GroundCommDiscount31Up-GroundCommIncentive)*'Ground Base'!F38)*(1+GroundFuelSurcharge),2)))*(1+FedEx_Markup),2)</f>
        <v>32.06</v>
      </c>
      <c r="G43" s="218">
        <f>ROUND((IF('Ground Base'!G$154&gt;ROUND(((1-GroundCommDiscount31Up-GroundCommIncentive)*'Ground Base'!G38),2),ROUND('Ground Base'!G$154*(1+GroundFuelSurcharge),2),ROUND(((1-GroundCommDiscount31Up-GroundCommIncentive)*'Ground Base'!G38)*(1+GroundFuelSurcharge),2)))*(1+FedEx_Markup),2)</f>
        <v>37.74</v>
      </c>
      <c r="H43" s="218">
        <f>ROUND((IF('Ground Base'!H$154&gt;ROUND(((1-GroundCommDiscount31Up-GroundCommIncentive)*'Ground Base'!H38),2),ROUND('Ground Base'!H$154*(1+GroundFuelSurcharge),2),ROUND(((1-GroundCommDiscount31Up-GroundCommIncentive)*'Ground Base'!H38)*(1+GroundFuelSurcharge),2)))*(1+FedEx_Markup),2)</f>
        <v>44.63</v>
      </c>
      <c r="I43" s="218">
        <f>ROUND((IF('Ground Base'!I$154&gt;ROUND(((1-GroundAKHIDiscount)*'Ground Base'!I38),2),ROUND('Ground Base'!I$154*(1+GroundFuelSurcharge),2),ROUND(((1-GroundAKHIDiscount)*'Ground Base'!I38)*(1+GroundFuelSurcharge),2)))*(1+FedEx_Markup),2)</f>
        <v>205.84</v>
      </c>
      <c r="J43" s="218">
        <f>ROUND((IF('Ground Base'!J$154&gt;ROUND(((1-GroundAKHIDiscount)*'Ground Base'!J38),2),ROUND('Ground Base'!J$154*(1+GroundFuelSurcharge),2),ROUND(((1-GroundAKHIDiscount)*'Ground Base'!J38)*(1+GroundFuelSurcharge),2)))*(1+FedEx_Markup),2)</f>
        <v>205.84</v>
      </c>
      <c r="K43" s="218">
        <f>ROUND((IF('Ground Base'!K$154&gt;ROUND(((1-GroundZone51Discount)*'Ground Base'!K38),2),ROUND('Ground Base'!K$154*(1+GroundFuelSurcharge),2),ROUND(((1-GroundZone51Discount)*'Ground Base'!K38)*(1+GroundFuelSurcharge),2)))*(1+FedEx_Markup),2)</f>
        <v>64.599999999999994</v>
      </c>
      <c r="L43" s="218">
        <f>ROUND((IF('Ground Base'!L$154&gt;ROUND(((1-GroundZone54Discount)*'Ground Base'!L38),2),ROUND('Ground Base'!L$154*(1+GroundFuelSurcharge),2),ROUND(((1-GroundZone54Discount)*'Ground Base'!L38)*(1+GroundFuelSurcharge),2)))*(1+FedEx_Markup),2)</f>
        <v>76.88</v>
      </c>
    </row>
    <row r="44" spans="1:26" ht="12.75" customHeight="1">
      <c r="A44" s="217">
        <v>37</v>
      </c>
      <c r="B44" s="218">
        <f>ROUND((IF('Ground Base'!B$154&gt;ROUND(((1-GroundCommDiscount31Up-GroundCommIncentive)*'Ground Base'!B39),2),ROUND('Ground Base'!B$154*(1+GroundFuelSurcharge),2),ROUND(((1-GroundCommDiscount31Up-GroundCommIncentive)*'Ground Base'!B39)*(1+GroundFuelSurcharge),2)))*(1+FedEx_Markup),2)</f>
        <v>15.72</v>
      </c>
      <c r="C44" s="218">
        <f>ROUND((IF('Ground Base'!C$154&gt;ROUND(((1-GroundCommDiscount31Up-GroundCommIncentive)*'Ground Base'!C39),2),ROUND('Ground Base'!C$154*(1+GroundFuelSurcharge),2),ROUND(((1-GroundCommDiscount31Up-GroundCommIncentive)*'Ground Base'!C39)*(1+GroundFuelSurcharge),2)))*(1+FedEx_Markup),2)</f>
        <v>18.98</v>
      </c>
      <c r="D44" s="218">
        <f>ROUND((IF('Ground Base'!D$154&gt;ROUND(((1-GroundCommDiscount31Up-GroundCommIncentive)*'Ground Base'!D39),2),ROUND('Ground Base'!D$154*(1+GroundFuelSurcharge),2),ROUND(((1-GroundCommDiscount31Up-GroundCommIncentive)*'Ground Base'!D39)*(1+GroundFuelSurcharge),2)))*(1+FedEx_Markup),2)</f>
        <v>21.4</v>
      </c>
      <c r="E44" s="218">
        <f>ROUND((IF('Ground Base'!E$154&gt;ROUND(((1-GroundCommDiscount31Up-GroundCommIncentive)*'Ground Base'!E39),2),ROUND('Ground Base'!E$154*(1+GroundFuelSurcharge),2),ROUND(((1-GroundCommDiscount31Up-GroundCommIncentive)*'Ground Base'!E39)*(1+GroundFuelSurcharge),2)))*(1+FedEx_Markup),2)</f>
        <v>26.07</v>
      </c>
      <c r="F44" s="218">
        <f>ROUND((IF('Ground Base'!F$154&gt;ROUND(((1-GroundCommDiscount31Up-GroundCommIncentive)*'Ground Base'!F39),2),ROUND('Ground Base'!F$154*(1+GroundFuelSurcharge),2),ROUND(((1-GroundCommDiscount31Up-GroundCommIncentive)*'Ground Base'!F39)*(1+GroundFuelSurcharge),2)))*(1+FedEx_Markup),2)</f>
        <v>32.200000000000003</v>
      </c>
      <c r="G44" s="218">
        <f>ROUND((IF('Ground Base'!G$154&gt;ROUND(((1-GroundCommDiscount31Up-GroundCommIncentive)*'Ground Base'!G39),2),ROUND('Ground Base'!G$154*(1+GroundFuelSurcharge),2),ROUND(((1-GroundCommDiscount31Up-GroundCommIncentive)*'Ground Base'!G39)*(1+GroundFuelSurcharge),2)))*(1+FedEx_Markup),2)</f>
        <v>38.96</v>
      </c>
      <c r="H44" s="218">
        <f>ROUND((IF('Ground Base'!H$154&gt;ROUND(((1-GroundCommDiscount31Up-GroundCommIncentive)*'Ground Base'!H39),2),ROUND('Ground Base'!H$154*(1+GroundFuelSurcharge),2),ROUND(((1-GroundCommDiscount31Up-GroundCommIncentive)*'Ground Base'!H39)*(1+GroundFuelSurcharge),2)))*(1+FedEx_Markup),2)</f>
        <v>45.07</v>
      </c>
      <c r="I44" s="218">
        <f>ROUND((IF('Ground Base'!I$154&gt;ROUND(((1-GroundAKHIDiscount)*'Ground Base'!I39),2),ROUND('Ground Base'!I$154*(1+GroundFuelSurcharge),2),ROUND(((1-GroundAKHIDiscount)*'Ground Base'!I39)*(1+GroundFuelSurcharge),2)))*(1+FedEx_Markup),2)</f>
        <v>210.57</v>
      </c>
      <c r="J44" s="218">
        <f>ROUND((IF('Ground Base'!J$154&gt;ROUND(((1-GroundAKHIDiscount)*'Ground Base'!J39),2),ROUND('Ground Base'!J$154*(1+GroundFuelSurcharge),2),ROUND(((1-GroundAKHIDiscount)*'Ground Base'!J39)*(1+GroundFuelSurcharge),2)))*(1+FedEx_Markup),2)</f>
        <v>210.57</v>
      </c>
      <c r="K44" s="218">
        <f>ROUND((IF('Ground Base'!K$154&gt;ROUND(((1-GroundZone51Discount)*'Ground Base'!K39),2),ROUND('Ground Base'!K$154*(1+GroundFuelSurcharge),2),ROUND(((1-GroundZone51Discount)*'Ground Base'!K39)*(1+GroundFuelSurcharge),2)))*(1+FedEx_Markup),2)</f>
        <v>66.040000000000006</v>
      </c>
      <c r="L44" s="218">
        <f>ROUND((IF('Ground Base'!L$154&gt;ROUND(((1-GroundZone54Discount)*'Ground Base'!L39),2),ROUND('Ground Base'!L$154*(1+GroundFuelSurcharge),2),ROUND(((1-GroundZone54Discount)*'Ground Base'!L39)*(1+GroundFuelSurcharge),2)))*(1+FedEx_Markup),2)</f>
        <v>78.44</v>
      </c>
    </row>
    <row r="45" spans="1:26" ht="12.75" customHeight="1">
      <c r="A45" s="217">
        <v>38</v>
      </c>
      <c r="B45" s="218">
        <f>ROUND((IF('Ground Base'!B$154&gt;ROUND(((1-GroundCommDiscount31Up-GroundCommIncentive)*'Ground Base'!B40),2),ROUND('Ground Base'!B$154*(1+GroundFuelSurcharge),2),ROUND(((1-GroundCommDiscount31Up-GroundCommIncentive)*'Ground Base'!B40)*(1+GroundFuelSurcharge),2)))*(1+FedEx_Markup),2)</f>
        <v>15.92</v>
      </c>
      <c r="C45" s="218">
        <f>ROUND((IF('Ground Base'!C$154&gt;ROUND(((1-GroundCommDiscount31Up-GroundCommIncentive)*'Ground Base'!C40),2),ROUND('Ground Base'!C$154*(1+GroundFuelSurcharge),2),ROUND(((1-GroundCommDiscount31Up-GroundCommIncentive)*'Ground Base'!C40)*(1+GroundFuelSurcharge),2)))*(1+FedEx_Markup),2)</f>
        <v>19.260000000000002</v>
      </c>
      <c r="D45" s="218">
        <f>ROUND((IF('Ground Base'!D$154&gt;ROUND(((1-GroundCommDiscount31Up-GroundCommIncentive)*'Ground Base'!D40),2),ROUND('Ground Base'!D$154*(1+GroundFuelSurcharge),2),ROUND(((1-GroundCommDiscount31Up-GroundCommIncentive)*'Ground Base'!D40)*(1+GroundFuelSurcharge),2)))*(1+FedEx_Markup),2)</f>
        <v>22.08</v>
      </c>
      <c r="E45" s="218">
        <f>ROUND((IF('Ground Base'!E$154&gt;ROUND(((1-GroundCommDiscount31Up-GroundCommIncentive)*'Ground Base'!E40),2),ROUND('Ground Base'!E$154*(1+GroundFuelSurcharge),2),ROUND(((1-GroundCommDiscount31Up-GroundCommIncentive)*'Ground Base'!E40)*(1+GroundFuelSurcharge),2)))*(1+FedEx_Markup),2)</f>
        <v>26.7</v>
      </c>
      <c r="F45" s="218">
        <f>ROUND((IF('Ground Base'!F$154&gt;ROUND(((1-GroundCommDiscount31Up-GroundCommIncentive)*'Ground Base'!F40),2),ROUND('Ground Base'!F$154*(1+GroundFuelSurcharge),2),ROUND(((1-GroundCommDiscount31Up-GroundCommIncentive)*'Ground Base'!F40)*(1+GroundFuelSurcharge),2)))*(1+FedEx_Markup),2)</f>
        <v>32.92</v>
      </c>
      <c r="G45" s="218">
        <f>ROUND((IF('Ground Base'!G$154&gt;ROUND(((1-GroundCommDiscount31Up-GroundCommIncentive)*'Ground Base'!G40),2),ROUND('Ground Base'!G$154*(1+GroundFuelSurcharge),2),ROUND(((1-GroundCommDiscount31Up-GroundCommIncentive)*'Ground Base'!G40)*(1+GroundFuelSurcharge),2)))*(1+FedEx_Markup),2)</f>
        <v>39.11</v>
      </c>
      <c r="H45" s="218">
        <f>ROUND((IF('Ground Base'!H$154&gt;ROUND(((1-GroundCommDiscount31Up-GroundCommIncentive)*'Ground Base'!H40),2),ROUND('Ground Base'!H$154*(1+GroundFuelSurcharge),2),ROUND(((1-GroundCommDiscount31Up-GroundCommIncentive)*'Ground Base'!H40)*(1+GroundFuelSurcharge),2)))*(1+FedEx_Markup),2)</f>
        <v>45.91</v>
      </c>
      <c r="I45" s="218">
        <f>ROUND((IF('Ground Base'!I$154&gt;ROUND(((1-GroundAKHIDiscount)*'Ground Base'!I40),2),ROUND('Ground Base'!I$154*(1+GroundFuelSurcharge),2),ROUND(((1-GroundAKHIDiscount)*'Ground Base'!I40)*(1+GroundFuelSurcharge),2)))*(1+FedEx_Markup),2)</f>
        <v>215.59</v>
      </c>
      <c r="J45" s="218">
        <f>ROUND((IF('Ground Base'!J$154&gt;ROUND(((1-GroundAKHIDiscount)*'Ground Base'!J40),2),ROUND('Ground Base'!J$154*(1+GroundFuelSurcharge),2),ROUND(((1-GroundAKHIDiscount)*'Ground Base'!J40)*(1+GroundFuelSurcharge),2)))*(1+FedEx_Markup),2)</f>
        <v>215.59</v>
      </c>
      <c r="K45" s="218">
        <f>ROUND((IF('Ground Base'!K$154&gt;ROUND(((1-GroundZone51Discount)*'Ground Base'!K40),2),ROUND('Ground Base'!K$154*(1+GroundFuelSurcharge),2),ROUND(((1-GroundZone51Discount)*'Ground Base'!K40)*(1+GroundFuelSurcharge),2)))*(1+FedEx_Markup),2)</f>
        <v>67.25</v>
      </c>
      <c r="L45" s="218">
        <f>ROUND((IF('Ground Base'!L$154&gt;ROUND(((1-GroundZone54Discount)*'Ground Base'!L40),2),ROUND('Ground Base'!L$154*(1+GroundFuelSurcharge),2),ROUND(((1-GroundZone54Discount)*'Ground Base'!L40)*(1+GroundFuelSurcharge),2)))*(1+FedEx_Markup),2)</f>
        <v>79.790000000000006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2.75" customHeight="1">
      <c r="A46" s="217">
        <v>39</v>
      </c>
      <c r="B46" s="218">
        <f>ROUND((IF('Ground Base'!B$154&gt;ROUND(((1-GroundCommDiscount31Up-GroundCommIncentive)*'Ground Base'!B41),2),ROUND('Ground Base'!B$154*(1+GroundFuelSurcharge),2),ROUND(((1-GroundCommDiscount31Up-GroundCommIncentive)*'Ground Base'!B41)*(1+GroundFuelSurcharge),2)))*(1+FedEx_Markup),2)</f>
        <v>16.46</v>
      </c>
      <c r="C46" s="218">
        <f>ROUND((IF('Ground Base'!C$154&gt;ROUND(((1-GroundCommDiscount31Up-GroundCommIncentive)*'Ground Base'!C41),2),ROUND('Ground Base'!C$154*(1+GroundFuelSurcharge),2),ROUND(((1-GroundCommDiscount31Up-GroundCommIncentive)*'Ground Base'!C41)*(1+GroundFuelSurcharge),2)))*(1+FedEx_Markup),2)</f>
        <v>20.010000000000002</v>
      </c>
      <c r="D46" s="218">
        <f>ROUND((IF('Ground Base'!D$154&gt;ROUND(((1-GroundCommDiscount31Up-GroundCommIncentive)*'Ground Base'!D41),2),ROUND('Ground Base'!D$154*(1+GroundFuelSurcharge),2),ROUND(((1-GroundCommDiscount31Up-GroundCommIncentive)*'Ground Base'!D41)*(1+GroundFuelSurcharge),2)))*(1+FedEx_Markup),2)</f>
        <v>23.03</v>
      </c>
      <c r="E46" s="218">
        <f>ROUND((IF('Ground Base'!E$154&gt;ROUND(((1-GroundCommDiscount31Up-GroundCommIncentive)*'Ground Base'!E41),2),ROUND('Ground Base'!E$154*(1+GroundFuelSurcharge),2),ROUND(((1-GroundCommDiscount31Up-GroundCommIncentive)*'Ground Base'!E41)*(1+GroundFuelSurcharge),2)))*(1+FedEx_Markup),2)</f>
        <v>27.52</v>
      </c>
      <c r="F46" s="218">
        <f>ROUND((IF('Ground Base'!F$154&gt;ROUND(((1-GroundCommDiscount31Up-GroundCommIncentive)*'Ground Base'!F41),2),ROUND('Ground Base'!F$154*(1+GroundFuelSurcharge),2),ROUND(((1-GroundCommDiscount31Up-GroundCommIncentive)*'Ground Base'!F41)*(1+GroundFuelSurcharge),2)))*(1+FedEx_Markup),2)</f>
        <v>34.42</v>
      </c>
      <c r="G46" s="218">
        <f>ROUND((IF('Ground Base'!G$154&gt;ROUND(((1-GroundCommDiscount31Up-GroundCommIncentive)*'Ground Base'!G41),2),ROUND('Ground Base'!G$154*(1+GroundFuelSurcharge),2),ROUND(((1-GroundCommDiscount31Up-GroundCommIncentive)*'Ground Base'!G41)*(1+GroundFuelSurcharge),2)))*(1+FedEx_Markup),2)</f>
        <v>40.65</v>
      </c>
      <c r="H46" s="218">
        <f>ROUND((IF('Ground Base'!H$154&gt;ROUND(((1-GroundCommDiscount31Up-GroundCommIncentive)*'Ground Base'!H41),2),ROUND('Ground Base'!H$154*(1+GroundFuelSurcharge),2),ROUND(((1-GroundCommDiscount31Up-GroundCommIncentive)*'Ground Base'!H41)*(1+GroundFuelSurcharge),2)))*(1+FedEx_Markup),2)</f>
        <v>46.85</v>
      </c>
      <c r="I46" s="218">
        <f>ROUND((IF('Ground Base'!I$154&gt;ROUND(((1-GroundAKHIDiscount)*'Ground Base'!I41),2),ROUND('Ground Base'!I$154*(1+GroundFuelSurcharge),2),ROUND(((1-GroundAKHIDiscount)*'Ground Base'!I41)*(1+GroundFuelSurcharge),2)))*(1+FedEx_Markup),2)</f>
        <v>220.24</v>
      </c>
      <c r="J46" s="218">
        <f>ROUND((IF('Ground Base'!J$154&gt;ROUND(((1-GroundAKHIDiscount)*'Ground Base'!J41),2),ROUND('Ground Base'!J$154*(1+GroundFuelSurcharge),2),ROUND(((1-GroundAKHIDiscount)*'Ground Base'!J41)*(1+GroundFuelSurcharge),2)))*(1+FedEx_Markup),2)</f>
        <v>220.24</v>
      </c>
      <c r="K46" s="218">
        <f>ROUND((IF('Ground Base'!K$154&gt;ROUND(((1-GroundZone51Discount)*'Ground Base'!K41),2),ROUND('Ground Base'!K$154*(1+GroundFuelSurcharge),2),ROUND(((1-GroundZone51Discount)*'Ground Base'!K41)*(1+GroundFuelSurcharge),2)))*(1+FedEx_Markup),2)</f>
        <v>68.78</v>
      </c>
      <c r="L46" s="218">
        <f>ROUND((IF('Ground Base'!L$154&gt;ROUND(((1-GroundZone54Discount)*'Ground Base'!L41),2),ROUND('Ground Base'!L$154*(1+GroundFuelSurcharge),2),ROUND(((1-GroundZone54Discount)*'Ground Base'!L41)*(1+GroundFuelSurcharge),2)))*(1+FedEx_Markup),2)</f>
        <v>81.08</v>
      </c>
    </row>
    <row r="47" spans="1:26" ht="12.75" customHeight="1">
      <c r="A47" s="217">
        <v>40</v>
      </c>
      <c r="B47" s="218">
        <f>ROUND((IF('Ground Base'!B$154&gt;ROUND(((1-GroundCommDiscount31Up-GroundCommIncentive)*'Ground Base'!B42),2),ROUND('Ground Base'!B$154*(1+GroundFuelSurcharge),2),ROUND(((1-GroundCommDiscount31Up-GroundCommIncentive)*'Ground Base'!B42)*(1+GroundFuelSurcharge),2)))*(1+FedEx_Markup),2)</f>
        <v>16.47</v>
      </c>
      <c r="C47" s="218">
        <f>ROUND((IF('Ground Base'!C$154&gt;ROUND(((1-GroundCommDiscount31Up-GroundCommIncentive)*'Ground Base'!C42),2),ROUND('Ground Base'!C$154*(1+GroundFuelSurcharge),2),ROUND(((1-GroundCommDiscount31Up-GroundCommIncentive)*'Ground Base'!C42)*(1+GroundFuelSurcharge),2)))*(1+FedEx_Markup),2)</f>
        <v>20.09</v>
      </c>
      <c r="D47" s="218">
        <f>ROUND((IF('Ground Base'!D$154&gt;ROUND(((1-GroundCommDiscount31Up-GroundCommIncentive)*'Ground Base'!D42),2),ROUND('Ground Base'!D$154*(1+GroundFuelSurcharge),2),ROUND(((1-GroundCommDiscount31Up-GroundCommIncentive)*'Ground Base'!D42)*(1+GroundFuelSurcharge),2)))*(1+FedEx_Markup),2)</f>
        <v>23.03</v>
      </c>
      <c r="E47" s="218">
        <f>ROUND((IF('Ground Base'!E$154&gt;ROUND(((1-GroundCommDiscount31Up-GroundCommIncentive)*'Ground Base'!E42),2),ROUND('Ground Base'!E$154*(1+GroundFuelSurcharge),2),ROUND(((1-GroundCommDiscount31Up-GroundCommIncentive)*'Ground Base'!E42)*(1+GroundFuelSurcharge),2)))*(1+FedEx_Markup),2)</f>
        <v>27.53</v>
      </c>
      <c r="F47" s="218">
        <f>ROUND((IF('Ground Base'!F$154&gt;ROUND(((1-GroundCommDiscount31Up-GroundCommIncentive)*'Ground Base'!F42),2),ROUND('Ground Base'!F$154*(1+GroundFuelSurcharge),2),ROUND(((1-GroundCommDiscount31Up-GroundCommIncentive)*'Ground Base'!F42)*(1+GroundFuelSurcharge),2)))*(1+FedEx_Markup),2)</f>
        <v>34.47</v>
      </c>
      <c r="G47" s="218">
        <f>ROUND((IF('Ground Base'!G$154&gt;ROUND(((1-GroundCommDiscount31Up-GroundCommIncentive)*'Ground Base'!G42),2),ROUND('Ground Base'!G$154*(1+GroundFuelSurcharge),2),ROUND(((1-GroundCommDiscount31Up-GroundCommIncentive)*'Ground Base'!G42)*(1+GroundFuelSurcharge),2)))*(1+FedEx_Markup),2)</f>
        <v>40.65</v>
      </c>
      <c r="H47" s="218">
        <f>ROUND((IF('Ground Base'!H$154&gt;ROUND(((1-GroundCommDiscount31Up-GroundCommIncentive)*'Ground Base'!H42),2),ROUND('Ground Base'!H$154*(1+GroundFuelSurcharge),2),ROUND(((1-GroundCommDiscount31Up-GroundCommIncentive)*'Ground Base'!H42)*(1+GroundFuelSurcharge),2)))*(1+FedEx_Markup),2)</f>
        <v>46.86</v>
      </c>
      <c r="I47" s="218">
        <f>ROUND((IF('Ground Base'!I$154&gt;ROUND(((1-GroundAKHIDiscount)*'Ground Base'!I42),2),ROUND('Ground Base'!I$154*(1+GroundFuelSurcharge),2),ROUND(((1-GroundAKHIDiscount)*'Ground Base'!I42)*(1+GroundFuelSurcharge),2)))*(1+FedEx_Markup),2)</f>
        <v>224.95</v>
      </c>
      <c r="J47" s="218">
        <f>ROUND((IF('Ground Base'!J$154&gt;ROUND(((1-GroundAKHIDiscount)*'Ground Base'!J42),2),ROUND('Ground Base'!J$154*(1+GroundFuelSurcharge),2),ROUND(((1-GroundAKHIDiscount)*'Ground Base'!J42)*(1+GroundFuelSurcharge),2)))*(1+FedEx_Markup),2)</f>
        <v>224.95</v>
      </c>
      <c r="K47" s="218">
        <f>ROUND((IF('Ground Base'!K$154&gt;ROUND(((1-GroundZone51Discount)*'Ground Base'!K42),2),ROUND('Ground Base'!K$154*(1+GroundFuelSurcharge),2),ROUND(((1-GroundZone51Discount)*'Ground Base'!K42)*(1+GroundFuelSurcharge),2)))*(1+FedEx_Markup),2)</f>
        <v>69.94</v>
      </c>
      <c r="L47" s="218">
        <f>ROUND((IF('Ground Base'!L$154&gt;ROUND(((1-GroundZone54Discount)*'Ground Base'!L42),2),ROUND('Ground Base'!L$154*(1+GroundFuelSurcharge),2),ROUND(((1-GroundZone54Discount)*'Ground Base'!L42)*(1+GroundFuelSurcharge),2)))*(1+FedEx_Markup),2)</f>
        <v>82.63</v>
      </c>
    </row>
    <row r="48" spans="1:26" ht="12.75" customHeight="1">
      <c r="A48" s="217">
        <v>41</v>
      </c>
      <c r="B48" s="218">
        <f>ROUND((IF('Ground Base'!B$154&gt;ROUND(((1-GroundCommDiscount31Up-GroundCommIncentive)*'Ground Base'!B43),2),ROUND('Ground Base'!B$154*(1+GroundFuelSurcharge),2),ROUND(((1-GroundCommDiscount31Up-GroundCommIncentive)*'Ground Base'!B43)*(1+GroundFuelSurcharge),2)))*(1+FedEx_Markup),2)</f>
        <v>16.84</v>
      </c>
      <c r="C48" s="218">
        <f>ROUND((IF('Ground Base'!C$154&gt;ROUND(((1-GroundCommDiscount31Up-GroundCommIncentive)*'Ground Base'!C43),2),ROUND('Ground Base'!C$154*(1+GroundFuelSurcharge),2),ROUND(((1-GroundCommDiscount31Up-GroundCommIncentive)*'Ground Base'!C43)*(1+GroundFuelSurcharge),2)))*(1+FedEx_Markup),2)</f>
        <v>20.95</v>
      </c>
      <c r="D48" s="218">
        <f>ROUND((IF('Ground Base'!D$154&gt;ROUND(((1-GroundCommDiscount31Up-GroundCommIncentive)*'Ground Base'!D43),2),ROUND('Ground Base'!D$154*(1+GroundFuelSurcharge),2),ROUND(((1-GroundCommDiscount31Up-GroundCommIncentive)*'Ground Base'!D43)*(1+GroundFuelSurcharge),2)))*(1+FedEx_Markup),2)</f>
        <v>23.7</v>
      </c>
      <c r="E48" s="218">
        <f>ROUND((IF('Ground Base'!E$154&gt;ROUND(((1-GroundCommDiscount31Up-GroundCommIncentive)*'Ground Base'!E43),2),ROUND('Ground Base'!E$154*(1+GroundFuelSurcharge),2),ROUND(((1-GroundCommDiscount31Up-GroundCommIncentive)*'Ground Base'!E43)*(1+GroundFuelSurcharge),2)))*(1+FedEx_Markup),2)</f>
        <v>28.51</v>
      </c>
      <c r="F48" s="218">
        <f>ROUND((IF('Ground Base'!F$154&gt;ROUND(((1-GroundCommDiscount31Up-GroundCommIncentive)*'Ground Base'!F43),2),ROUND('Ground Base'!F$154*(1+GroundFuelSurcharge),2),ROUND(((1-GroundCommDiscount31Up-GroundCommIncentive)*'Ground Base'!F43)*(1+GroundFuelSurcharge),2)))*(1+FedEx_Markup),2)</f>
        <v>35.9</v>
      </c>
      <c r="G48" s="218">
        <f>ROUND((IF('Ground Base'!G$154&gt;ROUND(((1-GroundCommDiscount31Up-GroundCommIncentive)*'Ground Base'!G43),2),ROUND('Ground Base'!G$154*(1+GroundFuelSurcharge),2),ROUND(((1-GroundCommDiscount31Up-GroundCommIncentive)*'Ground Base'!G43)*(1+GroundFuelSurcharge),2)))*(1+FedEx_Markup),2)</f>
        <v>41.91</v>
      </c>
      <c r="H48" s="218">
        <f>ROUND((IF('Ground Base'!H$154&gt;ROUND(((1-GroundCommDiscount31Up-GroundCommIncentive)*'Ground Base'!H43),2),ROUND('Ground Base'!H$154*(1+GroundFuelSurcharge),2),ROUND(((1-GroundCommDiscount31Up-GroundCommIncentive)*'Ground Base'!H43)*(1+GroundFuelSurcharge),2)))*(1+FedEx_Markup),2)</f>
        <v>48.63</v>
      </c>
      <c r="I48" s="218">
        <f>ROUND((IF('Ground Base'!I$154&gt;ROUND(((1-GroundAKHIDiscount)*'Ground Base'!I43),2),ROUND('Ground Base'!I$154*(1+GroundFuelSurcharge),2),ROUND(((1-GroundAKHIDiscount)*'Ground Base'!I43)*(1+GroundFuelSurcharge),2)))*(1+FedEx_Markup),2)</f>
        <v>228.84</v>
      </c>
      <c r="J48" s="218">
        <f>ROUND((IF('Ground Base'!J$154&gt;ROUND(((1-GroundAKHIDiscount)*'Ground Base'!J43),2),ROUND('Ground Base'!J$154*(1+GroundFuelSurcharge),2),ROUND(((1-GroundAKHIDiscount)*'Ground Base'!J43)*(1+GroundFuelSurcharge),2)))*(1+FedEx_Markup),2)</f>
        <v>228.84</v>
      </c>
      <c r="K48" s="218">
        <f>ROUND((IF('Ground Base'!K$154&gt;ROUND(((1-GroundZone51Discount)*'Ground Base'!K43),2),ROUND('Ground Base'!K$154*(1+GroundFuelSurcharge),2),ROUND(((1-GroundZone51Discount)*'Ground Base'!K43)*(1+GroundFuelSurcharge),2)))*(1+FedEx_Markup),2)</f>
        <v>71.150000000000006</v>
      </c>
      <c r="L48" s="218">
        <f>ROUND((IF('Ground Base'!L$154&gt;ROUND(((1-GroundZone54Discount)*'Ground Base'!L43),2),ROUND('Ground Base'!L$154*(1+GroundFuelSurcharge),2),ROUND(((1-GroundZone54Discount)*'Ground Base'!L43)*(1+GroundFuelSurcharge),2)))*(1+FedEx_Markup),2)</f>
        <v>84.03</v>
      </c>
    </row>
    <row r="49" spans="1:12" ht="12.75" customHeight="1">
      <c r="A49" s="217">
        <v>42</v>
      </c>
      <c r="B49" s="218">
        <f>ROUND((IF('Ground Base'!B$154&gt;ROUND(((1-GroundCommDiscount31Up-GroundCommIncentive)*'Ground Base'!B44),2),ROUND('Ground Base'!B$154*(1+GroundFuelSurcharge),2),ROUND(((1-GroundCommDiscount31Up-GroundCommIncentive)*'Ground Base'!B44)*(1+GroundFuelSurcharge),2)))*(1+FedEx_Markup),2)</f>
        <v>16.84</v>
      </c>
      <c r="C49" s="218">
        <f>ROUND((IF('Ground Base'!C$154&gt;ROUND(((1-GroundCommDiscount31Up-GroundCommIncentive)*'Ground Base'!C44),2),ROUND('Ground Base'!C$154*(1+GroundFuelSurcharge),2),ROUND(((1-GroundCommDiscount31Up-GroundCommIncentive)*'Ground Base'!C44)*(1+GroundFuelSurcharge),2)))*(1+FedEx_Markup),2)</f>
        <v>21.03</v>
      </c>
      <c r="D49" s="218">
        <f>ROUND((IF('Ground Base'!D$154&gt;ROUND(((1-GroundCommDiscount31Up-GroundCommIncentive)*'Ground Base'!D44),2),ROUND('Ground Base'!D$154*(1+GroundFuelSurcharge),2),ROUND(((1-GroundCommDiscount31Up-GroundCommIncentive)*'Ground Base'!D44)*(1+GroundFuelSurcharge),2)))*(1+FedEx_Markup),2)</f>
        <v>24.63</v>
      </c>
      <c r="E49" s="218">
        <f>ROUND((IF('Ground Base'!E$154&gt;ROUND(((1-GroundCommDiscount31Up-GroundCommIncentive)*'Ground Base'!E44),2),ROUND('Ground Base'!E$154*(1+GroundFuelSurcharge),2),ROUND(((1-GroundCommDiscount31Up-GroundCommIncentive)*'Ground Base'!E44)*(1+GroundFuelSurcharge),2)))*(1+FedEx_Markup),2)</f>
        <v>28.6</v>
      </c>
      <c r="F49" s="218">
        <f>ROUND((IF('Ground Base'!F$154&gt;ROUND(((1-GroundCommDiscount31Up-GroundCommIncentive)*'Ground Base'!F44),2),ROUND('Ground Base'!F$154*(1+GroundFuelSurcharge),2),ROUND(((1-GroundCommDiscount31Up-GroundCommIncentive)*'Ground Base'!F44)*(1+GroundFuelSurcharge),2)))*(1+FedEx_Markup),2)</f>
        <v>36.06</v>
      </c>
      <c r="G49" s="218">
        <f>ROUND((IF('Ground Base'!G$154&gt;ROUND(((1-GroundCommDiscount31Up-GroundCommIncentive)*'Ground Base'!G44),2),ROUND('Ground Base'!G$154*(1+GroundFuelSurcharge),2),ROUND(((1-GroundCommDiscount31Up-GroundCommIncentive)*'Ground Base'!G44)*(1+GroundFuelSurcharge),2)))*(1+FedEx_Markup),2)</f>
        <v>42.62</v>
      </c>
      <c r="H49" s="218">
        <f>ROUND((IF('Ground Base'!H$154&gt;ROUND(((1-GroundCommDiscount31Up-GroundCommIncentive)*'Ground Base'!H44),2),ROUND('Ground Base'!H$154*(1+GroundFuelSurcharge),2),ROUND(((1-GroundCommDiscount31Up-GroundCommIncentive)*'Ground Base'!H44)*(1+GroundFuelSurcharge),2)))*(1+FedEx_Markup),2)</f>
        <v>48.88</v>
      </c>
      <c r="I49" s="218">
        <f>ROUND((IF('Ground Base'!I$154&gt;ROUND(((1-GroundAKHIDiscount)*'Ground Base'!I44),2),ROUND('Ground Base'!I$154*(1+GroundFuelSurcharge),2),ROUND(((1-GroundAKHIDiscount)*'Ground Base'!I44)*(1+GroundFuelSurcharge),2)))*(1+FedEx_Markup),2)</f>
        <v>233.16</v>
      </c>
      <c r="J49" s="218">
        <f>ROUND((IF('Ground Base'!J$154&gt;ROUND(((1-GroundAKHIDiscount)*'Ground Base'!J44),2),ROUND('Ground Base'!J$154*(1+GroundFuelSurcharge),2),ROUND(((1-GroundAKHIDiscount)*'Ground Base'!J44)*(1+GroundFuelSurcharge),2)))*(1+FedEx_Markup),2)</f>
        <v>233.16</v>
      </c>
      <c r="K49" s="218">
        <f>ROUND((IF('Ground Base'!K$154&gt;ROUND(((1-GroundZone51Discount)*'Ground Base'!K44),2),ROUND('Ground Base'!K$154*(1+GroundFuelSurcharge),2),ROUND(((1-GroundZone51Discount)*'Ground Base'!K44)*(1+GroundFuelSurcharge),2)))*(1+FedEx_Markup),2)</f>
        <v>72.28</v>
      </c>
      <c r="L49" s="218">
        <f>ROUND((IF('Ground Base'!L$154&gt;ROUND(((1-GroundZone54Discount)*'Ground Base'!L44),2),ROUND('Ground Base'!L$154*(1+GroundFuelSurcharge),2),ROUND(((1-GroundZone54Discount)*'Ground Base'!L44)*(1+GroundFuelSurcharge),2)))*(1+FedEx_Markup),2)</f>
        <v>85.27</v>
      </c>
    </row>
    <row r="50" spans="1:12" ht="12.75" customHeight="1">
      <c r="A50" s="217">
        <v>43</v>
      </c>
      <c r="B50" s="218">
        <f>ROUND((IF('Ground Base'!B$154&gt;ROUND(((1-GroundCommDiscount31Up-GroundCommIncentive)*'Ground Base'!B45),2),ROUND('Ground Base'!B$154*(1+GroundFuelSurcharge),2),ROUND(((1-GroundCommDiscount31Up-GroundCommIncentive)*'Ground Base'!B45)*(1+GroundFuelSurcharge),2)))*(1+FedEx_Markup),2)</f>
        <v>17.170000000000002</v>
      </c>
      <c r="C50" s="218">
        <f>ROUND((IF('Ground Base'!C$154&gt;ROUND(((1-GroundCommDiscount31Up-GroundCommIncentive)*'Ground Base'!C45),2),ROUND('Ground Base'!C$154*(1+GroundFuelSurcharge),2),ROUND(((1-GroundCommDiscount31Up-GroundCommIncentive)*'Ground Base'!C45)*(1+GroundFuelSurcharge),2)))*(1+FedEx_Markup),2)</f>
        <v>21.33</v>
      </c>
      <c r="D50" s="218">
        <f>ROUND((IF('Ground Base'!D$154&gt;ROUND(((1-GroundCommDiscount31Up-GroundCommIncentive)*'Ground Base'!D45),2),ROUND('Ground Base'!D$154*(1+GroundFuelSurcharge),2),ROUND(((1-GroundCommDiscount31Up-GroundCommIncentive)*'Ground Base'!D45)*(1+GroundFuelSurcharge),2)))*(1+FedEx_Markup),2)</f>
        <v>24.67</v>
      </c>
      <c r="E50" s="218">
        <f>ROUND((IF('Ground Base'!E$154&gt;ROUND(((1-GroundCommDiscount31Up-GroundCommIncentive)*'Ground Base'!E45),2),ROUND('Ground Base'!E$154*(1+GroundFuelSurcharge),2),ROUND(((1-GroundCommDiscount31Up-GroundCommIncentive)*'Ground Base'!E45)*(1+GroundFuelSurcharge),2)))*(1+FedEx_Markup),2)</f>
        <v>30.06</v>
      </c>
      <c r="F50" s="218">
        <f>ROUND((IF('Ground Base'!F$154&gt;ROUND(((1-GroundCommDiscount31Up-GroundCommIncentive)*'Ground Base'!F45),2),ROUND('Ground Base'!F$154*(1+GroundFuelSurcharge),2),ROUND(((1-GroundCommDiscount31Up-GroundCommIncentive)*'Ground Base'!F45)*(1+GroundFuelSurcharge),2)))*(1+FedEx_Markup),2)</f>
        <v>38.03</v>
      </c>
      <c r="G50" s="218">
        <f>ROUND((IF('Ground Base'!G$154&gt;ROUND(((1-GroundCommDiscount31Up-GroundCommIncentive)*'Ground Base'!G45),2),ROUND('Ground Base'!G$154*(1+GroundFuelSurcharge),2),ROUND(((1-GroundCommDiscount31Up-GroundCommIncentive)*'Ground Base'!G45)*(1+GroundFuelSurcharge),2)))*(1+FedEx_Markup),2)</f>
        <v>44.17</v>
      </c>
      <c r="H50" s="218">
        <f>ROUND((IF('Ground Base'!H$154&gt;ROUND(((1-GroundCommDiscount31Up-GroundCommIncentive)*'Ground Base'!H45),2),ROUND('Ground Base'!H$154*(1+GroundFuelSurcharge),2),ROUND(((1-GroundCommDiscount31Up-GroundCommIncentive)*'Ground Base'!H45)*(1+GroundFuelSurcharge),2)))*(1+FedEx_Markup),2)</f>
        <v>50.2</v>
      </c>
      <c r="I50" s="218">
        <f>ROUND((IF('Ground Base'!I$154&gt;ROUND(((1-GroundAKHIDiscount)*'Ground Base'!I45),2),ROUND('Ground Base'!I$154*(1+GroundFuelSurcharge),2),ROUND(((1-GroundAKHIDiscount)*'Ground Base'!I45)*(1+GroundFuelSurcharge),2)))*(1+FedEx_Markup),2)</f>
        <v>237.91</v>
      </c>
      <c r="J50" s="218">
        <f>ROUND((IF('Ground Base'!J$154&gt;ROUND(((1-GroundAKHIDiscount)*'Ground Base'!J45),2),ROUND('Ground Base'!J$154*(1+GroundFuelSurcharge),2),ROUND(((1-GroundAKHIDiscount)*'Ground Base'!J45)*(1+GroundFuelSurcharge),2)))*(1+FedEx_Markup),2)</f>
        <v>237.91</v>
      </c>
      <c r="K50" s="218">
        <f>ROUND((IF('Ground Base'!K$154&gt;ROUND(((1-GroundZone51Discount)*'Ground Base'!K45),2),ROUND('Ground Base'!K$154*(1+GroundFuelSurcharge),2),ROUND(((1-GroundZone51Discount)*'Ground Base'!K45)*(1+GroundFuelSurcharge),2)))*(1+FedEx_Markup),2)</f>
        <v>73.62</v>
      </c>
      <c r="L50" s="218">
        <f>ROUND((IF('Ground Base'!L$154&gt;ROUND(((1-GroundZone54Discount)*'Ground Base'!L45),2),ROUND('Ground Base'!L$154*(1+GroundFuelSurcharge),2),ROUND(((1-GroundZone54Discount)*'Ground Base'!L45)*(1+GroundFuelSurcharge),2)))*(1+FedEx_Markup),2)</f>
        <v>86.72</v>
      </c>
    </row>
    <row r="51" spans="1:12" ht="12.75" customHeight="1">
      <c r="A51" s="217">
        <v>44</v>
      </c>
      <c r="B51" s="218">
        <f>ROUND((IF('Ground Base'!B$154&gt;ROUND(((1-GroundCommDiscount31Up-GroundCommIncentive)*'Ground Base'!B46),2),ROUND('Ground Base'!B$154*(1+GroundFuelSurcharge),2),ROUND(((1-GroundCommDiscount31Up-GroundCommIncentive)*'Ground Base'!B46)*(1+GroundFuelSurcharge),2)))*(1+FedEx_Markup),2)</f>
        <v>17.39</v>
      </c>
      <c r="C51" s="218">
        <f>ROUND((IF('Ground Base'!C$154&gt;ROUND(((1-GroundCommDiscount31Up-GroundCommIncentive)*'Ground Base'!C46),2),ROUND('Ground Base'!C$154*(1+GroundFuelSurcharge),2),ROUND(((1-GroundCommDiscount31Up-GroundCommIncentive)*'Ground Base'!C46)*(1+GroundFuelSurcharge),2)))*(1+FedEx_Markup),2)</f>
        <v>21.65</v>
      </c>
      <c r="D51" s="218">
        <f>ROUND((IF('Ground Base'!D$154&gt;ROUND(((1-GroundCommDiscount31Up-GroundCommIncentive)*'Ground Base'!D46),2),ROUND('Ground Base'!D$154*(1+GroundFuelSurcharge),2),ROUND(((1-GroundCommDiscount31Up-GroundCommIncentive)*'Ground Base'!D46)*(1+GroundFuelSurcharge),2)))*(1+FedEx_Markup),2)</f>
        <v>25.3</v>
      </c>
      <c r="E51" s="218">
        <f>ROUND((IF('Ground Base'!E$154&gt;ROUND(((1-GroundCommDiscount31Up-GroundCommIncentive)*'Ground Base'!E46),2),ROUND('Ground Base'!E$154*(1+GroundFuelSurcharge),2),ROUND(((1-GroundCommDiscount31Up-GroundCommIncentive)*'Ground Base'!E46)*(1+GroundFuelSurcharge),2)))*(1+FedEx_Markup),2)</f>
        <v>30.6</v>
      </c>
      <c r="F51" s="218">
        <f>ROUND((IF('Ground Base'!F$154&gt;ROUND(((1-GroundCommDiscount31Up-GroundCommIncentive)*'Ground Base'!F46),2),ROUND('Ground Base'!F$154*(1+GroundFuelSurcharge),2),ROUND(((1-GroundCommDiscount31Up-GroundCommIncentive)*'Ground Base'!F46)*(1+GroundFuelSurcharge),2)))*(1+FedEx_Markup),2)</f>
        <v>38.24</v>
      </c>
      <c r="G51" s="218">
        <f>ROUND((IF('Ground Base'!G$154&gt;ROUND(((1-GroundCommDiscount31Up-GroundCommIncentive)*'Ground Base'!G46),2),ROUND('Ground Base'!G$154*(1+GroundFuelSurcharge),2),ROUND(((1-GroundCommDiscount31Up-GroundCommIncentive)*'Ground Base'!G46)*(1+GroundFuelSurcharge),2)))*(1+FedEx_Markup),2)</f>
        <v>45.54</v>
      </c>
      <c r="H51" s="218">
        <f>ROUND((IF('Ground Base'!H$154&gt;ROUND(((1-GroundCommDiscount31Up-GroundCommIncentive)*'Ground Base'!H46),2),ROUND('Ground Base'!H$154*(1+GroundFuelSurcharge),2),ROUND(((1-GroundCommDiscount31Up-GroundCommIncentive)*'Ground Base'!H46)*(1+GroundFuelSurcharge),2)))*(1+FedEx_Markup),2)</f>
        <v>50.73</v>
      </c>
      <c r="I51" s="218">
        <f>ROUND((IF('Ground Base'!I$154&gt;ROUND(((1-GroundAKHIDiscount)*'Ground Base'!I46),2),ROUND('Ground Base'!I$154*(1+GroundFuelSurcharge),2),ROUND(((1-GroundAKHIDiscount)*'Ground Base'!I46)*(1+GroundFuelSurcharge),2)))*(1+FedEx_Markup),2)</f>
        <v>241.33</v>
      </c>
      <c r="J51" s="218">
        <f>ROUND((IF('Ground Base'!J$154&gt;ROUND(((1-GroundAKHIDiscount)*'Ground Base'!J46),2),ROUND('Ground Base'!J$154*(1+GroundFuelSurcharge),2),ROUND(((1-GroundAKHIDiscount)*'Ground Base'!J46)*(1+GroundFuelSurcharge),2)))*(1+FedEx_Markup),2)</f>
        <v>241.33</v>
      </c>
      <c r="K51" s="218">
        <f>ROUND((IF('Ground Base'!K$154&gt;ROUND(((1-GroundZone51Discount)*'Ground Base'!K46),2),ROUND('Ground Base'!K$154*(1+GroundFuelSurcharge),2),ROUND(((1-GroundZone51Discount)*'Ground Base'!K46)*(1+GroundFuelSurcharge),2)))*(1+FedEx_Markup),2)</f>
        <v>74.569999999999993</v>
      </c>
      <c r="L51" s="218">
        <f>ROUND((IF('Ground Base'!L$154&gt;ROUND(((1-GroundZone54Discount)*'Ground Base'!L46),2),ROUND('Ground Base'!L$154*(1+GroundFuelSurcharge),2),ROUND(((1-GroundZone54Discount)*'Ground Base'!L46)*(1+GroundFuelSurcharge),2)))*(1+FedEx_Markup),2)</f>
        <v>87.84</v>
      </c>
    </row>
    <row r="52" spans="1:12" ht="12.75" customHeight="1">
      <c r="A52" s="217">
        <v>45</v>
      </c>
      <c r="B52" s="218">
        <f>ROUND((IF('Ground Base'!B$154&gt;ROUND(((1-GroundCommDiscount31Up-GroundCommIncentive)*'Ground Base'!B47),2),ROUND('Ground Base'!B$154*(1+GroundFuelSurcharge),2),ROUND(((1-GroundCommDiscount31Up-GroundCommIncentive)*'Ground Base'!B47)*(1+GroundFuelSurcharge),2)))*(1+FedEx_Markup),2)</f>
        <v>17.43</v>
      </c>
      <c r="C52" s="218">
        <f>ROUND((IF('Ground Base'!C$154&gt;ROUND(((1-GroundCommDiscount31Up-GroundCommIncentive)*'Ground Base'!C47),2),ROUND('Ground Base'!C$154*(1+GroundFuelSurcharge),2),ROUND(((1-GroundCommDiscount31Up-GroundCommIncentive)*'Ground Base'!C47)*(1+GroundFuelSurcharge),2)))*(1+FedEx_Markup),2)</f>
        <v>21.65</v>
      </c>
      <c r="D52" s="218">
        <f>ROUND((IF('Ground Base'!D$154&gt;ROUND(((1-GroundCommDiscount31Up-GroundCommIncentive)*'Ground Base'!D47),2),ROUND('Ground Base'!D$154*(1+GroundFuelSurcharge),2),ROUND(((1-GroundCommDiscount31Up-GroundCommIncentive)*'Ground Base'!D47)*(1+GroundFuelSurcharge),2)))*(1+FedEx_Markup),2)</f>
        <v>25.31</v>
      </c>
      <c r="E52" s="218">
        <f>ROUND((IF('Ground Base'!E$154&gt;ROUND(((1-GroundCommDiscount31Up-GroundCommIncentive)*'Ground Base'!E47),2),ROUND('Ground Base'!E$154*(1+GroundFuelSurcharge),2),ROUND(((1-GroundCommDiscount31Up-GroundCommIncentive)*'Ground Base'!E47)*(1+GroundFuelSurcharge),2)))*(1+FedEx_Markup),2)</f>
        <v>30.61</v>
      </c>
      <c r="F52" s="218">
        <f>ROUND((IF('Ground Base'!F$154&gt;ROUND(((1-GroundCommDiscount31Up-GroundCommIncentive)*'Ground Base'!F47),2),ROUND('Ground Base'!F$154*(1+GroundFuelSurcharge),2),ROUND(((1-GroundCommDiscount31Up-GroundCommIncentive)*'Ground Base'!F47)*(1+GroundFuelSurcharge),2)))*(1+FedEx_Markup),2)</f>
        <v>38.26</v>
      </c>
      <c r="G52" s="218">
        <f>ROUND((IF('Ground Base'!G$154&gt;ROUND(((1-GroundCommDiscount31Up-GroundCommIncentive)*'Ground Base'!G47),2),ROUND('Ground Base'!G$154*(1+GroundFuelSurcharge),2),ROUND(((1-GroundCommDiscount31Up-GroundCommIncentive)*'Ground Base'!G47)*(1+GroundFuelSurcharge),2)))*(1+FedEx_Markup),2)</f>
        <v>46.43</v>
      </c>
      <c r="H52" s="218">
        <f>ROUND((IF('Ground Base'!H$154&gt;ROUND(((1-GroundCommDiscount31Up-GroundCommIncentive)*'Ground Base'!H47),2),ROUND('Ground Base'!H$154*(1+GroundFuelSurcharge),2),ROUND(((1-GroundCommDiscount31Up-GroundCommIncentive)*'Ground Base'!H47)*(1+GroundFuelSurcharge),2)))*(1+FedEx_Markup),2)</f>
        <v>51.08</v>
      </c>
      <c r="I52" s="218">
        <f>ROUND((IF('Ground Base'!I$154&gt;ROUND(((1-GroundAKHIDiscount)*'Ground Base'!I47),2),ROUND('Ground Base'!I$154*(1+GroundFuelSurcharge),2),ROUND(((1-GroundAKHIDiscount)*'Ground Base'!I47)*(1+GroundFuelSurcharge),2)))*(1+FedEx_Markup),2)</f>
        <v>245.96</v>
      </c>
      <c r="J52" s="218">
        <f>ROUND((IF('Ground Base'!J$154&gt;ROUND(((1-GroundAKHIDiscount)*'Ground Base'!J47),2),ROUND('Ground Base'!J$154*(1+GroundFuelSurcharge),2),ROUND(((1-GroundAKHIDiscount)*'Ground Base'!J47)*(1+GroundFuelSurcharge),2)))*(1+FedEx_Markup),2)</f>
        <v>245.96</v>
      </c>
      <c r="K52" s="218">
        <f>ROUND((IF('Ground Base'!K$154&gt;ROUND(((1-GroundZone51Discount)*'Ground Base'!K47),2),ROUND('Ground Base'!K$154*(1+GroundFuelSurcharge),2),ROUND(((1-GroundZone51Discount)*'Ground Base'!K47)*(1+GroundFuelSurcharge),2)))*(1+FedEx_Markup),2)</f>
        <v>75.97</v>
      </c>
      <c r="L52" s="218">
        <f>ROUND((IF('Ground Base'!L$154&gt;ROUND(((1-GroundZone54Discount)*'Ground Base'!L47),2),ROUND('Ground Base'!L$154*(1+GroundFuelSurcharge),2),ROUND(((1-GroundZone54Discount)*'Ground Base'!L47)*(1+GroundFuelSurcharge),2)))*(1+FedEx_Markup),2)</f>
        <v>89.48</v>
      </c>
    </row>
    <row r="53" spans="1:12" ht="12.75" customHeight="1">
      <c r="A53" s="217">
        <v>46</v>
      </c>
      <c r="B53" s="218">
        <f>ROUND((IF('Ground Base'!B$154&gt;ROUND(((1-GroundCommDiscount31Up-GroundCommIncentive)*'Ground Base'!B48),2),ROUND('Ground Base'!B$154*(1+GroundFuelSurcharge),2),ROUND(((1-GroundCommDiscount31Up-GroundCommIncentive)*'Ground Base'!B48)*(1+GroundFuelSurcharge),2)))*(1+FedEx_Markup),2)</f>
        <v>17.88</v>
      </c>
      <c r="C53" s="218">
        <f>ROUND((IF('Ground Base'!C$154&gt;ROUND(((1-GroundCommDiscount31Up-GroundCommIncentive)*'Ground Base'!C48),2),ROUND('Ground Base'!C$154*(1+GroundFuelSurcharge),2),ROUND(((1-GroundCommDiscount31Up-GroundCommIncentive)*'Ground Base'!C48)*(1+GroundFuelSurcharge),2)))*(1+FedEx_Markup),2)</f>
        <v>21.88</v>
      </c>
      <c r="D53" s="218">
        <f>ROUND((IF('Ground Base'!D$154&gt;ROUND(((1-GroundCommDiscount31Up-GroundCommIncentive)*'Ground Base'!D48),2),ROUND('Ground Base'!D$154*(1+GroundFuelSurcharge),2),ROUND(((1-GroundCommDiscount31Up-GroundCommIncentive)*'Ground Base'!D48)*(1+GroundFuelSurcharge),2)))*(1+FedEx_Markup),2)</f>
        <v>26.11</v>
      </c>
      <c r="E53" s="218">
        <f>ROUND((IF('Ground Base'!E$154&gt;ROUND(((1-GroundCommDiscount31Up-GroundCommIncentive)*'Ground Base'!E48),2),ROUND('Ground Base'!E$154*(1+GroundFuelSurcharge),2),ROUND(((1-GroundCommDiscount31Up-GroundCommIncentive)*'Ground Base'!E48)*(1+GroundFuelSurcharge),2)))*(1+FedEx_Markup),2)</f>
        <v>31.19</v>
      </c>
      <c r="F53" s="218">
        <f>ROUND((IF('Ground Base'!F$154&gt;ROUND(((1-GroundCommDiscount31Up-GroundCommIncentive)*'Ground Base'!F48),2),ROUND('Ground Base'!F$154*(1+GroundFuelSurcharge),2),ROUND(((1-GroundCommDiscount31Up-GroundCommIncentive)*'Ground Base'!F48)*(1+GroundFuelSurcharge),2)))*(1+FedEx_Markup),2)</f>
        <v>39.270000000000003</v>
      </c>
      <c r="G53" s="218">
        <f>ROUND((IF('Ground Base'!G$154&gt;ROUND(((1-GroundCommDiscount31Up-GroundCommIncentive)*'Ground Base'!G48),2),ROUND('Ground Base'!G$154*(1+GroundFuelSurcharge),2),ROUND(((1-GroundCommDiscount31Up-GroundCommIncentive)*'Ground Base'!G48)*(1+GroundFuelSurcharge),2)))*(1+FedEx_Markup),2)</f>
        <v>46.93</v>
      </c>
      <c r="H53" s="218">
        <f>ROUND((IF('Ground Base'!H$154&gt;ROUND(((1-GroundCommDiscount31Up-GroundCommIncentive)*'Ground Base'!H48),2),ROUND('Ground Base'!H$154*(1+GroundFuelSurcharge),2),ROUND(((1-GroundCommDiscount31Up-GroundCommIncentive)*'Ground Base'!H48)*(1+GroundFuelSurcharge),2)))*(1+FedEx_Markup),2)</f>
        <v>52.44</v>
      </c>
      <c r="I53" s="218">
        <f>ROUND((IF('Ground Base'!I$154&gt;ROUND(((1-GroundAKHIDiscount)*'Ground Base'!I48),2),ROUND('Ground Base'!I$154*(1+GroundFuelSurcharge),2),ROUND(((1-GroundAKHIDiscount)*'Ground Base'!I48)*(1+GroundFuelSurcharge),2)))*(1+FedEx_Markup),2)</f>
        <v>250.7</v>
      </c>
      <c r="J53" s="218">
        <f>ROUND((IF('Ground Base'!J$154&gt;ROUND(((1-GroundAKHIDiscount)*'Ground Base'!J48),2),ROUND('Ground Base'!J$154*(1+GroundFuelSurcharge),2),ROUND(((1-GroundAKHIDiscount)*'Ground Base'!J48)*(1+GroundFuelSurcharge),2)))*(1+FedEx_Markup),2)</f>
        <v>250.7</v>
      </c>
      <c r="K53" s="218">
        <f>ROUND((IF('Ground Base'!K$154&gt;ROUND(((1-GroundZone51Discount)*'Ground Base'!K48),2),ROUND('Ground Base'!K$154*(1+GroundFuelSurcharge),2),ROUND(((1-GroundZone51Discount)*'Ground Base'!K48)*(1+GroundFuelSurcharge),2)))*(1+FedEx_Markup),2)</f>
        <v>77.2</v>
      </c>
      <c r="L53" s="218">
        <f>ROUND((IF('Ground Base'!L$154&gt;ROUND(((1-GroundZone54Discount)*'Ground Base'!L48),2),ROUND('Ground Base'!L$154*(1+GroundFuelSurcharge),2),ROUND(((1-GroundZone54Discount)*'Ground Base'!L48)*(1+GroundFuelSurcharge),2)))*(1+FedEx_Markup),2)</f>
        <v>90.75</v>
      </c>
    </row>
    <row r="54" spans="1:12" ht="12.75" customHeight="1">
      <c r="A54" s="217">
        <v>47</v>
      </c>
      <c r="B54" s="218">
        <f>ROUND((IF('Ground Base'!B$154&gt;ROUND(((1-GroundCommDiscount31Up-GroundCommIncentive)*'Ground Base'!B49),2),ROUND('Ground Base'!B$154*(1+GroundFuelSurcharge),2),ROUND(((1-GroundCommDiscount31Up-GroundCommIncentive)*'Ground Base'!B49)*(1+GroundFuelSurcharge),2)))*(1+FedEx_Markup),2)</f>
        <v>17.88</v>
      </c>
      <c r="C54" s="218">
        <f>ROUND((IF('Ground Base'!C$154&gt;ROUND(((1-GroundCommDiscount31Up-GroundCommIncentive)*'Ground Base'!C49),2),ROUND('Ground Base'!C$154*(1+GroundFuelSurcharge),2),ROUND(((1-GroundCommDiscount31Up-GroundCommIncentive)*'Ground Base'!C49)*(1+GroundFuelSurcharge),2)))*(1+FedEx_Markup),2)</f>
        <v>22.38</v>
      </c>
      <c r="D54" s="218">
        <f>ROUND((IF('Ground Base'!D$154&gt;ROUND(((1-GroundCommDiscount31Up-GroundCommIncentive)*'Ground Base'!D49),2),ROUND('Ground Base'!D$154*(1+GroundFuelSurcharge),2),ROUND(((1-GroundCommDiscount31Up-GroundCommIncentive)*'Ground Base'!D49)*(1+GroundFuelSurcharge),2)))*(1+FedEx_Markup),2)</f>
        <v>26.53</v>
      </c>
      <c r="E54" s="218">
        <f>ROUND((IF('Ground Base'!E$154&gt;ROUND(((1-GroundCommDiscount31Up-GroundCommIncentive)*'Ground Base'!E49),2),ROUND('Ground Base'!E$154*(1+GroundFuelSurcharge),2),ROUND(((1-GroundCommDiscount31Up-GroundCommIncentive)*'Ground Base'!E49)*(1+GroundFuelSurcharge),2)))*(1+FedEx_Markup),2)</f>
        <v>31.41</v>
      </c>
      <c r="F54" s="218">
        <f>ROUND((IF('Ground Base'!F$154&gt;ROUND(((1-GroundCommDiscount31Up-GroundCommIncentive)*'Ground Base'!F49),2),ROUND('Ground Base'!F$154*(1+GroundFuelSurcharge),2),ROUND(((1-GroundCommDiscount31Up-GroundCommIncentive)*'Ground Base'!F49)*(1+GroundFuelSurcharge),2)))*(1+FedEx_Markup),2)</f>
        <v>39.799999999999997</v>
      </c>
      <c r="G54" s="218">
        <f>ROUND((IF('Ground Base'!G$154&gt;ROUND(((1-GroundCommDiscount31Up-GroundCommIncentive)*'Ground Base'!G49),2),ROUND('Ground Base'!G$154*(1+GroundFuelSurcharge),2),ROUND(((1-GroundCommDiscount31Up-GroundCommIncentive)*'Ground Base'!G49)*(1+GroundFuelSurcharge),2)))*(1+FedEx_Markup),2)</f>
        <v>47.84</v>
      </c>
      <c r="H54" s="218">
        <f>ROUND((IF('Ground Base'!H$154&gt;ROUND(((1-GroundCommDiscount31Up-GroundCommIncentive)*'Ground Base'!H49),2),ROUND('Ground Base'!H$154*(1+GroundFuelSurcharge),2),ROUND(((1-GroundCommDiscount31Up-GroundCommIncentive)*'Ground Base'!H49)*(1+GroundFuelSurcharge),2)))*(1+FedEx_Markup),2)</f>
        <v>53.29</v>
      </c>
      <c r="I54" s="218">
        <f>ROUND((IF('Ground Base'!I$154&gt;ROUND(((1-GroundAKHIDiscount)*'Ground Base'!I49),2),ROUND('Ground Base'!I$154*(1+GroundFuelSurcharge),2),ROUND(((1-GroundAKHIDiscount)*'Ground Base'!I49)*(1+GroundFuelSurcharge),2)))*(1+FedEx_Markup),2)</f>
        <v>255.51</v>
      </c>
      <c r="J54" s="218">
        <f>ROUND((IF('Ground Base'!J$154&gt;ROUND(((1-GroundAKHIDiscount)*'Ground Base'!J49),2),ROUND('Ground Base'!J$154*(1+GroundFuelSurcharge),2),ROUND(((1-GroundAKHIDiscount)*'Ground Base'!J49)*(1+GroundFuelSurcharge),2)))*(1+FedEx_Markup),2)</f>
        <v>255.51</v>
      </c>
      <c r="K54" s="218">
        <f>ROUND((IF('Ground Base'!K$154&gt;ROUND(((1-GroundZone51Discount)*'Ground Base'!K49),2),ROUND('Ground Base'!K$154*(1+GroundFuelSurcharge),2),ROUND(((1-GroundZone51Discount)*'Ground Base'!K49)*(1+GroundFuelSurcharge),2)))*(1+FedEx_Markup),2)</f>
        <v>78.400000000000006</v>
      </c>
      <c r="L54" s="218">
        <f>ROUND((IF('Ground Base'!L$154&gt;ROUND(((1-GroundZone54Discount)*'Ground Base'!L49),2),ROUND('Ground Base'!L$154*(1+GroundFuelSurcharge),2),ROUND(((1-GroundZone54Discount)*'Ground Base'!L49)*(1+GroundFuelSurcharge),2)))*(1+FedEx_Markup),2)</f>
        <v>92.16</v>
      </c>
    </row>
    <row r="55" spans="1:12" ht="12.75" customHeight="1">
      <c r="A55" s="217">
        <v>48</v>
      </c>
      <c r="B55" s="218">
        <f>ROUND((IF('Ground Base'!B$154&gt;ROUND(((1-GroundCommDiscount31Up-GroundCommIncentive)*'Ground Base'!B50),2),ROUND('Ground Base'!B$154*(1+GroundFuelSurcharge),2),ROUND(((1-GroundCommDiscount31Up-GroundCommIncentive)*'Ground Base'!B50)*(1+GroundFuelSurcharge),2)))*(1+FedEx_Markup),2)</f>
        <v>17.89</v>
      </c>
      <c r="C55" s="218">
        <f>ROUND((IF('Ground Base'!C$154&gt;ROUND(((1-GroundCommDiscount31Up-GroundCommIncentive)*'Ground Base'!C50),2),ROUND('Ground Base'!C$154*(1+GroundFuelSurcharge),2),ROUND(((1-GroundCommDiscount31Up-GroundCommIncentive)*'Ground Base'!C50)*(1+GroundFuelSurcharge),2)))*(1+FedEx_Markup),2)</f>
        <v>22.38</v>
      </c>
      <c r="D55" s="218">
        <f>ROUND((IF('Ground Base'!D$154&gt;ROUND(((1-GroundCommDiscount31Up-GroundCommIncentive)*'Ground Base'!D50),2),ROUND('Ground Base'!D$154*(1+GroundFuelSurcharge),2),ROUND(((1-GroundCommDiscount31Up-GroundCommIncentive)*'Ground Base'!D50)*(1+GroundFuelSurcharge),2)))*(1+FedEx_Markup),2)</f>
        <v>26.84</v>
      </c>
      <c r="E55" s="218">
        <f>ROUND((IF('Ground Base'!E$154&gt;ROUND(((1-GroundCommDiscount31Up-GroundCommIncentive)*'Ground Base'!E50),2),ROUND('Ground Base'!E$154*(1+GroundFuelSurcharge),2),ROUND(((1-GroundCommDiscount31Up-GroundCommIncentive)*'Ground Base'!E50)*(1+GroundFuelSurcharge),2)))*(1+FedEx_Markup),2)</f>
        <v>32.549999999999997</v>
      </c>
      <c r="F55" s="218">
        <f>ROUND((IF('Ground Base'!F$154&gt;ROUND(((1-GroundCommDiscount31Up-GroundCommIncentive)*'Ground Base'!F50),2),ROUND('Ground Base'!F$154*(1+GroundFuelSurcharge),2),ROUND(((1-GroundCommDiscount31Up-GroundCommIncentive)*'Ground Base'!F50)*(1+GroundFuelSurcharge),2)))*(1+FedEx_Markup),2)</f>
        <v>40.39</v>
      </c>
      <c r="G55" s="218">
        <f>ROUND((IF('Ground Base'!G$154&gt;ROUND(((1-GroundCommDiscount31Up-GroundCommIncentive)*'Ground Base'!G50),2),ROUND('Ground Base'!G$154*(1+GroundFuelSurcharge),2),ROUND(((1-GroundCommDiscount31Up-GroundCommIncentive)*'Ground Base'!G50)*(1+GroundFuelSurcharge),2)))*(1+FedEx_Markup),2)</f>
        <v>48.29</v>
      </c>
      <c r="H55" s="218">
        <f>ROUND((IF('Ground Base'!H$154&gt;ROUND(((1-GroundCommDiscount31Up-GroundCommIncentive)*'Ground Base'!H50),2),ROUND('Ground Base'!H$154*(1+GroundFuelSurcharge),2),ROUND(((1-GroundCommDiscount31Up-GroundCommIncentive)*'Ground Base'!H50)*(1+GroundFuelSurcharge),2)))*(1+FedEx_Markup),2)</f>
        <v>54.13</v>
      </c>
      <c r="I55" s="218">
        <f>ROUND((IF('Ground Base'!I$154&gt;ROUND(((1-GroundAKHIDiscount)*'Ground Base'!I50),2),ROUND('Ground Base'!I$154*(1+GroundFuelSurcharge),2),ROUND(((1-GroundAKHIDiscount)*'Ground Base'!I50)*(1+GroundFuelSurcharge),2)))*(1+FedEx_Markup),2)</f>
        <v>259.89999999999998</v>
      </c>
      <c r="J55" s="218">
        <f>ROUND((IF('Ground Base'!J$154&gt;ROUND(((1-GroundAKHIDiscount)*'Ground Base'!J50),2),ROUND('Ground Base'!J$154*(1+GroundFuelSurcharge),2),ROUND(((1-GroundAKHIDiscount)*'Ground Base'!J50)*(1+GroundFuelSurcharge),2)))*(1+FedEx_Markup),2)</f>
        <v>259.89999999999998</v>
      </c>
      <c r="K55" s="218">
        <f>ROUND((IF('Ground Base'!K$154&gt;ROUND(((1-GroundZone51Discount)*'Ground Base'!K50),2),ROUND('Ground Base'!K$154*(1+GroundFuelSurcharge),2),ROUND(((1-GroundZone51Discount)*'Ground Base'!K50)*(1+GroundFuelSurcharge),2)))*(1+FedEx_Markup),2)</f>
        <v>79.42</v>
      </c>
      <c r="L55" s="218">
        <f>ROUND((IF('Ground Base'!L$154&gt;ROUND(((1-GroundZone54Discount)*'Ground Base'!L50),2),ROUND('Ground Base'!L$154*(1+GroundFuelSurcharge),2),ROUND(((1-GroundZone54Discount)*'Ground Base'!L50)*(1+GroundFuelSurcharge),2)))*(1+FedEx_Markup),2)</f>
        <v>93.54</v>
      </c>
    </row>
    <row r="56" spans="1:12" ht="12.75" customHeight="1">
      <c r="A56" s="217">
        <v>49</v>
      </c>
      <c r="B56" s="218">
        <f>ROUND((IF('Ground Base'!B$154&gt;ROUND(((1-GroundCommDiscount31Up-GroundCommIncentive)*'Ground Base'!B51),2),ROUND('Ground Base'!B$154*(1+GroundFuelSurcharge),2),ROUND(((1-GroundCommDiscount31Up-GroundCommIncentive)*'Ground Base'!B51)*(1+GroundFuelSurcharge),2)))*(1+FedEx_Markup),2)</f>
        <v>17.91</v>
      </c>
      <c r="C56" s="218">
        <f>ROUND((IF('Ground Base'!C$154&gt;ROUND(((1-GroundCommDiscount31Up-GroundCommIncentive)*'Ground Base'!C51),2),ROUND('Ground Base'!C$154*(1+GroundFuelSurcharge),2),ROUND(((1-GroundCommDiscount31Up-GroundCommIncentive)*'Ground Base'!C51)*(1+GroundFuelSurcharge),2)))*(1+FedEx_Markup),2)</f>
        <v>22.39</v>
      </c>
      <c r="D56" s="218">
        <f>ROUND((IF('Ground Base'!D$154&gt;ROUND(((1-GroundCommDiscount31Up-GroundCommIncentive)*'Ground Base'!D51),2),ROUND('Ground Base'!D$154*(1+GroundFuelSurcharge),2),ROUND(((1-GroundCommDiscount31Up-GroundCommIncentive)*'Ground Base'!D51)*(1+GroundFuelSurcharge),2)))*(1+FedEx_Markup),2)</f>
        <v>26.84</v>
      </c>
      <c r="E56" s="218">
        <f>ROUND((IF('Ground Base'!E$154&gt;ROUND(((1-GroundCommDiscount31Up-GroundCommIncentive)*'Ground Base'!E51),2),ROUND('Ground Base'!E$154*(1+GroundFuelSurcharge),2),ROUND(((1-GroundCommDiscount31Up-GroundCommIncentive)*'Ground Base'!E51)*(1+GroundFuelSurcharge),2)))*(1+FedEx_Markup),2)</f>
        <v>32.549999999999997</v>
      </c>
      <c r="F56" s="218">
        <f>ROUND((IF('Ground Base'!F$154&gt;ROUND(((1-GroundCommDiscount31Up-GroundCommIncentive)*'Ground Base'!F51),2),ROUND('Ground Base'!F$154*(1+GroundFuelSurcharge),2),ROUND(((1-GroundCommDiscount31Up-GroundCommIncentive)*'Ground Base'!F51)*(1+GroundFuelSurcharge),2)))*(1+FedEx_Markup),2)</f>
        <v>40.700000000000003</v>
      </c>
      <c r="G56" s="218">
        <f>ROUND((IF('Ground Base'!G$154&gt;ROUND(((1-GroundCommDiscount31Up-GroundCommIncentive)*'Ground Base'!G51),2),ROUND('Ground Base'!G$154*(1+GroundFuelSurcharge),2),ROUND(((1-GroundCommDiscount31Up-GroundCommIncentive)*'Ground Base'!G51)*(1+GroundFuelSurcharge),2)))*(1+FedEx_Markup),2)</f>
        <v>49.25</v>
      </c>
      <c r="H56" s="218">
        <f>ROUND((IF('Ground Base'!H$154&gt;ROUND(((1-GroundCommDiscount31Up-GroundCommIncentive)*'Ground Base'!H51),2),ROUND('Ground Base'!H$154*(1+GroundFuelSurcharge),2),ROUND(((1-GroundCommDiscount31Up-GroundCommIncentive)*'Ground Base'!H51)*(1+GroundFuelSurcharge),2)))*(1+FedEx_Markup),2)</f>
        <v>54.45</v>
      </c>
      <c r="I56" s="218">
        <f>ROUND((IF('Ground Base'!I$154&gt;ROUND(((1-GroundAKHIDiscount)*'Ground Base'!I51),2),ROUND('Ground Base'!I$154*(1+GroundFuelSurcharge),2),ROUND(((1-GroundAKHIDiscount)*'Ground Base'!I51)*(1+GroundFuelSurcharge),2)))*(1+FedEx_Markup),2)</f>
        <v>264.33</v>
      </c>
      <c r="J56" s="218">
        <f>ROUND((IF('Ground Base'!J$154&gt;ROUND(((1-GroundAKHIDiscount)*'Ground Base'!J51),2),ROUND('Ground Base'!J$154*(1+GroundFuelSurcharge),2),ROUND(((1-GroundAKHIDiscount)*'Ground Base'!J51)*(1+GroundFuelSurcharge),2)))*(1+FedEx_Markup),2)</f>
        <v>264.33</v>
      </c>
      <c r="K56" s="218">
        <f>ROUND((IF('Ground Base'!K$154&gt;ROUND(((1-GroundZone51Discount)*'Ground Base'!K51),2),ROUND('Ground Base'!K$154*(1+GroundFuelSurcharge),2),ROUND(((1-GroundZone51Discount)*'Ground Base'!K51)*(1+GroundFuelSurcharge),2)))*(1+FedEx_Markup),2)</f>
        <v>80.739999999999995</v>
      </c>
      <c r="L56" s="218">
        <f>ROUND((IF('Ground Base'!L$154&gt;ROUND(((1-GroundZone54Discount)*'Ground Base'!L51),2),ROUND('Ground Base'!L$154*(1+GroundFuelSurcharge),2),ROUND(((1-GroundZone54Discount)*'Ground Base'!L51)*(1+GroundFuelSurcharge),2)))*(1+FedEx_Markup),2)</f>
        <v>94.83</v>
      </c>
    </row>
    <row r="57" spans="1:12" ht="12.75" customHeight="1">
      <c r="A57" s="217">
        <v>50</v>
      </c>
      <c r="B57" s="218">
        <f>ROUND((IF('Ground Base'!B$154&gt;ROUND(((1-GroundCommDiscount31Up-GroundCommIncentive)*'Ground Base'!B52),2),ROUND('Ground Base'!B$154*(1+GroundFuelSurcharge),2),ROUND(((1-GroundCommDiscount31Up-GroundCommIncentive)*'Ground Base'!B52)*(1+GroundFuelSurcharge),2)))*(1+FedEx_Markup),2)</f>
        <v>17.91</v>
      </c>
      <c r="C57" s="218">
        <f>ROUND((IF('Ground Base'!C$154&gt;ROUND(((1-GroundCommDiscount31Up-GroundCommIncentive)*'Ground Base'!C52),2),ROUND('Ground Base'!C$154*(1+GroundFuelSurcharge),2),ROUND(((1-GroundCommDiscount31Up-GroundCommIncentive)*'Ground Base'!C52)*(1+GroundFuelSurcharge),2)))*(1+FedEx_Markup),2)</f>
        <v>22.4</v>
      </c>
      <c r="D57" s="218">
        <f>ROUND((IF('Ground Base'!D$154&gt;ROUND(((1-GroundCommDiscount31Up-GroundCommIncentive)*'Ground Base'!D52),2),ROUND('Ground Base'!D$154*(1+GroundFuelSurcharge),2),ROUND(((1-GroundCommDiscount31Up-GroundCommIncentive)*'Ground Base'!D52)*(1+GroundFuelSurcharge),2)))*(1+FedEx_Markup),2)</f>
        <v>26.86</v>
      </c>
      <c r="E57" s="218">
        <f>ROUND((IF('Ground Base'!E$154&gt;ROUND(((1-GroundCommDiscount31Up-GroundCommIncentive)*'Ground Base'!E52),2),ROUND('Ground Base'!E$154*(1+GroundFuelSurcharge),2),ROUND(((1-GroundCommDiscount31Up-GroundCommIncentive)*'Ground Base'!E52)*(1+GroundFuelSurcharge),2)))*(1+FedEx_Markup),2)</f>
        <v>32.58</v>
      </c>
      <c r="F57" s="218">
        <f>ROUND((IF('Ground Base'!F$154&gt;ROUND(((1-GroundCommDiscount31Up-GroundCommIncentive)*'Ground Base'!F52),2),ROUND('Ground Base'!F$154*(1+GroundFuelSurcharge),2),ROUND(((1-GroundCommDiscount31Up-GroundCommIncentive)*'Ground Base'!F52)*(1+GroundFuelSurcharge),2)))*(1+FedEx_Markup),2)</f>
        <v>41.04</v>
      </c>
      <c r="G57" s="218">
        <f>ROUND((IF('Ground Base'!G$154&gt;ROUND(((1-GroundCommDiscount31Up-GroundCommIncentive)*'Ground Base'!G52),2),ROUND('Ground Base'!G$154*(1+GroundFuelSurcharge),2),ROUND(((1-GroundCommDiscount31Up-GroundCommIncentive)*'Ground Base'!G52)*(1+GroundFuelSurcharge),2)))*(1+FedEx_Markup),2)</f>
        <v>49.68</v>
      </c>
      <c r="H57" s="218">
        <f>ROUND((IF('Ground Base'!H$154&gt;ROUND(((1-GroundCommDiscount31Up-GroundCommIncentive)*'Ground Base'!H52),2),ROUND('Ground Base'!H$154*(1+GroundFuelSurcharge),2),ROUND(((1-GroundCommDiscount31Up-GroundCommIncentive)*'Ground Base'!H52)*(1+GroundFuelSurcharge),2)))*(1+FedEx_Markup),2)</f>
        <v>55.21</v>
      </c>
      <c r="I57" s="218">
        <f>ROUND((IF('Ground Base'!I$154&gt;ROUND(((1-GroundAKHIDiscount)*'Ground Base'!I52),2),ROUND('Ground Base'!I$154*(1+GroundFuelSurcharge),2),ROUND(((1-GroundAKHIDiscount)*'Ground Base'!I52)*(1+GroundFuelSurcharge),2)))*(1+FedEx_Markup),2)</f>
        <v>268.77999999999997</v>
      </c>
      <c r="J57" s="218">
        <f>ROUND((IF('Ground Base'!J$154&gt;ROUND(((1-GroundAKHIDiscount)*'Ground Base'!J52),2),ROUND('Ground Base'!J$154*(1+GroundFuelSurcharge),2),ROUND(((1-GroundAKHIDiscount)*'Ground Base'!J52)*(1+GroundFuelSurcharge),2)))*(1+FedEx_Markup),2)</f>
        <v>268.77999999999997</v>
      </c>
      <c r="K57" s="218">
        <f>ROUND((IF('Ground Base'!K$154&gt;ROUND(((1-GroundZone51Discount)*'Ground Base'!K52),2),ROUND('Ground Base'!K$154*(1+GroundFuelSurcharge),2),ROUND(((1-GroundZone51Discount)*'Ground Base'!K52)*(1+GroundFuelSurcharge),2)))*(1+FedEx_Markup),2)</f>
        <v>82.08</v>
      </c>
      <c r="L57" s="218">
        <f>ROUND((IF('Ground Base'!L$154&gt;ROUND(((1-GroundZone54Discount)*'Ground Base'!L52),2),ROUND('Ground Base'!L$154*(1+GroundFuelSurcharge),2),ROUND(((1-GroundZone54Discount)*'Ground Base'!L52)*(1+GroundFuelSurcharge),2)))*(1+FedEx_Markup),2)</f>
        <v>96.34</v>
      </c>
    </row>
    <row r="58" spans="1:12" ht="12.75" customHeight="1">
      <c r="A58" s="217">
        <v>51</v>
      </c>
      <c r="B58" s="218">
        <f>ROUND((IF('Ground Base'!B$154&gt;ROUND(((1-GroundCommDiscount31Up-GroundCommIncentive)*'Ground Base'!B53),2),ROUND('Ground Base'!B$154*(1+GroundFuelSurcharge),2),ROUND(((1-GroundCommDiscount31Up-GroundCommIncentive)*'Ground Base'!B53)*(1+GroundFuelSurcharge),2)))*(1+FedEx_Markup),2)</f>
        <v>18.03</v>
      </c>
      <c r="C58" s="218">
        <f>ROUND((IF('Ground Base'!C$154&gt;ROUND(((1-GroundCommDiscount31Up-GroundCommIncentive)*'Ground Base'!C53),2),ROUND('Ground Base'!C$154*(1+GroundFuelSurcharge),2),ROUND(((1-GroundCommDiscount31Up-GroundCommIncentive)*'Ground Base'!C53)*(1+GroundFuelSurcharge),2)))*(1+FedEx_Markup),2)</f>
        <v>22.55</v>
      </c>
      <c r="D58" s="218">
        <f>ROUND((IF('Ground Base'!D$154&gt;ROUND(((1-GroundCommDiscount31Up-GroundCommIncentive)*'Ground Base'!D53),2),ROUND('Ground Base'!D$154*(1+GroundFuelSurcharge),2),ROUND(((1-GroundCommDiscount31Up-GroundCommIncentive)*'Ground Base'!D53)*(1+GroundFuelSurcharge),2)))*(1+FedEx_Markup),2)</f>
        <v>27.12</v>
      </c>
      <c r="E58" s="218">
        <f>ROUND((IF('Ground Base'!E$154&gt;ROUND(((1-GroundCommDiscount31Up-GroundCommIncentive)*'Ground Base'!E53),2),ROUND('Ground Base'!E$154*(1+GroundFuelSurcharge),2),ROUND(((1-GroundCommDiscount31Up-GroundCommIncentive)*'Ground Base'!E53)*(1+GroundFuelSurcharge),2)))*(1+FedEx_Markup),2)</f>
        <v>32.89</v>
      </c>
      <c r="F58" s="218">
        <f>ROUND((IF('Ground Base'!F$154&gt;ROUND(((1-GroundCommDiscount31Up-GroundCommIncentive)*'Ground Base'!F53),2),ROUND('Ground Base'!F$154*(1+GroundFuelSurcharge),2),ROUND(((1-GroundCommDiscount31Up-GroundCommIncentive)*'Ground Base'!F53)*(1+GroundFuelSurcharge),2)))*(1+FedEx_Markup),2)</f>
        <v>41.76</v>
      </c>
      <c r="G58" s="218">
        <f>ROUND((IF('Ground Base'!G$154&gt;ROUND(((1-GroundCommDiscount31Up-GroundCommIncentive)*'Ground Base'!G53),2),ROUND('Ground Base'!G$154*(1+GroundFuelSurcharge),2),ROUND(((1-GroundCommDiscount31Up-GroundCommIncentive)*'Ground Base'!G53)*(1+GroundFuelSurcharge),2)))*(1+FedEx_Markup),2)</f>
        <v>50.53</v>
      </c>
      <c r="H58" s="218">
        <f>ROUND((IF('Ground Base'!H$154&gt;ROUND(((1-GroundCommDiscount31Up-GroundCommIncentive)*'Ground Base'!H53),2),ROUND('Ground Base'!H$154*(1+GroundFuelSurcharge),2),ROUND(((1-GroundCommDiscount31Up-GroundCommIncentive)*'Ground Base'!H53)*(1+GroundFuelSurcharge),2)))*(1+FedEx_Markup),2)</f>
        <v>56.75</v>
      </c>
      <c r="I58" s="218">
        <f>ROUND((IF('Ground Base'!I$154&gt;ROUND(((1-GroundAKHIDiscount)*'Ground Base'!I53),2),ROUND('Ground Base'!I$154*(1+GroundFuelSurcharge),2),ROUND(((1-GroundAKHIDiscount)*'Ground Base'!I53)*(1+GroundFuelSurcharge),2)))*(1+FedEx_Markup),2)</f>
        <v>277.08</v>
      </c>
      <c r="J58" s="218">
        <f>ROUND((IF('Ground Base'!J$154&gt;ROUND(((1-GroundAKHIDiscount)*'Ground Base'!J53),2),ROUND('Ground Base'!J$154*(1+GroundFuelSurcharge),2),ROUND(((1-GroundAKHIDiscount)*'Ground Base'!J53)*(1+GroundFuelSurcharge),2)))*(1+FedEx_Markup),2)</f>
        <v>277.08</v>
      </c>
      <c r="K58" s="218">
        <f>ROUND((IF('Ground Base'!K$154&gt;ROUND(((1-GroundZone51Discount)*'Ground Base'!K53),2),ROUND('Ground Base'!K$154*(1+GroundFuelSurcharge),2),ROUND(((1-GroundZone51Discount)*'Ground Base'!K53)*(1+GroundFuelSurcharge),2)))*(1+FedEx_Markup),2)</f>
        <v>84.57</v>
      </c>
      <c r="L58" s="218">
        <f>ROUND((IF('Ground Base'!L$154&gt;ROUND(((1-GroundZone54Discount)*'Ground Base'!L53),2),ROUND('Ground Base'!L$154*(1+GroundFuelSurcharge),2),ROUND(((1-GroundZone54Discount)*'Ground Base'!L53)*(1+GroundFuelSurcharge),2)))*(1+FedEx_Markup),2)</f>
        <v>98.36</v>
      </c>
    </row>
    <row r="59" spans="1:12" ht="12.75" customHeight="1">
      <c r="A59" s="217">
        <v>52</v>
      </c>
      <c r="B59" s="218">
        <f>ROUND((IF('Ground Base'!B$154&gt;ROUND(((1-GroundCommDiscount31Up-GroundCommIncentive)*'Ground Base'!B54),2),ROUND('Ground Base'!B$154*(1+GroundFuelSurcharge),2),ROUND(((1-GroundCommDiscount31Up-GroundCommIncentive)*'Ground Base'!B54)*(1+GroundFuelSurcharge),2)))*(1+FedEx_Markup),2)</f>
        <v>18.04</v>
      </c>
      <c r="C59" s="218">
        <f>ROUND((IF('Ground Base'!C$154&gt;ROUND(((1-GroundCommDiscount31Up-GroundCommIncentive)*'Ground Base'!C54),2),ROUND('Ground Base'!C$154*(1+GroundFuelSurcharge),2),ROUND(((1-GroundCommDiscount31Up-GroundCommIncentive)*'Ground Base'!C54)*(1+GroundFuelSurcharge),2)))*(1+FedEx_Markup),2)</f>
        <v>22.56</v>
      </c>
      <c r="D59" s="218">
        <f>ROUND((IF('Ground Base'!D$154&gt;ROUND(((1-GroundCommDiscount31Up-GroundCommIncentive)*'Ground Base'!D54),2),ROUND('Ground Base'!D$154*(1+GroundFuelSurcharge),2),ROUND(((1-GroundCommDiscount31Up-GroundCommIncentive)*'Ground Base'!D54)*(1+GroundFuelSurcharge),2)))*(1+FedEx_Markup),2)</f>
        <v>27.13</v>
      </c>
      <c r="E59" s="218">
        <f>ROUND((IF('Ground Base'!E$154&gt;ROUND(((1-GroundCommDiscount31Up-GroundCommIncentive)*'Ground Base'!E54),2),ROUND('Ground Base'!E$154*(1+GroundFuelSurcharge),2),ROUND(((1-GroundCommDiscount31Up-GroundCommIncentive)*'Ground Base'!E54)*(1+GroundFuelSurcharge),2)))*(1+FedEx_Markup),2)</f>
        <v>32.9</v>
      </c>
      <c r="F59" s="218">
        <f>ROUND((IF('Ground Base'!F$154&gt;ROUND(((1-GroundCommDiscount31Up-GroundCommIncentive)*'Ground Base'!F54),2),ROUND('Ground Base'!F$154*(1+GroundFuelSurcharge),2),ROUND(((1-GroundCommDiscount31Up-GroundCommIncentive)*'Ground Base'!F54)*(1+GroundFuelSurcharge),2)))*(1+FedEx_Markup),2)</f>
        <v>41.77</v>
      </c>
      <c r="G59" s="218">
        <f>ROUND((IF('Ground Base'!G$154&gt;ROUND(((1-GroundCommDiscount31Up-GroundCommIncentive)*'Ground Base'!G54),2),ROUND('Ground Base'!G$154*(1+GroundFuelSurcharge),2),ROUND(((1-GroundCommDiscount31Up-GroundCommIncentive)*'Ground Base'!G54)*(1+GroundFuelSurcharge),2)))*(1+FedEx_Markup),2)</f>
        <v>50.54</v>
      </c>
      <c r="H59" s="218">
        <f>ROUND((IF('Ground Base'!H$154&gt;ROUND(((1-GroundCommDiscount31Up-GroundCommIncentive)*'Ground Base'!H54),2),ROUND('Ground Base'!H$154*(1+GroundFuelSurcharge),2),ROUND(((1-GroundCommDiscount31Up-GroundCommIncentive)*'Ground Base'!H54)*(1+GroundFuelSurcharge),2)))*(1+FedEx_Markup),2)</f>
        <v>56.76</v>
      </c>
      <c r="I59" s="218">
        <f>ROUND((IF('Ground Base'!I$154&gt;ROUND(((1-GroundAKHIDiscount)*'Ground Base'!I54),2),ROUND('Ground Base'!I$154*(1+GroundFuelSurcharge),2),ROUND(((1-GroundAKHIDiscount)*'Ground Base'!I54)*(1+GroundFuelSurcharge),2)))*(1+FedEx_Markup),2)</f>
        <v>277.64</v>
      </c>
      <c r="J59" s="218">
        <f>ROUND((IF('Ground Base'!J$154&gt;ROUND(((1-GroundAKHIDiscount)*'Ground Base'!J54),2),ROUND('Ground Base'!J$154*(1+GroundFuelSurcharge),2),ROUND(((1-GroundAKHIDiscount)*'Ground Base'!J54)*(1+GroundFuelSurcharge),2)))*(1+FedEx_Markup),2)</f>
        <v>277.64</v>
      </c>
      <c r="K59" s="218">
        <f>ROUND((IF('Ground Base'!K$154&gt;ROUND(((1-GroundZone51Discount)*'Ground Base'!K54),2),ROUND('Ground Base'!K$154*(1+GroundFuelSurcharge),2),ROUND(((1-GroundZone51Discount)*'Ground Base'!K54)*(1+GroundFuelSurcharge),2)))*(1+FedEx_Markup),2)</f>
        <v>84.58</v>
      </c>
      <c r="L59" s="218">
        <f>ROUND((IF('Ground Base'!L$154&gt;ROUND(((1-GroundZone54Discount)*'Ground Base'!L54),2),ROUND('Ground Base'!L$154*(1+GroundFuelSurcharge),2),ROUND(((1-GroundZone54Discount)*'Ground Base'!L54)*(1+GroundFuelSurcharge),2)))*(1+FedEx_Markup),2)</f>
        <v>98.37</v>
      </c>
    </row>
    <row r="60" spans="1:12" ht="12.75" customHeight="1">
      <c r="A60" s="217">
        <v>53</v>
      </c>
      <c r="B60" s="218">
        <f>ROUND((IF('Ground Base'!B$154&gt;ROUND(((1-GroundCommDiscount31Up-GroundCommIncentive)*'Ground Base'!B55),2),ROUND('Ground Base'!B$154*(1+GroundFuelSurcharge),2),ROUND(((1-GroundCommDiscount31Up-GroundCommIncentive)*'Ground Base'!B55)*(1+GroundFuelSurcharge),2)))*(1+FedEx_Markup),2)</f>
        <v>18.04</v>
      </c>
      <c r="C60" s="218">
        <f>ROUND((IF('Ground Base'!C$154&gt;ROUND(((1-GroundCommDiscount31Up-GroundCommIncentive)*'Ground Base'!C55),2),ROUND('Ground Base'!C$154*(1+GroundFuelSurcharge),2),ROUND(((1-GroundCommDiscount31Up-GroundCommIncentive)*'Ground Base'!C55)*(1+GroundFuelSurcharge),2)))*(1+FedEx_Markup),2)</f>
        <v>22.57</v>
      </c>
      <c r="D60" s="218">
        <f>ROUND((IF('Ground Base'!D$154&gt;ROUND(((1-GroundCommDiscount31Up-GroundCommIncentive)*'Ground Base'!D55),2),ROUND('Ground Base'!D$154*(1+GroundFuelSurcharge),2),ROUND(((1-GroundCommDiscount31Up-GroundCommIncentive)*'Ground Base'!D55)*(1+GroundFuelSurcharge),2)))*(1+FedEx_Markup),2)</f>
        <v>27.14</v>
      </c>
      <c r="E60" s="218">
        <f>ROUND((IF('Ground Base'!E$154&gt;ROUND(((1-GroundCommDiscount31Up-GroundCommIncentive)*'Ground Base'!E55),2),ROUND('Ground Base'!E$154*(1+GroundFuelSurcharge),2),ROUND(((1-GroundCommDiscount31Up-GroundCommIncentive)*'Ground Base'!E55)*(1+GroundFuelSurcharge),2)))*(1+FedEx_Markup),2)</f>
        <v>33.24</v>
      </c>
      <c r="F60" s="218">
        <f>ROUND((IF('Ground Base'!F$154&gt;ROUND(((1-GroundCommDiscount31Up-GroundCommIncentive)*'Ground Base'!F55),2),ROUND('Ground Base'!F$154*(1+GroundFuelSurcharge),2),ROUND(((1-GroundCommDiscount31Up-GroundCommIncentive)*'Ground Base'!F55)*(1+GroundFuelSurcharge),2)))*(1+FedEx_Markup),2)</f>
        <v>41.77</v>
      </c>
      <c r="G60" s="218">
        <f>ROUND((IF('Ground Base'!G$154&gt;ROUND(((1-GroundCommDiscount31Up-GroundCommIncentive)*'Ground Base'!G55),2),ROUND('Ground Base'!G$154*(1+GroundFuelSurcharge),2),ROUND(((1-GroundCommDiscount31Up-GroundCommIncentive)*'Ground Base'!G55)*(1+GroundFuelSurcharge),2)))*(1+FedEx_Markup),2)</f>
        <v>50.55</v>
      </c>
      <c r="H60" s="218">
        <f>ROUND((IF('Ground Base'!H$154&gt;ROUND(((1-GroundCommDiscount31Up-GroundCommIncentive)*'Ground Base'!H55),2),ROUND('Ground Base'!H$154*(1+GroundFuelSurcharge),2),ROUND(((1-GroundCommDiscount31Up-GroundCommIncentive)*'Ground Base'!H55)*(1+GroundFuelSurcharge),2)))*(1+FedEx_Markup),2)</f>
        <v>57.32</v>
      </c>
      <c r="I60" s="218">
        <f>ROUND((IF('Ground Base'!I$154&gt;ROUND(((1-GroundAKHIDiscount)*'Ground Base'!I55),2),ROUND('Ground Base'!I$154*(1+GroundFuelSurcharge),2),ROUND(((1-GroundAKHIDiscount)*'Ground Base'!I55)*(1+GroundFuelSurcharge),2)))*(1+FedEx_Markup),2)</f>
        <v>281.83999999999997</v>
      </c>
      <c r="J60" s="218">
        <f>ROUND((IF('Ground Base'!J$154&gt;ROUND(((1-GroundAKHIDiscount)*'Ground Base'!J55),2),ROUND('Ground Base'!J$154*(1+GroundFuelSurcharge),2),ROUND(((1-GroundAKHIDiscount)*'Ground Base'!J55)*(1+GroundFuelSurcharge),2)))*(1+FedEx_Markup),2)</f>
        <v>281.83999999999997</v>
      </c>
      <c r="K60" s="218">
        <f>ROUND((IF('Ground Base'!K$154&gt;ROUND(((1-GroundZone51Discount)*'Ground Base'!K55),2),ROUND('Ground Base'!K$154*(1+GroundFuelSurcharge),2),ROUND(((1-GroundZone51Discount)*'Ground Base'!K55)*(1+GroundFuelSurcharge),2)))*(1+FedEx_Markup),2)</f>
        <v>86.93</v>
      </c>
      <c r="L60" s="218">
        <f>ROUND((IF('Ground Base'!L$154&gt;ROUND(((1-GroundZone54Discount)*'Ground Base'!L55),2),ROUND('Ground Base'!L$154*(1+GroundFuelSurcharge),2),ROUND(((1-GroundZone54Discount)*'Ground Base'!L55)*(1+GroundFuelSurcharge),2)))*(1+FedEx_Markup),2)</f>
        <v>100.25</v>
      </c>
    </row>
    <row r="61" spans="1:12" ht="12.75" customHeight="1">
      <c r="A61" s="217">
        <v>54</v>
      </c>
      <c r="B61" s="218">
        <f>ROUND((IF('Ground Base'!B$154&gt;ROUND(((1-GroundCommDiscount31Up-GroundCommIncentive)*'Ground Base'!B56),2),ROUND('Ground Base'!B$154*(1+GroundFuelSurcharge),2),ROUND(((1-GroundCommDiscount31Up-GroundCommIncentive)*'Ground Base'!B56)*(1+GroundFuelSurcharge),2)))*(1+FedEx_Markup),2)</f>
        <v>18.059999999999999</v>
      </c>
      <c r="C61" s="218">
        <f>ROUND((IF('Ground Base'!C$154&gt;ROUND(((1-GroundCommDiscount31Up-GroundCommIncentive)*'Ground Base'!C56),2),ROUND('Ground Base'!C$154*(1+GroundFuelSurcharge),2),ROUND(((1-GroundCommDiscount31Up-GroundCommIncentive)*'Ground Base'!C56)*(1+GroundFuelSurcharge),2)))*(1+FedEx_Markup),2)</f>
        <v>22.57</v>
      </c>
      <c r="D61" s="218">
        <f>ROUND((IF('Ground Base'!D$154&gt;ROUND(((1-GroundCommDiscount31Up-GroundCommIncentive)*'Ground Base'!D56),2),ROUND('Ground Base'!D$154*(1+GroundFuelSurcharge),2),ROUND(((1-GroundCommDiscount31Up-GroundCommIncentive)*'Ground Base'!D56)*(1+GroundFuelSurcharge),2)))*(1+FedEx_Markup),2)</f>
        <v>27.17</v>
      </c>
      <c r="E61" s="218">
        <f>ROUND((IF('Ground Base'!E$154&gt;ROUND(((1-GroundCommDiscount31Up-GroundCommIncentive)*'Ground Base'!E56),2),ROUND('Ground Base'!E$154*(1+GroundFuelSurcharge),2),ROUND(((1-GroundCommDiscount31Up-GroundCommIncentive)*'Ground Base'!E56)*(1+GroundFuelSurcharge),2)))*(1+FedEx_Markup),2)</f>
        <v>33.29</v>
      </c>
      <c r="F61" s="218">
        <f>ROUND((IF('Ground Base'!F$154&gt;ROUND(((1-GroundCommDiscount31Up-GroundCommIncentive)*'Ground Base'!F56),2),ROUND('Ground Base'!F$154*(1+GroundFuelSurcharge),2),ROUND(((1-GroundCommDiscount31Up-GroundCommIncentive)*'Ground Base'!F56)*(1+GroundFuelSurcharge),2)))*(1+FedEx_Markup),2)</f>
        <v>41.78</v>
      </c>
      <c r="G61" s="218">
        <f>ROUND((IF('Ground Base'!G$154&gt;ROUND(((1-GroundCommDiscount31Up-GroundCommIncentive)*'Ground Base'!G56),2),ROUND('Ground Base'!G$154*(1+GroundFuelSurcharge),2),ROUND(((1-GroundCommDiscount31Up-GroundCommIncentive)*'Ground Base'!G56)*(1+GroundFuelSurcharge),2)))*(1+FedEx_Markup),2)</f>
        <v>50.55</v>
      </c>
      <c r="H61" s="218">
        <f>ROUND((IF('Ground Base'!H$154&gt;ROUND(((1-GroundCommDiscount31Up-GroundCommIncentive)*'Ground Base'!H56),2),ROUND('Ground Base'!H$154*(1+GroundFuelSurcharge),2),ROUND(((1-GroundCommDiscount31Up-GroundCommIncentive)*'Ground Base'!H56)*(1+GroundFuelSurcharge),2)))*(1+FedEx_Markup),2)</f>
        <v>57.32</v>
      </c>
      <c r="I61" s="218">
        <f>ROUND((IF('Ground Base'!I$154&gt;ROUND(((1-GroundAKHIDiscount)*'Ground Base'!I56),2),ROUND('Ground Base'!I$154*(1+GroundFuelSurcharge),2),ROUND(((1-GroundAKHIDiscount)*'Ground Base'!I56)*(1+GroundFuelSurcharge),2)))*(1+FedEx_Markup),2)</f>
        <v>285.83</v>
      </c>
      <c r="J61" s="218">
        <f>ROUND((IF('Ground Base'!J$154&gt;ROUND(((1-GroundAKHIDiscount)*'Ground Base'!J56),2),ROUND('Ground Base'!J$154*(1+GroundFuelSurcharge),2),ROUND(((1-GroundAKHIDiscount)*'Ground Base'!J56)*(1+GroundFuelSurcharge),2)))*(1+FedEx_Markup),2)</f>
        <v>285.83</v>
      </c>
      <c r="K61" s="218">
        <f>ROUND((IF('Ground Base'!K$154&gt;ROUND(((1-GroundZone51Discount)*'Ground Base'!K56),2),ROUND('Ground Base'!K$154*(1+GroundFuelSurcharge),2),ROUND(((1-GroundZone51Discount)*'Ground Base'!K56)*(1+GroundFuelSurcharge),2)))*(1+FedEx_Markup),2)</f>
        <v>86.94</v>
      </c>
      <c r="L61" s="218">
        <f>ROUND((IF('Ground Base'!L$154&gt;ROUND(((1-GroundZone54Discount)*'Ground Base'!L56),2),ROUND('Ground Base'!L$154*(1+GroundFuelSurcharge),2),ROUND(((1-GroundZone54Discount)*'Ground Base'!L56)*(1+GroundFuelSurcharge),2)))*(1+FedEx_Markup),2)</f>
        <v>100.27</v>
      </c>
    </row>
    <row r="62" spans="1:12" ht="12.75" customHeight="1">
      <c r="A62" s="217">
        <v>55</v>
      </c>
      <c r="B62" s="218">
        <f>ROUND((IF('Ground Base'!B$154&gt;ROUND(((1-GroundCommDiscount31Up-GroundCommIncentive)*'Ground Base'!B57),2),ROUND('Ground Base'!B$154*(1+GroundFuelSurcharge),2),ROUND(((1-GroundCommDiscount31Up-GroundCommIncentive)*'Ground Base'!B57)*(1+GroundFuelSurcharge),2)))*(1+FedEx_Markup),2)</f>
        <v>18.059999999999999</v>
      </c>
      <c r="C62" s="218">
        <f>ROUND((IF('Ground Base'!C$154&gt;ROUND(((1-GroundCommDiscount31Up-GroundCommIncentive)*'Ground Base'!C57),2),ROUND('Ground Base'!C$154*(1+GroundFuelSurcharge),2),ROUND(((1-GroundCommDiscount31Up-GroundCommIncentive)*'Ground Base'!C57)*(1+GroundFuelSurcharge),2)))*(1+FedEx_Markup),2)</f>
        <v>22.59</v>
      </c>
      <c r="D62" s="218">
        <f>ROUND((IF('Ground Base'!D$154&gt;ROUND(((1-GroundCommDiscount31Up-GroundCommIncentive)*'Ground Base'!D57),2),ROUND('Ground Base'!D$154*(1+GroundFuelSurcharge),2),ROUND(((1-GroundCommDiscount31Up-GroundCommIncentive)*'Ground Base'!D57)*(1+GroundFuelSurcharge),2)))*(1+FedEx_Markup),2)</f>
        <v>27.19</v>
      </c>
      <c r="E62" s="218">
        <f>ROUND((IF('Ground Base'!E$154&gt;ROUND(((1-GroundCommDiscount31Up-GroundCommIncentive)*'Ground Base'!E57),2),ROUND('Ground Base'!E$154*(1+GroundFuelSurcharge),2),ROUND(((1-GroundCommDiscount31Up-GroundCommIncentive)*'Ground Base'!E57)*(1+GroundFuelSurcharge),2)))*(1+FedEx_Markup),2)</f>
        <v>33.299999999999997</v>
      </c>
      <c r="F62" s="218">
        <f>ROUND((IF('Ground Base'!F$154&gt;ROUND(((1-GroundCommDiscount31Up-GroundCommIncentive)*'Ground Base'!F57),2),ROUND('Ground Base'!F$154*(1+GroundFuelSurcharge),2),ROUND(((1-GroundCommDiscount31Up-GroundCommIncentive)*'Ground Base'!F57)*(1+GroundFuelSurcharge),2)))*(1+FedEx_Markup),2)</f>
        <v>41.79</v>
      </c>
      <c r="G62" s="218">
        <f>ROUND((IF('Ground Base'!G$154&gt;ROUND(((1-GroundCommDiscount31Up-GroundCommIncentive)*'Ground Base'!G57),2),ROUND('Ground Base'!G$154*(1+GroundFuelSurcharge),2),ROUND(((1-GroundCommDiscount31Up-GroundCommIncentive)*'Ground Base'!G57)*(1+GroundFuelSurcharge),2)))*(1+FedEx_Markup),2)</f>
        <v>50.57</v>
      </c>
      <c r="H62" s="218">
        <f>ROUND((IF('Ground Base'!H$154&gt;ROUND(((1-GroundCommDiscount31Up-GroundCommIncentive)*'Ground Base'!H57),2),ROUND('Ground Base'!H$154*(1+GroundFuelSurcharge),2),ROUND(((1-GroundCommDiscount31Up-GroundCommIncentive)*'Ground Base'!H57)*(1+GroundFuelSurcharge),2)))*(1+FedEx_Markup),2)</f>
        <v>57.33</v>
      </c>
      <c r="I62" s="218">
        <f>ROUND((IF('Ground Base'!I$154&gt;ROUND(((1-GroundAKHIDiscount)*'Ground Base'!I57),2),ROUND('Ground Base'!I$154*(1+GroundFuelSurcharge),2),ROUND(((1-GroundAKHIDiscount)*'Ground Base'!I57)*(1+GroundFuelSurcharge),2)))*(1+FedEx_Markup),2)</f>
        <v>289.69</v>
      </c>
      <c r="J62" s="218">
        <f>ROUND((IF('Ground Base'!J$154&gt;ROUND(((1-GroundAKHIDiscount)*'Ground Base'!J57),2),ROUND('Ground Base'!J$154*(1+GroundFuelSurcharge),2),ROUND(((1-GroundAKHIDiscount)*'Ground Base'!J57)*(1+GroundFuelSurcharge),2)))*(1+FedEx_Markup),2)</f>
        <v>289.69</v>
      </c>
      <c r="K62" s="218">
        <f>ROUND((IF('Ground Base'!K$154&gt;ROUND(((1-GroundZone51Discount)*'Ground Base'!K57),2),ROUND('Ground Base'!K$154*(1+GroundFuelSurcharge),2),ROUND(((1-GroundZone51Discount)*'Ground Base'!K57)*(1+GroundFuelSurcharge),2)))*(1+FedEx_Markup),2)</f>
        <v>88.96</v>
      </c>
      <c r="L62" s="218">
        <f>ROUND((IF('Ground Base'!L$154&gt;ROUND(((1-GroundZone54Discount)*'Ground Base'!L57),2),ROUND('Ground Base'!L$154*(1+GroundFuelSurcharge),2),ROUND(((1-GroundZone54Discount)*'Ground Base'!L57)*(1+GroundFuelSurcharge),2)))*(1+FedEx_Markup),2)</f>
        <v>102.33</v>
      </c>
    </row>
    <row r="63" spans="1:12" ht="12.75" customHeight="1">
      <c r="A63" s="217">
        <v>56</v>
      </c>
      <c r="B63" s="218">
        <f>ROUND((IF('Ground Base'!B$154&gt;ROUND(((1-GroundCommDiscount31Up-GroundCommIncentive)*'Ground Base'!B58),2),ROUND('Ground Base'!B$154*(1+GroundFuelSurcharge),2),ROUND(((1-GroundCommDiscount31Up-GroundCommIncentive)*'Ground Base'!B58)*(1+GroundFuelSurcharge),2)))*(1+FedEx_Markup),2)</f>
        <v>18.07</v>
      </c>
      <c r="C63" s="218">
        <f>ROUND((IF('Ground Base'!C$154&gt;ROUND(((1-GroundCommDiscount31Up-GroundCommIncentive)*'Ground Base'!C58),2),ROUND('Ground Base'!C$154*(1+GroundFuelSurcharge),2),ROUND(((1-GroundCommDiscount31Up-GroundCommIncentive)*'Ground Base'!C58)*(1+GroundFuelSurcharge),2)))*(1+FedEx_Markup),2)</f>
        <v>22.6</v>
      </c>
      <c r="D63" s="218">
        <f>ROUND((IF('Ground Base'!D$154&gt;ROUND(((1-GroundCommDiscount31Up-GroundCommIncentive)*'Ground Base'!D58),2),ROUND('Ground Base'!D$154*(1+GroundFuelSurcharge),2),ROUND(((1-GroundCommDiscount31Up-GroundCommIncentive)*'Ground Base'!D58)*(1+GroundFuelSurcharge),2)))*(1+FedEx_Markup),2)</f>
        <v>27.19</v>
      </c>
      <c r="E63" s="218">
        <f>ROUND((IF('Ground Base'!E$154&gt;ROUND(((1-GroundCommDiscount31Up-GroundCommIncentive)*'Ground Base'!E58),2),ROUND('Ground Base'!E$154*(1+GroundFuelSurcharge),2),ROUND(((1-GroundCommDiscount31Up-GroundCommIncentive)*'Ground Base'!E58)*(1+GroundFuelSurcharge),2)))*(1+FedEx_Markup),2)</f>
        <v>33.299999999999997</v>
      </c>
      <c r="F63" s="218">
        <f>ROUND((IF('Ground Base'!F$154&gt;ROUND(((1-GroundCommDiscount31Up-GroundCommIncentive)*'Ground Base'!F58),2),ROUND('Ground Base'!F$154*(1+GroundFuelSurcharge),2),ROUND(((1-GroundCommDiscount31Up-GroundCommIncentive)*'Ground Base'!F58)*(1+GroundFuelSurcharge),2)))*(1+FedEx_Markup),2)</f>
        <v>41.8</v>
      </c>
      <c r="G63" s="218">
        <f>ROUND((IF('Ground Base'!G$154&gt;ROUND(((1-GroundCommDiscount31Up-GroundCommIncentive)*'Ground Base'!G58),2),ROUND('Ground Base'!G$154*(1+GroundFuelSurcharge),2),ROUND(((1-GroundCommDiscount31Up-GroundCommIncentive)*'Ground Base'!G58)*(1+GroundFuelSurcharge),2)))*(1+FedEx_Markup),2)</f>
        <v>50.58</v>
      </c>
      <c r="H63" s="218">
        <f>ROUND((IF('Ground Base'!H$154&gt;ROUND(((1-GroundCommDiscount31Up-GroundCommIncentive)*'Ground Base'!H58),2),ROUND('Ground Base'!H$154*(1+GroundFuelSurcharge),2),ROUND(((1-GroundCommDiscount31Up-GroundCommIncentive)*'Ground Base'!H58)*(1+GroundFuelSurcharge),2)))*(1+FedEx_Markup),2)</f>
        <v>58.04</v>
      </c>
      <c r="I63" s="218">
        <f>ROUND((IF('Ground Base'!I$154&gt;ROUND(((1-GroundAKHIDiscount)*'Ground Base'!I58),2),ROUND('Ground Base'!I$154*(1+GroundFuelSurcharge),2),ROUND(((1-GroundAKHIDiscount)*'Ground Base'!I58)*(1+GroundFuelSurcharge),2)))*(1+FedEx_Markup),2)</f>
        <v>293.60000000000002</v>
      </c>
      <c r="J63" s="218">
        <f>ROUND((IF('Ground Base'!J$154&gt;ROUND(((1-GroundAKHIDiscount)*'Ground Base'!J58),2),ROUND('Ground Base'!J$154*(1+GroundFuelSurcharge),2),ROUND(((1-GroundAKHIDiscount)*'Ground Base'!J58)*(1+GroundFuelSurcharge),2)))*(1+FedEx_Markup),2)</f>
        <v>293.60000000000002</v>
      </c>
      <c r="K63" s="218">
        <f>ROUND((IF('Ground Base'!K$154&gt;ROUND(((1-GroundZone51Discount)*'Ground Base'!K58),2),ROUND('Ground Base'!K$154*(1+GroundFuelSurcharge),2),ROUND(((1-GroundZone51Discount)*'Ground Base'!K58)*(1+GroundFuelSurcharge),2)))*(1+FedEx_Markup),2)</f>
        <v>88.96</v>
      </c>
      <c r="L63" s="218">
        <f>ROUND((IF('Ground Base'!L$154&gt;ROUND(((1-GroundZone54Discount)*'Ground Base'!L58),2),ROUND('Ground Base'!L$154*(1+GroundFuelSurcharge),2),ROUND(((1-GroundZone54Discount)*'Ground Base'!L58)*(1+GroundFuelSurcharge),2)))*(1+FedEx_Markup),2)</f>
        <v>102.34</v>
      </c>
    </row>
    <row r="64" spans="1:12" ht="12.75" customHeight="1">
      <c r="A64" s="217">
        <v>57</v>
      </c>
      <c r="B64" s="218">
        <f>ROUND((IF('Ground Base'!B$154&gt;ROUND(((1-GroundCommDiscount31Up-GroundCommIncentive)*'Ground Base'!B59),2),ROUND('Ground Base'!B$154*(1+GroundFuelSurcharge),2),ROUND(((1-GroundCommDiscount31Up-GroundCommIncentive)*'Ground Base'!B59)*(1+GroundFuelSurcharge),2)))*(1+FedEx_Markup),2)</f>
        <v>18.399999999999999</v>
      </c>
      <c r="C64" s="218">
        <f>ROUND((IF('Ground Base'!C$154&gt;ROUND(((1-GroundCommDiscount31Up-GroundCommIncentive)*'Ground Base'!C59),2),ROUND('Ground Base'!C$154*(1+GroundFuelSurcharge),2),ROUND(((1-GroundCommDiscount31Up-GroundCommIncentive)*'Ground Base'!C59)*(1+GroundFuelSurcharge),2)))*(1+FedEx_Markup),2)</f>
        <v>22.71</v>
      </c>
      <c r="D64" s="218">
        <f>ROUND((IF('Ground Base'!D$154&gt;ROUND(((1-GroundCommDiscount31Up-GroundCommIncentive)*'Ground Base'!D59),2),ROUND('Ground Base'!D$154*(1+GroundFuelSurcharge),2),ROUND(((1-GroundCommDiscount31Up-GroundCommIncentive)*'Ground Base'!D59)*(1+GroundFuelSurcharge),2)))*(1+FedEx_Markup),2)</f>
        <v>27.2</v>
      </c>
      <c r="E64" s="218">
        <f>ROUND((IF('Ground Base'!E$154&gt;ROUND(((1-GroundCommDiscount31Up-GroundCommIncentive)*'Ground Base'!E59),2),ROUND('Ground Base'!E$154*(1+GroundFuelSurcharge),2),ROUND(((1-GroundCommDiscount31Up-GroundCommIncentive)*'Ground Base'!E59)*(1+GroundFuelSurcharge),2)))*(1+FedEx_Markup),2)</f>
        <v>34.299999999999997</v>
      </c>
      <c r="F64" s="218">
        <f>ROUND((IF('Ground Base'!F$154&gt;ROUND(((1-GroundCommDiscount31Up-GroundCommIncentive)*'Ground Base'!F59),2),ROUND('Ground Base'!F$154*(1+GroundFuelSurcharge),2),ROUND(((1-GroundCommDiscount31Up-GroundCommIncentive)*'Ground Base'!F59)*(1+GroundFuelSurcharge),2)))*(1+FedEx_Markup),2)</f>
        <v>41.81</v>
      </c>
      <c r="G64" s="218">
        <f>ROUND((IF('Ground Base'!G$154&gt;ROUND(((1-GroundCommDiscount31Up-GroundCommIncentive)*'Ground Base'!G59),2),ROUND('Ground Base'!G$154*(1+GroundFuelSurcharge),2),ROUND(((1-GroundCommDiscount31Up-GroundCommIncentive)*'Ground Base'!G59)*(1+GroundFuelSurcharge),2)))*(1+FedEx_Markup),2)</f>
        <v>50.6</v>
      </c>
      <c r="H64" s="218">
        <f>ROUND((IF('Ground Base'!H$154&gt;ROUND(((1-GroundCommDiscount31Up-GroundCommIncentive)*'Ground Base'!H59),2),ROUND('Ground Base'!H$154*(1+GroundFuelSurcharge),2),ROUND(((1-GroundCommDiscount31Up-GroundCommIncentive)*'Ground Base'!H59)*(1+GroundFuelSurcharge),2)))*(1+FedEx_Markup),2)</f>
        <v>58.64</v>
      </c>
      <c r="I64" s="218">
        <f>ROUND((IF('Ground Base'!I$154&gt;ROUND(((1-GroundAKHIDiscount)*'Ground Base'!I59),2),ROUND('Ground Base'!I$154*(1+GroundFuelSurcharge),2),ROUND(((1-GroundAKHIDiscount)*'Ground Base'!I59)*(1+GroundFuelSurcharge),2)))*(1+FedEx_Markup),2)</f>
        <v>297.63</v>
      </c>
      <c r="J64" s="218">
        <f>ROUND((IF('Ground Base'!J$154&gt;ROUND(((1-GroundAKHIDiscount)*'Ground Base'!J59),2),ROUND('Ground Base'!J$154*(1+GroundFuelSurcharge),2),ROUND(((1-GroundAKHIDiscount)*'Ground Base'!J59)*(1+GroundFuelSurcharge),2)))*(1+FedEx_Markup),2)</f>
        <v>297.63</v>
      </c>
      <c r="K64" s="218">
        <f>ROUND((IF('Ground Base'!K$154&gt;ROUND(((1-GroundZone51Discount)*'Ground Base'!K59),2),ROUND('Ground Base'!K$154*(1+GroundFuelSurcharge),2),ROUND(((1-GroundZone51Discount)*'Ground Base'!K59)*(1+GroundFuelSurcharge),2)))*(1+FedEx_Markup),2)</f>
        <v>90.61</v>
      </c>
      <c r="L64" s="218">
        <f>ROUND((IF('Ground Base'!L$154&gt;ROUND(((1-GroundZone54Discount)*'Ground Base'!L59),2),ROUND('Ground Base'!L$154*(1+GroundFuelSurcharge),2),ROUND(((1-GroundZone54Discount)*'Ground Base'!L59)*(1+GroundFuelSurcharge),2)))*(1+FedEx_Markup),2)</f>
        <v>104.41</v>
      </c>
    </row>
    <row r="65" spans="1:12" ht="12.75" customHeight="1">
      <c r="A65" s="217">
        <v>58</v>
      </c>
      <c r="B65" s="218">
        <f>ROUND((IF('Ground Base'!B$154&gt;ROUND(((1-GroundCommDiscount31Up-GroundCommIncentive)*'Ground Base'!B60),2),ROUND('Ground Base'!B$154*(1+GroundFuelSurcharge),2),ROUND(((1-GroundCommDiscount31Up-GroundCommIncentive)*'Ground Base'!B60)*(1+GroundFuelSurcharge),2)))*(1+FedEx_Markup),2)</f>
        <v>18.41</v>
      </c>
      <c r="C65" s="218">
        <f>ROUND((IF('Ground Base'!C$154&gt;ROUND(((1-GroundCommDiscount31Up-GroundCommIncentive)*'Ground Base'!C60),2),ROUND('Ground Base'!C$154*(1+GroundFuelSurcharge),2),ROUND(((1-GroundCommDiscount31Up-GroundCommIncentive)*'Ground Base'!C60)*(1+GroundFuelSurcharge),2)))*(1+FedEx_Markup),2)</f>
        <v>22.71</v>
      </c>
      <c r="D65" s="218">
        <f>ROUND((IF('Ground Base'!D$154&gt;ROUND(((1-GroundCommDiscount31Up-GroundCommIncentive)*'Ground Base'!D60),2),ROUND('Ground Base'!D$154*(1+GroundFuelSurcharge),2),ROUND(((1-GroundCommDiscount31Up-GroundCommIncentive)*'Ground Base'!D60)*(1+GroundFuelSurcharge),2)))*(1+FedEx_Markup),2)</f>
        <v>27.22</v>
      </c>
      <c r="E65" s="218">
        <f>ROUND((IF('Ground Base'!E$154&gt;ROUND(((1-GroundCommDiscount31Up-GroundCommIncentive)*'Ground Base'!E60),2),ROUND('Ground Base'!E$154*(1+GroundFuelSurcharge),2),ROUND(((1-GroundCommDiscount31Up-GroundCommIncentive)*'Ground Base'!E60)*(1+GroundFuelSurcharge),2)))*(1+FedEx_Markup),2)</f>
        <v>34.32</v>
      </c>
      <c r="F65" s="218">
        <f>ROUND((IF('Ground Base'!F$154&gt;ROUND(((1-GroundCommDiscount31Up-GroundCommIncentive)*'Ground Base'!F60),2),ROUND('Ground Base'!F$154*(1+GroundFuelSurcharge),2),ROUND(((1-GroundCommDiscount31Up-GroundCommIncentive)*'Ground Base'!F60)*(1+GroundFuelSurcharge),2)))*(1+FedEx_Markup),2)</f>
        <v>41.81</v>
      </c>
      <c r="G65" s="218">
        <f>ROUND((IF('Ground Base'!G$154&gt;ROUND(((1-GroundCommDiscount31Up-GroundCommIncentive)*'Ground Base'!G60),2),ROUND('Ground Base'!G$154*(1+GroundFuelSurcharge),2),ROUND(((1-GroundCommDiscount31Up-GroundCommIncentive)*'Ground Base'!G60)*(1+GroundFuelSurcharge),2)))*(1+FedEx_Markup),2)</f>
        <v>50.6</v>
      </c>
      <c r="H65" s="218">
        <f>ROUND((IF('Ground Base'!H$154&gt;ROUND(((1-GroundCommDiscount31Up-GroundCommIncentive)*'Ground Base'!H60),2),ROUND('Ground Base'!H$154*(1+GroundFuelSurcharge),2),ROUND(((1-GroundCommDiscount31Up-GroundCommIncentive)*'Ground Base'!H60)*(1+GroundFuelSurcharge),2)))*(1+FedEx_Markup),2)</f>
        <v>59.16</v>
      </c>
      <c r="I65" s="218">
        <f>ROUND((IF('Ground Base'!I$154&gt;ROUND(((1-GroundAKHIDiscount)*'Ground Base'!I60),2),ROUND('Ground Base'!I$154*(1+GroundFuelSurcharge),2),ROUND(((1-GroundAKHIDiscount)*'Ground Base'!I60)*(1+GroundFuelSurcharge),2)))*(1+FedEx_Markup),2)</f>
        <v>298.70999999999998</v>
      </c>
      <c r="J65" s="218">
        <f>ROUND((IF('Ground Base'!J$154&gt;ROUND(((1-GroundAKHIDiscount)*'Ground Base'!J60),2),ROUND('Ground Base'!J$154*(1+GroundFuelSurcharge),2),ROUND(((1-GroundAKHIDiscount)*'Ground Base'!J60)*(1+GroundFuelSurcharge),2)))*(1+FedEx_Markup),2)</f>
        <v>298.70999999999998</v>
      </c>
      <c r="K65" s="218">
        <f>ROUND((IF('Ground Base'!K$154&gt;ROUND(((1-GroundZone51Discount)*'Ground Base'!K60),2),ROUND('Ground Base'!K$154*(1+GroundFuelSurcharge),2),ROUND(((1-GroundZone51Discount)*'Ground Base'!K60)*(1+GroundFuelSurcharge),2)))*(1+FedEx_Markup),2)</f>
        <v>98.07</v>
      </c>
      <c r="L65" s="218">
        <f>ROUND((IF('Ground Base'!L$154&gt;ROUND(((1-GroundZone54Discount)*'Ground Base'!L60),2),ROUND('Ground Base'!L$154*(1+GroundFuelSurcharge),2),ROUND(((1-GroundZone54Discount)*'Ground Base'!L60)*(1+GroundFuelSurcharge),2)))*(1+FedEx_Markup),2)</f>
        <v>104.41</v>
      </c>
    </row>
    <row r="66" spans="1:12" ht="12.75" customHeight="1">
      <c r="A66" s="217">
        <v>59</v>
      </c>
      <c r="B66" s="218">
        <f>ROUND((IF('Ground Base'!B$154&gt;ROUND(((1-GroundCommDiscount31Up-GroundCommIncentive)*'Ground Base'!B61),2),ROUND('Ground Base'!B$154*(1+GroundFuelSurcharge),2),ROUND(((1-GroundCommDiscount31Up-GroundCommIncentive)*'Ground Base'!B61)*(1+GroundFuelSurcharge),2)))*(1+FedEx_Markup),2)</f>
        <v>18.420000000000002</v>
      </c>
      <c r="C66" s="218">
        <f>ROUND((IF('Ground Base'!C$154&gt;ROUND(((1-GroundCommDiscount31Up-GroundCommIncentive)*'Ground Base'!C61),2),ROUND('Ground Base'!C$154*(1+GroundFuelSurcharge),2),ROUND(((1-GroundCommDiscount31Up-GroundCommIncentive)*'Ground Base'!C61)*(1+GroundFuelSurcharge),2)))*(1+FedEx_Markup),2)</f>
        <v>22.74</v>
      </c>
      <c r="D66" s="218">
        <f>ROUND((IF('Ground Base'!D$154&gt;ROUND(((1-GroundCommDiscount31Up-GroundCommIncentive)*'Ground Base'!D61),2),ROUND('Ground Base'!D$154*(1+GroundFuelSurcharge),2),ROUND(((1-GroundCommDiscount31Up-GroundCommIncentive)*'Ground Base'!D61)*(1+GroundFuelSurcharge),2)))*(1+FedEx_Markup),2)</f>
        <v>27.4</v>
      </c>
      <c r="E66" s="218">
        <f>ROUND((IF('Ground Base'!E$154&gt;ROUND(((1-GroundCommDiscount31Up-GroundCommIncentive)*'Ground Base'!E61),2),ROUND('Ground Base'!E$154*(1+GroundFuelSurcharge),2),ROUND(((1-GroundCommDiscount31Up-GroundCommIncentive)*'Ground Base'!E61)*(1+GroundFuelSurcharge),2)))*(1+FedEx_Markup),2)</f>
        <v>34.33</v>
      </c>
      <c r="F66" s="218">
        <f>ROUND((IF('Ground Base'!F$154&gt;ROUND(((1-GroundCommDiscount31Up-GroundCommIncentive)*'Ground Base'!F61),2),ROUND('Ground Base'!F$154*(1+GroundFuelSurcharge),2),ROUND(((1-GroundCommDiscount31Up-GroundCommIncentive)*'Ground Base'!F61)*(1+GroundFuelSurcharge),2)))*(1+FedEx_Markup),2)</f>
        <v>42.11</v>
      </c>
      <c r="G66" s="218">
        <f>ROUND((IF('Ground Base'!G$154&gt;ROUND(((1-GroundCommDiscount31Up-GroundCommIncentive)*'Ground Base'!G61),2),ROUND('Ground Base'!G$154*(1+GroundFuelSurcharge),2),ROUND(((1-GroundCommDiscount31Up-GroundCommIncentive)*'Ground Base'!G61)*(1+GroundFuelSurcharge),2)))*(1+FedEx_Markup),2)</f>
        <v>50.61</v>
      </c>
      <c r="H66" s="218">
        <f>ROUND((IF('Ground Base'!H$154&gt;ROUND(((1-GroundCommDiscount31Up-GroundCommIncentive)*'Ground Base'!H61),2),ROUND('Ground Base'!H$154*(1+GroundFuelSurcharge),2),ROUND(((1-GroundCommDiscount31Up-GroundCommIncentive)*'Ground Base'!H61)*(1+GroundFuelSurcharge),2)))*(1+FedEx_Markup),2)</f>
        <v>60.13</v>
      </c>
      <c r="I66" s="218">
        <f>ROUND((IF('Ground Base'!I$154&gt;ROUND(((1-GroundAKHIDiscount)*'Ground Base'!I61),2),ROUND('Ground Base'!I$154*(1+GroundFuelSurcharge),2),ROUND(((1-GroundAKHIDiscount)*'Ground Base'!I61)*(1+GroundFuelSurcharge),2)))*(1+FedEx_Markup),2)</f>
        <v>306.11</v>
      </c>
      <c r="J66" s="218">
        <f>ROUND((IF('Ground Base'!J$154&gt;ROUND(((1-GroundAKHIDiscount)*'Ground Base'!J61),2),ROUND('Ground Base'!J$154*(1+GroundFuelSurcharge),2),ROUND(((1-GroundAKHIDiscount)*'Ground Base'!J61)*(1+GroundFuelSurcharge),2)))*(1+FedEx_Markup),2)</f>
        <v>306.11</v>
      </c>
      <c r="K66" s="218">
        <f>ROUND((IF('Ground Base'!K$154&gt;ROUND(((1-GroundZone51Discount)*'Ground Base'!K61),2),ROUND('Ground Base'!K$154*(1+GroundFuelSurcharge),2),ROUND(((1-GroundZone51Discount)*'Ground Base'!K61)*(1+GroundFuelSurcharge),2)))*(1+FedEx_Markup),2)</f>
        <v>98.08</v>
      </c>
      <c r="L66" s="218">
        <f>ROUND((IF('Ground Base'!L$154&gt;ROUND(((1-GroundZone54Discount)*'Ground Base'!L61),2),ROUND('Ground Base'!L$154*(1+GroundFuelSurcharge),2),ROUND(((1-GroundZone54Discount)*'Ground Base'!L61)*(1+GroundFuelSurcharge),2)))*(1+FedEx_Markup),2)</f>
        <v>106.25</v>
      </c>
    </row>
    <row r="67" spans="1:12" ht="12.75" customHeight="1">
      <c r="A67" s="217">
        <v>60</v>
      </c>
      <c r="B67" s="218">
        <f>ROUND((IF('Ground Base'!B$154&gt;ROUND(((1-GroundCommDiscount31Up-GroundCommIncentive)*'Ground Base'!B62),2),ROUND('Ground Base'!B$154*(1+GroundFuelSurcharge),2),ROUND(((1-GroundCommDiscount31Up-GroundCommIncentive)*'Ground Base'!B62)*(1+GroundFuelSurcharge),2)))*(1+FedEx_Markup),2)</f>
        <v>18.93</v>
      </c>
      <c r="C67" s="218">
        <f>ROUND((IF('Ground Base'!C$154&gt;ROUND(((1-GroundCommDiscount31Up-GroundCommIncentive)*'Ground Base'!C62),2),ROUND('Ground Base'!C$154*(1+GroundFuelSurcharge),2),ROUND(((1-GroundCommDiscount31Up-GroundCommIncentive)*'Ground Base'!C62)*(1+GroundFuelSurcharge),2)))*(1+FedEx_Markup),2)</f>
        <v>23.62</v>
      </c>
      <c r="D67" s="218">
        <f>ROUND((IF('Ground Base'!D$154&gt;ROUND(((1-GroundCommDiscount31Up-GroundCommIncentive)*'Ground Base'!D62),2),ROUND('Ground Base'!D$154*(1+GroundFuelSurcharge),2),ROUND(((1-GroundCommDiscount31Up-GroundCommIncentive)*'Ground Base'!D62)*(1+GroundFuelSurcharge),2)))*(1+FedEx_Markup),2)</f>
        <v>27.88</v>
      </c>
      <c r="E67" s="218">
        <f>ROUND((IF('Ground Base'!E$154&gt;ROUND(((1-GroundCommDiscount31Up-GroundCommIncentive)*'Ground Base'!E62),2),ROUND('Ground Base'!E$154*(1+GroundFuelSurcharge),2),ROUND(((1-GroundCommDiscount31Up-GroundCommIncentive)*'Ground Base'!E62)*(1+GroundFuelSurcharge),2)))*(1+FedEx_Markup),2)</f>
        <v>35.549999999999997</v>
      </c>
      <c r="F67" s="218">
        <f>ROUND((IF('Ground Base'!F$154&gt;ROUND(((1-GroundCommDiscount31Up-GroundCommIncentive)*'Ground Base'!F62),2),ROUND('Ground Base'!F$154*(1+GroundFuelSurcharge),2),ROUND(((1-GroundCommDiscount31Up-GroundCommIncentive)*'Ground Base'!F62)*(1+GroundFuelSurcharge),2)))*(1+FedEx_Markup),2)</f>
        <v>42.9</v>
      </c>
      <c r="G67" s="218">
        <f>ROUND((IF('Ground Base'!G$154&gt;ROUND(((1-GroundCommDiscount31Up-GroundCommIncentive)*'Ground Base'!G62),2),ROUND('Ground Base'!G$154*(1+GroundFuelSurcharge),2),ROUND(((1-GroundCommDiscount31Up-GroundCommIncentive)*'Ground Base'!G62)*(1+GroundFuelSurcharge),2)))*(1+FedEx_Markup),2)</f>
        <v>50.78</v>
      </c>
      <c r="H67" s="218">
        <f>ROUND((IF('Ground Base'!H$154&gt;ROUND(((1-GroundCommDiscount31Up-GroundCommIncentive)*'Ground Base'!H62),2),ROUND('Ground Base'!H$154*(1+GroundFuelSurcharge),2),ROUND(((1-GroundCommDiscount31Up-GroundCommIncentive)*'Ground Base'!H62)*(1+GroundFuelSurcharge),2)))*(1+FedEx_Markup),2)</f>
        <v>60.5</v>
      </c>
      <c r="I67" s="218">
        <f>ROUND((IF('Ground Base'!I$154&gt;ROUND(((1-GroundAKHIDiscount)*'Ground Base'!I62),2),ROUND('Ground Base'!I$154*(1+GroundFuelSurcharge),2),ROUND(((1-GroundAKHIDiscount)*'Ground Base'!I62)*(1+GroundFuelSurcharge),2)))*(1+FedEx_Markup),2)</f>
        <v>310.88</v>
      </c>
      <c r="J67" s="218">
        <f>ROUND((IF('Ground Base'!J$154&gt;ROUND(((1-GroundAKHIDiscount)*'Ground Base'!J62),2),ROUND('Ground Base'!J$154*(1+GroundFuelSurcharge),2),ROUND(((1-GroundAKHIDiscount)*'Ground Base'!J62)*(1+GroundFuelSurcharge),2)))*(1+FedEx_Markup),2)</f>
        <v>310.88</v>
      </c>
      <c r="K67" s="218">
        <f>ROUND((IF('Ground Base'!K$154&gt;ROUND(((1-GroundZone51Discount)*'Ground Base'!K62),2),ROUND('Ground Base'!K$154*(1+GroundFuelSurcharge),2),ROUND(((1-GroundZone51Discount)*'Ground Base'!K62)*(1+GroundFuelSurcharge),2)))*(1+FedEx_Markup),2)</f>
        <v>98.1</v>
      </c>
      <c r="L67" s="218">
        <f>ROUND((IF('Ground Base'!L$154&gt;ROUND(((1-GroundZone54Discount)*'Ground Base'!L62),2),ROUND('Ground Base'!L$154*(1+GroundFuelSurcharge),2),ROUND(((1-GroundZone54Discount)*'Ground Base'!L62)*(1+GroundFuelSurcharge),2)))*(1+FedEx_Markup),2)</f>
        <v>106.26</v>
      </c>
    </row>
    <row r="68" spans="1:12" ht="12.75" customHeight="1">
      <c r="A68" s="217">
        <v>61</v>
      </c>
      <c r="B68" s="218">
        <f>ROUND((IF('Ground Base'!B$154&gt;ROUND(((1-GroundCommDiscount31Up-GroundCommIncentive)*'Ground Base'!B63),2),ROUND('Ground Base'!B$154*(1+GroundFuelSurcharge),2),ROUND(((1-GroundCommDiscount31Up-GroundCommIncentive)*'Ground Base'!B63)*(1+GroundFuelSurcharge),2)))*(1+FedEx_Markup),2)</f>
        <v>18.93</v>
      </c>
      <c r="C68" s="218">
        <f>ROUND((IF('Ground Base'!C$154&gt;ROUND(((1-GroundCommDiscount31Up-GroundCommIncentive)*'Ground Base'!C63),2),ROUND('Ground Base'!C$154*(1+GroundFuelSurcharge),2),ROUND(((1-GroundCommDiscount31Up-GroundCommIncentive)*'Ground Base'!C63)*(1+GroundFuelSurcharge),2)))*(1+FedEx_Markup),2)</f>
        <v>23.68</v>
      </c>
      <c r="D68" s="218">
        <f>ROUND((IF('Ground Base'!D$154&gt;ROUND(((1-GroundCommDiscount31Up-GroundCommIncentive)*'Ground Base'!D63),2),ROUND('Ground Base'!D$154*(1+GroundFuelSurcharge),2),ROUND(((1-GroundCommDiscount31Up-GroundCommIncentive)*'Ground Base'!D63)*(1+GroundFuelSurcharge),2)))*(1+FedEx_Markup),2)</f>
        <v>28.14</v>
      </c>
      <c r="E68" s="218">
        <f>ROUND((IF('Ground Base'!E$154&gt;ROUND(((1-GroundCommDiscount31Up-GroundCommIncentive)*'Ground Base'!E63),2),ROUND('Ground Base'!E$154*(1+GroundFuelSurcharge),2),ROUND(((1-GroundCommDiscount31Up-GroundCommIncentive)*'Ground Base'!E63)*(1+GroundFuelSurcharge),2)))*(1+FedEx_Markup),2)</f>
        <v>35.630000000000003</v>
      </c>
      <c r="F68" s="218">
        <f>ROUND((IF('Ground Base'!F$154&gt;ROUND(((1-GroundCommDiscount31Up-GroundCommIncentive)*'Ground Base'!F63),2),ROUND('Ground Base'!F$154*(1+GroundFuelSurcharge),2),ROUND(((1-GroundCommDiscount31Up-GroundCommIncentive)*'Ground Base'!F63)*(1+GroundFuelSurcharge),2)))*(1+FedEx_Markup),2)</f>
        <v>42.9</v>
      </c>
      <c r="G68" s="218">
        <f>ROUND((IF('Ground Base'!G$154&gt;ROUND(((1-GroundCommDiscount31Up-GroundCommIncentive)*'Ground Base'!G63),2),ROUND('Ground Base'!G$154*(1+GroundFuelSurcharge),2),ROUND(((1-GroundCommDiscount31Up-GroundCommIncentive)*'Ground Base'!G63)*(1+GroundFuelSurcharge),2)))*(1+FedEx_Markup),2)</f>
        <v>50.8</v>
      </c>
      <c r="H68" s="218">
        <f>ROUND((IF('Ground Base'!H$154&gt;ROUND(((1-GroundCommDiscount31Up-GroundCommIncentive)*'Ground Base'!H63),2),ROUND('Ground Base'!H$154*(1+GroundFuelSurcharge),2),ROUND(((1-GroundCommDiscount31Up-GroundCommIncentive)*'Ground Base'!H63)*(1+GroundFuelSurcharge),2)))*(1+FedEx_Markup),2)</f>
        <v>60.51</v>
      </c>
      <c r="I68" s="218">
        <f>ROUND((IF('Ground Base'!I$154&gt;ROUND(((1-GroundAKHIDiscount)*'Ground Base'!I63),2),ROUND('Ground Base'!I$154*(1+GroundFuelSurcharge),2),ROUND(((1-GroundAKHIDiscount)*'Ground Base'!I63)*(1+GroundFuelSurcharge),2)))*(1+FedEx_Markup),2)</f>
        <v>314.72000000000003</v>
      </c>
      <c r="J68" s="218">
        <f>ROUND((IF('Ground Base'!J$154&gt;ROUND(((1-GroundAKHIDiscount)*'Ground Base'!J63),2),ROUND('Ground Base'!J$154*(1+GroundFuelSurcharge),2),ROUND(((1-GroundAKHIDiscount)*'Ground Base'!J63)*(1+GroundFuelSurcharge),2)))*(1+FedEx_Markup),2)</f>
        <v>314.72000000000003</v>
      </c>
      <c r="K68" s="218">
        <f>ROUND((IF('Ground Base'!K$154&gt;ROUND(((1-GroundZone51Discount)*'Ground Base'!K63),2),ROUND('Ground Base'!K$154*(1+GroundFuelSurcharge),2),ROUND(((1-GroundZone51Discount)*'Ground Base'!K63)*(1+GroundFuelSurcharge),2)))*(1+FedEx_Markup),2)</f>
        <v>98.1</v>
      </c>
      <c r="L68" s="218">
        <f>ROUND((IF('Ground Base'!L$154&gt;ROUND(((1-GroundZone54Discount)*'Ground Base'!L63),2),ROUND('Ground Base'!L$154*(1+GroundFuelSurcharge),2),ROUND(((1-GroundZone54Discount)*'Ground Base'!L63)*(1+GroundFuelSurcharge),2)))*(1+FedEx_Markup),2)</f>
        <v>108.54</v>
      </c>
    </row>
    <row r="69" spans="1:12" ht="12.75" customHeight="1">
      <c r="A69" s="217">
        <v>62</v>
      </c>
      <c r="B69" s="218">
        <f>ROUND((IF('Ground Base'!B$154&gt;ROUND(((1-GroundCommDiscount31Up-GroundCommIncentive)*'Ground Base'!B64),2),ROUND('Ground Base'!B$154*(1+GroundFuelSurcharge),2),ROUND(((1-GroundCommDiscount31Up-GroundCommIncentive)*'Ground Base'!B64)*(1+GroundFuelSurcharge),2)))*(1+FedEx_Markup),2)</f>
        <v>19.71</v>
      </c>
      <c r="C69" s="218">
        <f>ROUND((IF('Ground Base'!C$154&gt;ROUND(((1-GroundCommDiscount31Up-GroundCommIncentive)*'Ground Base'!C64),2),ROUND('Ground Base'!C$154*(1+GroundFuelSurcharge),2),ROUND(((1-GroundCommDiscount31Up-GroundCommIncentive)*'Ground Base'!C64)*(1+GroundFuelSurcharge),2)))*(1+FedEx_Markup),2)</f>
        <v>25.37</v>
      </c>
      <c r="D69" s="218">
        <f>ROUND((IF('Ground Base'!D$154&gt;ROUND(((1-GroundCommDiscount31Up-GroundCommIncentive)*'Ground Base'!D64),2),ROUND('Ground Base'!D$154*(1+GroundFuelSurcharge),2),ROUND(((1-GroundCommDiscount31Up-GroundCommIncentive)*'Ground Base'!D64)*(1+GroundFuelSurcharge),2)))*(1+FedEx_Markup),2)</f>
        <v>28.6</v>
      </c>
      <c r="E69" s="218">
        <f>ROUND((IF('Ground Base'!E$154&gt;ROUND(((1-GroundCommDiscount31Up-GroundCommIncentive)*'Ground Base'!E64),2),ROUND('Ground Base'!E$154*(1+GroundFuelSurcharge),2),ROUND(((1-GroundCommDiscount31Up-GroundCommIncentive)*'Ground Base'!E64)*(1+GroundFuelSurcharge),2)))*(1+FedEx_Markup),2)</f>
        <v>36.630000000000003</v>
      </c>
      <c r="F69" s="218">
        <f>ROUND((IF('Ground Base'!F$154&gt;ROUND(((1-GroundCommDiscount31Up-GroundCommIncentive)*'Ground Base'!F64),2),ROUND('Ground Base'!F$154*(1+GroundFuelSurcharge),2),ROUND(((1-GroundCommDiscount31Up-GroundCommIncentive)*'Ground Base'!F64)*(1+GroundFuelSurcharge),2)))*(1+FedEx_Markup),2)</f>
        <v>43.56</v>
      </c>
      <c r="G69" s="218">
        <f>ROUND((IF('Ground Base'!G$154&gt;ROUND(((1-GroundCommDiscount31Up-GroundCommIncentive)*'Ground Base'!G64),2),ROUND('Ground Base'!G$154*(1+GroundFuelSurcharge),2),ROUND(((1-GroundCommDiscount31Up-GroundCommIncentive)*'Ground Base'!G64)*(1+GroundFuelSurcharge),2)))*(1+FedEx_Markup),2)</f>
        <v>51.58</v>
      </c>
      <c r="H69" s="218">
        <f>ROUND((IF('Ground Base'!H$154&gt;ROUND(((1-GroundCommDiscount31Up-GroundCommIncentive)*'Ground Base'!H64),2),ROUND('Ground Base'!H$154*(1+GroundFuelSurcharge),2),ROUND(((1-GroundCommDiscount31Up-GroundCommIncentive)*'Ground Base'!H64)*(1+GroundFuelSurcharge),2)))*(1+FedEx_Markup),2)</f>
        <v>61.25</v>
      </c>
      <c r="I69" s="218">
        <f>ROUND((IF('Ground Base'!I$154&gt;ROUND(((1-GroundAKHIDiscount)*'Ground Base'!I64),2),ROUND('Ground Base'!I$154*(1+GroundFuelSurcharge),2),ROUND(((1-GroundAKHIDiscount)*'Ground Base'!I64)*(1+GroundFuelSurcharge),2)))*(1+FedEx_Markup),2)</f>
        <v>319.88</v>
      </c>
      <c r="J69" s="218">
        <f>ROUND((IF('Ground Base'!J$154&gt;ROUND(((1-GroundAKHIDiscount)*'Ground Base'!J64),2),ROUND('Ground Base'!J$154*(1+GroundFuelSurcharge),2),ROUND(((1-GroundAKHIDiscount)*'Ground Base'!J64)*(1+GroundFuelSurcharge),2)))*(1+FedEx_Markup),2)</f>
        <v>319.88</v>
      </c>
      <c r="K69" s="218">
        <f>ROUND((IF('Ground Base'!K$154&gt;ROUND(((1-GroundZone51Discount)*'Ground Base'!K64),2),ROUND('Ground Base'!K$154*(1+GroundFuelSurcharge),2),ROUND(((1-GroundZone51Discount)*'Ground Base'!K64)*(1+GroundFuelSurcharge),2)))*(1+FedEx_Markup),2)</f>
        <v>98.11</v>
      </c>
      <c r="L69" s="218">
        <f>ROUND((IF('Ground Base'!L$154&gt;ROUND(((1-GroundZone54Discount)*'Ground Base'!L64),2),ROUND('Ground Base'!L$154*(1+GroundFuelSurcharge),2),ROUND(((1-GroundZone54Discount)*'Ground Base'!L64)*(1+GroundFuelSurcharge),2)))*(1+FedEx_Markup),2)</f>
        <v>108.54</v>
      </c>
    </row>
    <row r="70" spans="1:12" ht="12.75" customHeight="1">
      <c r="A70" s="217">
        <v>63</v>
      </c>
      <c r="B70" s="218">
        <f>ROUND((IF('Ground Base'!B$154&gt;ROUND(((1-GroundCommDiscount31Up-GroundCommIncentive)*'Ground Base'!B65),2),ROUND('Ground Base'!B$154*(1+GroundFuelSurcharge),2),ROUND(((1-GroundCommDiscount31Up-GroundCommIncentive)*'Ground Base'!B65)*(1+GroundFuelSurcharge),2)))*(1+FedEx_Markup),2)</f>
        <v>19.72</v>
      </c>
      <c r="C70" s="218">
        <f>ROUND((IF('Ground Base'!C$154&gt;ROUND(((1-GroundCommDiscount31Up-GroundCommIncentive)*'Ground Base'!C65),2),ROUND('Ground Base'!C$154*(1+GroundFuelSurcharge),2),ROUND(((1-GroundCommDiscount31Up-GroundCommIncentive)*'Ground Base'!C65)*(1+GroundFuelSurcharge),2)))*(1+FedEx_Markup),2)</f>
        <v>25.38</v>
      </c>
      <c r="D70" s="218">
        <f>ROUND((IF('Ground Base'!D$154&gt;ROUND(((1-GroundCommDiscount31Up-GroundCommIncentive)*'Ground Base'!D65),2),ROUND('Ground Base'!D$154*(1+GroundFuelSurcharge),2),ROUND(((1-GroundCommDiscount31Up-GroundCommIncentive)*'Ground Base'!D65)*(1+GroundFuelSurcharge),2)))*(1+FedEx_Markup),2)</f>
        <v>28.88</v>
      </c>
      <c r="E70" s="218">
        <f>ROUND((IF('Ground Base'!E$154&gt;ROUND(((1-GroundCommDiscount31Up-GroundCommIncentive)*'Ground Base'!E65),2),ROUND('Ground Base'!E$154*(1+GroundFuelSurcharge),2),ROUND(((1-GroundCommDiscount31Up-GroundCommIncentive)*'Ground Base'!E65)*(1+GroundFuelSurcharge),2)))*(1+FedEx_Markup),2)</f>
        <v>36.65</v>
      </c>
      <c r="F70" s="218">
        <f>ROUND((IF('Ground Base'!F$154&gt;ROUND(((1-GroundCommDiscount31Up-GroundCommIncentive)*'Ground Base'!F65),2),ROUND('Ground Base'!F$154*(1+GroundFuelSurcharge),2),ROUND(((1-GroundCommDiscount31Up-GroundCommIncentive)*'Ground Base'!F65)*(1+GroundFuelSurcharge),2)))*(1+FedEx_Markup),2)</f>
        <v>43.86</v>
      </c>
      <c r="G70" s="218">
        <f>ROUND((IF('Ground Base'!G$154&gt;ROUND(((1-GroundCommDiscount31Up-GroundCommIncentive)*'Ground Base'!G65),2),ROUND('Ground Base'!G$154*(1+GroundFuelSurcharge),2),ROUND(((1-GroundCommDiscount31Up-GroundCommIncentive)*'Ground Base'!G65)*(1+GroundFuelSurcharge),2)))*(1+FedEx_Markup),2)</f>
        <v>51.99</v>
      </c>
      <c r="H70" s="218">
        <f>ROUND((IF('Ground Base'!H$154&gt;ROUND(((1-GroundCommDiscount31Up-GroundCommIncentive)*'Ground Base'!H65),2),ROUND('Ground Base'!H$154*(1+GroundFuelSurcharge),2),ROUND(((1-GroundCommDiscount31Up-GroundCommIncentive)*'Ground Base'!H65)*(1+GroundFuelSurcharge),2)))*(1+FedEx_Markup),2)</f>
        <v>61.62</v>
      </c>
      <c r="I70" s="218">
        <f>ROUND((IF('Ground Base'!I$154&gt;ROUND(((1-GroundAKHIDiscount)*'Ground Base'!I65),2),ROUND('Ground Base'!I$154*(1+GroundFuelSurcharge),2),ROUND(((1-GroundAKHIDiscount)*'Ground Base'!I65)*(1+GroundFuelSurcharge),2)))*(1+FedEx_Markup),2)</f>
        <v>325.13</v>
      </c>
      <c r="J70" s="218">
        <f>ROUND((IF('Ground Base'!J$154&gt;ROUND(((1-GroundAKHIDiscount)*'Ground Base'!J65),2),ROUND('Ground Base'!J$154*(1+GroundFuelSurcharge),2),ROUND(((1-GroundAKHIDiscount)*'Ground Base'!J65)*(1+GroundFuelSurcharge),2)))*(1+FedEx_Markup),2)</f>
        <v>325.13</v>
      </c>
      <c r="K70" s="218">
        <f>ROUND((IF('Ground Base'!K$154&gt;ROUND(((1-GroundZone51Discount)*'Ground Base'!K65),2),ROUND('Ground Base'!K$154*(1+GroundFuelSurcharge),2),ROUND(((1-GroundZone51Discount)*'Ground Base'!K65)*(1+GroundFuelSurcharge),2)))*(1+FedEx_Markup),2)</f>
        <v>98.13</v>
      </c>
      <c r="L70" s="218">
        <f>ROUND((IF('Ground Base'!L$154&gt;ROUND(((1-GroundZone54Discount)*'Ground Base'!L65),2),ROUND('Ground Base'!L$154*(1+GroundFuelSurcharge),2),ROUND(((1-GroundZone54Discount)*'Ground Base'!L65)*(1+GroundFuelSurcharge),2)))*(1+FedEx_Markup),2)</f>
        <v>110.56</v>
      </c>
    </row>
    <row r="71" spans="1:12" ht="12.75" customHeight="1">
      <c r="A71" s="217">
        <v>64</v>
      </c>
      <c r="B71" s="218">
        <f>ROUND((IF('Ground Base'!B$154&gt;ROUND(((1-GroundCommDiscount31Up-GroundCommIncentive)*'Ground Base'!B66),2),ROUND('Ground Base'!B$154*(1+GroundFuelSurcharge),2),ROUND(((1-GroundCommDiscount31Up-GroundCommIncentive)*'Ground Base'!B66)*(1+GroundFuelSurcharge),2)))*(1+FedEx_Markup),2)</f>
        <v>20.239999999999998</v>
      </c>
      <c r="C71" s="218">
        <f>ROUND((IF('Ground Base'!C$154&gt;ROUND(((1-GroundCommDiscount31Up-GroundCommIncentive)*'Ground Base'!C66),2),ROUND('Ground Base'!C$154*(1+GroundFuelSurcharge),2),ROUND(((1-GroundCommDiscount31Up-GroundCommIncentive)*'Ground Base'!C66)*(1+GroundFuelSurcharge),2)))*(1+FedEx_Markup),2)</f>
        <v>25.39</v>
      </c>
      <c r="D71" s="218">
        <f>ROUND((IF('Ground Base'!D$154&gt;ROUND(((1-GroundCommDiscount31Up-GroundCommIncentive)*'Ground Base'!D66),2),ROUND('Ground Base'!D$154*(1+GroundFuelSurcharge),2),ROUND(((1-GroundCommDiscount31Up-GroundCommIncentive)*'Ground Base'!D66)*(1+GroundFuelSurcharge),2)))*(1+FedEx_Markup),2)</f>
        <v>29.35</v>
      </c>
      <c r="E71" s="218">
        <f>ROUND((IF('Ground Base'!E$154&gt;ROUND(((1-GroundCommDiscount31Up-GroundCommIncentive)*'Ground Base'!E66),2),ROUND('Ground Base'!E$154*(1+GroundFuelSurcharge),2),ROUND(((1-GroundCommDiscount31Up-GroundCommIncentive)*'Ground Base'!E66)*(1+GroundFuelSurcharge),2)))*(1+FedEx_Markup),2)</f>
        <v>36.659999999999997</v>
      </c>
      <c r="F71" s="218">
        <f>ROUND((IF('Ground Base'!F$154&gt;ROUND(((1-GroundCommDiscount31Up-GroundCommIncentive)*'Ground Base'!F66),2),ROUND('Ground Base'!F$154*(1+GroundFuelSurcharge),2),ROUND(((1-GroundCommDiscount31Up-GroundCommIncentive)*'Ground Base'!F66)*(1+GroundFuelSurcharge),2)))*(1+FedEx_Markup),2)</f>
        <v>44.17</v>
      </c>
      <c r="G71" s="218">
        <f>ROUND((IF('Ground Base'!G$154&gt;ROUND(((1-GroundCommDiscount31Up-GroundCommIncentive)*'Ground Base'!G66),2),ROUND('Ground Base'!G$154*(1+GroundFuelSurcharge),2),ROUND(((1-GroundCommDiscount31Up-GroundCommIncentive)*'Ground Base'!G66)*(1+GroundFuelSurcharge),2)))*(1+FedEx_Markup),2)</f>
        <v>52</v>
      </c>
      <c r="H71" s="218">
        <f>ROUND((IF('Ground Base'!H$154&gt;ROUND(((1-GroundCommDiscount31Up-GroundCommIncentive)*'Ground Base'!H66),2),ROUND('Ground Base'!H$154*(1+GroundFuelSurcharge),2),ROUND(((1-GroundCommDiscount31Up-GroundCommIncentive)*'Ground Base'!H66)*(1+GroundFuelSurcharge),2)))*(1+FedEx_Markup),2)</f>
        <v>62</v>
      </c>
      <c r="I71" s="218">
        <f>ROUND((IF('Ground Base'!I$154&gt;ROUND(((1-GroundAKHIDiscount)*'Ground Base'!I66),2),ROUND('Ground Base'!I$154*(1+GroundFuelSurcharge),2),ROUND(((1-GroundAKHIDiscount)*'Ground Base'!I66)*(1+GroundFuelSurcharge),2)))*(1+FedEx_Markup),2)</f>
        <v>330.54</v>
      </c>
      <c r="J71" s="218">
        <f>ROUND((IF('Ground Base'!J$154&gt;ROUND(((1-GroundAKHIDiscount)*'Ground Base'!J66),2),ROUND('Ground Base'!J$154*(1+GroundFuelSurcharge),2),ROUND(((1-GroundAKHIDiscount)*'Ground Base'!J66)*(1+GroundFuelSurcharge),2)))*(1+FedEx_Markup),2)</f>
        <v>330.54</v>
      </c>
      <c r="K71" s="218">
        <f>ROUND((IF('Ground Base'!K$154&gt;ROUND(((1-GroundZone51Discount)*'Ground Base'!K66),2),ROUND('Ground Base'!K$154*(1+GroundFuelSurcharge),2),ROUND(((1-GroundZone51Discount)*'Ground Base'!K66)*(1+GroundFuelSurcharge),2)))*(1+FedEx_Markup),2)</f>
        <v>98.13</v>
      </c>
      <c r="L71" s="218">
        <f>ROUND((IF('Ground Base'!L$154&gt;ROUND(((1-GroundZone54Discount)*'Ground Base'!L66),2),ROUND('Ground Base'!L$154*(1+GroundFuelSurcharge),2),ROUND(((1-GroundZone54Discount)*'Ground Base'!L66)*(1+GroundFuelSurcharge),2)))*(1+FedEx_Markup),2)</f>
        <v>110.57</v>
      </c>
    </row>
    <row r="72" spans="1:12" ht="12.75" customHeight="1">
      <c r="A72" s="217">
        <v>65</v>
      </c>
      <c r="B72" s="218">
        <f>ROUND((IF('Ground Base'!B$154&gt;ROUND(((1-GroundCommDiscount31Up-GroundCommIncentive)*'Ground Base'!B67),2),ROUND('Ground Base'!B$154*(1+GroundFuelSurcharge),2),ROUND(((1-GroundCommDiscount31Up-GroundCommIncentive)*'Ground Base'!B67)*(1+GroundFuelSurcharge),2)))*(1+FedEx_Markup),2)</f>
        <v>20.46</v>
      </c>
      <c r="C72" s="218">
        <f>ROUND((IF('Ground Base'!C$154&gt;ROUND(((1-GroundCommDiscount31Up-GroundCommIncentive)*'Ground Base'!C67),2),ROUND('Ground Base'!C$154*(1+GroundFuelSurcharge),2),ROUND(((1-GroundCommDiscount31Up-GroundCommIncentive)*'Ground Base'!C67)*(1+GroundFuelSurcharge),2)))*(1+FedEx_Markup),2)</f>
        <v>26.07</v>
      </c>
      <c r="D72" s="218">
        <f>ROUND((IF('Ground Base'!D$154&gt;ROUND(((1-GroundCommDiscount31Up-GroundCommIncentive)*'Ground Base'!D67),2),ROUND('Ground Base'!D$154*(1+GroundFuelSurcharge),2),ROUND(((1-GroundCommDiscount31Up-GroundCommIncentive)*'Ground Base'!D67)*(1+GroundFuelSurcharge),2)))*(1+FedEx_Markup),2)</f>
        <v>29.36</v>
      </c>
      <c r="E72" s="218">
        <f>ROUND((IF('Ground Base'!E$154&gt;ROUND(((1-GroundCommDiscount31Up-GroundCommIncentive)*'Ground Base'!E67),2),ROUND('Ground Base'!E$154*(1+GroundFuelSurcharge),2),ROUND(((1-GroundCommDiscount31Up-GroundCommIncentive)*'Ground Base'!E67)*(1+GroundFuelSurcharge),2)))*(1+FedEx_Markup),2)</f>
        <v>36.67</v>
      </c>
      <c r="F72" s="218">
        <f>ROUND((IF('Ground Base'!F$154&gt;ROUND(((1-GroundCommDiscount31Up-GroundCommIncentive)*'Ground Base'!F67),2),ROUND('Ground Base'!F$154*(1+GroundFuelSurcharge),2),ROUND(((1-GroundCommDiscount31Up-GroundCommIncentive)*'Ground Base'!F67)*(1+GroundFuelSurcharge),2)))*(1+FedEx_Markup),2)</f>
        <v>44.55</v>
      </c>
      <c r="G72" s="218">
        <f>ROUND((IF('Ground Base'!G$154&gt;ROUND(((1-GroundCommDiscount31Up-GroundCommIncentive)*'Ground Base'!G67),2),ROUND('Ground Base'!G$154*(1+GroundFuelSurcharge),2),ROUND(((1-GroundCommDiscount31Up-GroundCommIncentive)*'Ground Base'!G67)*(1+GroundFuelSurcharge),2)))*(1+FedEx_Markup),2)</f>
        <v>52.13</v>
      </c>
      <c r="H72" s="218">
        <f>ROUND((IF('Ground Base'!H$154&gt;ROUND(((1-GroundCommDiscount31Up-GroundCommIncentive)*'Ground Base'!H67),2),ROUND('Ground Base'!H$154*(1+GroundFuelSurcharge),2),ROUND(((1-GroundCommDiscount31Up-GroundCommIncentive)*'Ground Base'!H67)*(1+GroundFuelSurcharge),2)))*(1+FedEx_Markup),2)</f>
        <v>62.1</v>
      </c>
      <c r="I72" s="218">
        <f>ROUND((IF('Ground Base'!I$154&gt;ROUND(((1-GroundAKHIDiscount)*'Ground Base'!I67),2),ROUND('Ground Base'!I$154*(1+GroundFuelSurcharge),2),ROUND(((1-GroundAKHIDiscount)*'Ground Base'!I67)*(1+GroundFuelSurcharge),2)))*(1+FedEx_Markup),2)</f>
        <v>335.94</v>
      </c>
      <c r="J72" s="218">
        <f>ROUND((IF('Ground Base'!J$154&gt;ROUND(((1-GroundAKHIDiscount)*'Ground Base'!J67),2),ROUND('Ground Base'!J$154*(1+GroundFuelSurcharge),2),ROUND(((1-GroundAKHIDiscount)*'Ground Base'!J67)*(1+GroundFuelSurcharge),2)))*(1+FedEx_Markup),2)</f>
        <v>335.94</v>
      </c>
      <c r="K72" s="218">
        <f>ROUND((IF('Ground Base'!K$154&gt;ROUND(((1-GroundZone51Discount)*'Ground Base'!K67),2),ROUND('Ground Base'!K$154*(1+GroundFuelSurcharge),2),ROUND(((1-GroundZone51Discount)*'Ground Base'!K67)*(1+GroundFuelSurcharge),2)))*(1+FedEx_Markup),2)</f>
        <v>98.14</v>
      </c>
      <c r="L72" s="218">
        <f>ROUND((IF('Ground Base'!L$154&gt;ROUND(((1-GroundZone54Discount)*'Ground Base'!L67),2),ROUND('Ground Base'!L$154*(1+GroundFuelSurcharge),2),ROUND(((1-GroundZone54Discount)*'Ground Base'!L67)*(1+GroundFuelSurcharge),2)))*(1+FedEx_Markup),2)</f>
        <v>112.34</v>
      </c>
    </row>
    <row r="73" spans="1:12" ht="12.75" customHeight="1">
      <c r="A73" s="217">
        <v>66</v>
      </c>
      <c r="B73" s="218">
        <f>ROUND((IF('Ground Base'!B$154&gt;ROUND(((1-GroundCommDiscount31Up-GroundCommIncentive)*'Ground Base'!B68),2),ROUND('Ground Base'!B$154*(1+GroundFuelSurcharge),2),ROUND(((1-GroundCommDiscount31Up-GroundCommIncentive)*'Ground Base'!B68)*(1+GroundFuelSurcharge),2)))*(1+FedEx_Markup),2)</f>
        <v>20.56</v>
      </c>
      <c r="C73" s="218">
        <f>ROUND((IF('Ground Base'!C$154&gt;ROUND(((1-GroundCommDiscount31Up-GroundCommIncentive)*'Ground Base'!C68),2),ROUND('Ground Base'!C$154*(1+GroundFuelSurcharge),2),ROUND(((1-GroundCommDiscount31Up-GroundCommIncentive)*'Ground Base'!C68)*(1+GroundFuelSurcharge),2)))*(1+FedEx_Markup),2)</f>
        <v>26.32</v>
      </c>
      <c r="D73" s="218">
        <f>ROUND((IF('Ground Base'!D$154&gt;ROUND(((1-GroundCommDiscount31Up-GroundCommIncentive)*'Ground Base'!D68),2),ROUND('Ground Base'!D$154*(1+GroundFuelSurcharge),2),ROUND(((1-GroundCommDiscount31Up-GroundCommIncentive)*'Ground Base'!D68)*(1+GroundFuelSurcharge),2)))*(1+FedEx_Markup),2)</f>
        <v>29.36</v>
      </c>
      <c r="E73" s="218">
        <f>ROUND((IF('Ground Base'!E$154&gt;ROUND(((1-GroundCommDiscount31Up-GroundCommIncentive)*'Ground Base'!E68),2),ROUND('Ground Base'!E$154*(1+GroundFuelSurcharge),2),ROUND(((1-GroundCommDiscount31Up-GroundCommIncentive)*'Ground Base'!E68)*(1+GroundFuelSurcharge),2)))*(1+FedEx_Markup),2)</f>
        <v>36.67</v>
      </c>
      <c r="F73" s="218">
        <f>ROUND((IF('Ground Base'!F$154&gt;ROUND(((1-GroundCommDiscount31Up-GroundCommIncentive)*'Ground Base'!F68),2),ROUND('Ground Base'!F$154*(1+GroundFuelSurcharge),2),ROUND(((1-GroundCommDiscount31Up-GroundCommIncentive)*'Ground Base'!F68)*(1+GroundFuelSurcharge),2)))*(1+FedEx_Markup),2)</f>
        <v>44.59</v>
      </c>
      <c r="G73" s="218">
        <f>ROUND((IF('Ground Base'!G$154&gt;ROUND(((1-GroundCommDiscount31Up-GroundCommIncentive)*'Ground Base'!G68),2),ROUND('Ground Base'!G$154*(1+GroundFuelSurcharge),2),ROUND(((1-GroundCommDiscount31Up-GroundCommIncentive)*'Ground Base'!G68)*(1+GroundFuelSurcharge),2)))*(1+FedEx_Markup),2)</f>
        <v>52.29</v>
      </c>
      <c r="H73" s="218">
        <f>ROUND((IF('Ground Base'!H$154&gt;ROUND(((1-GroundCommDiscount31Up-GroundCommIncentive)*'Ground Base'!H68),2),ROUND('Ground Base'!H$154*(1+GroundFuelSurcharge),2),ROUND(((1-GroundCommDiscount31Up-GroundCommIncentive)*'Ground Base'!H68)*(1+GroundFuelSurcharge),2)))*(1+FedEx_Markup),2)</f>
        <v>62.36</v>
      </c>
      <c r="I73" s="218">
        <f>ROUND((IF('Ground Base'!I$154&gt;ROUND(((1-GroundAKHIDiscount)*'Ground Base'!I68),2),ROUND('Ground Base'!I$154*(1+GroundFuelSurcharge),2),ROUND(((1-GroundAKHIDiscount)*'Ground Base'!I68)*(1+GroundFuelSurcharge),2)))*(1+FedEx_Markup),2)</f>
        <v>341.14</v>
      </c>
      <c r="J73" s="218">
        <f>ROUND((IF('Ground Base'!J$154&gt;ROUND(((1-GroundAKHIDiscount)*'Ground Base'!J68),2),ROUND('Ground Base'!J$154*(1+GroundFuelSurcharge),2),ROUND(((1-GroundAKHIDiscount)*'Ground Base'!J68)*(1+GroundFuelSurcharge),2)))*(1+FedEx_Markup),2)</f>
        <v>341.14</v>
      </c>
      <c r="K73" s="218">
        <f>ROUND((IF('Ground Base'!K$154&gt;ROUND(((1-GroundZone51Discount)*'Ground Base'!K68),2),ROUND('Ground Base'!K$154*(1+GroundFuelSurcharge),2),ROUND(((1-GroundZone51Discount)*'Ground Base'!K68)*(1+GroundFuelSurcharge),2)))*(1+FedEx_Markup),2)</f>
        <v>98.15</v>
      </c>
      <c r="L73" s="218">
        <f>ROUND((IF('Ground Base'!L$154&gt;ROUND(((1-GroundZone54Discount)*'Ground Base'!L68),2),ROUND('Ground Base'!L$154*(1+GroundFuelSurcharge),2),ROUND(((1-GroundZone54Discount)*'Ground Base'!L68)*(1+GroundFuelSurcharge),2)))*(1+FedEx_Markup),2)</f>
        <v>112.36</v>
      </c>
    </row>
    <row r="74" spans="1:12" ht="12.75" customHeight="1">
      <c r="A74" s="217">
        <v>67</v>
      </c>
      <c r="B74" s="218">
        <f>ROUND((IF('Ground Base'!B$154&gt;ROUND(((1-GroundCommDiscount31Up-GroundCommIncentive)*'Ground Base'!B69),2),ROUND('Ground Base'!B$154*(1+GroundFuelSurcharge),2),ROUND(((1-GroundCommDiscount31Up-GroundCommIncentive)*'Ground Base'!B69)*(1+GroundFuelSurcharge),2)))*(1+FedEx_Markup),2)</f>
        <v>20.57</v>
      </c>
      <c r="C74" s="218">
        <f>ROUND((IF('Ground Base'!C$154&gt;ROUND(((1-GroundCommDiscount31Up-GroundCommIncentive)*'Ground Base'!C69),2),ROUND('Ground Base'!C$154*(1+GroundFuelSurcharge),2),ROUND(((1-GroundCommDiscount31Up-GroundCommIncentive)*'Ground Base'!C69)*(1+GroundFuelSurcharge),2)))*(1+FedEx_Markup),2)</f>
        <v>26.34</v>
      </c>
      <c r="D74" s="218">
        <f>ROUND((IF('Ground Base'!D$154&gt;ROUND(((1-GroundCommDiscount31Up-GroundCommIncentive)*'Ground Base'!D69),2),ROUND('Ground Base'!D$154*(1+GroundFuelSurcharge),2),ROUND(((1-GroundCommDiscount31Up-GroundCommIncentive)*'Ground Base'!D69)*(1+GroundFuelSurcharge),2)))*(1+FedEx_Markup),2)</f>
        <v>29.37</v>
      </c>
      <c r="E74" s="218">
        <f>ROUND((IF('Ground Base'!E$154&gt;ROUND(((1-GroundCommDiscount31Up-GroundCommIncentive)*'Ground Base'!E69),2),ROUND('Ground Base'!E$154*(1+GroundFuelSurcharge),2),ROUND(((1-GroundCommDiscount31Up-GroundCommIncentive)*'Ground Base'!E69)*(1+GroundFuelSurcharge),2)))*(1+FedEx_Markup),2)</f>
        <v>36.74</v>
      </c>
      <c r="F74" s="218">
        <f>ROUND((IF('Ground Base'!F$154&gt;ROUND(((1-GroundCommDiscount31Up-GroundCommIncentive)*'Ground Base'!F69),2),ROUND('Ground Base'!F$154*(1+GroundFuelSurcharge),2),ROUND(((1-GroundCommDiscount31Up-GroundCommIncentive)*'Ground Base'!F69)*(1+GroundFuelSurcharge),2)))*(1+FedEx_Markup),2)</f>
        <v>44.93</v>
      </c>
      <c r="G74" s="218">
        <f>ROUND((IF('Ground Base'!G$154&gt;ROUND(((1-GroundCommDiscount31Up-GroundCommIncentive)*'Ground Base'!G69),2),ROUND('Ground Base'!G$154*(1+GroundFuelSurcharge),2),ROUND(((1-GroundCommDiscount31Up-GroundCommIncentive)*'Ground Base'!G69)*(1+GroundFuelSurcharge),2)))*(1+FedEx_Markup),2)</f>
        <v>52.54</v>
      </c>
      <c r="H74" s="218">
        <f>ROUND((IF('Ground Base'!H$154&gt;ROUND(((1-GroundCommDiscount31Up-GroundCommIncentive)*'Ground Base'!H69),2),ROUND('Ground Base'!H$154*(1+GroundFuelSurcharge),2),ROUND(((1-GroundCommDiscount31Up-GroundCommIncentive)*'Ground Base'!H69)*(1+GroundFuelSurcharge),2)))*(1+FedEx_Markup),2)</f>
        <v>62.95</v>
      </c>
      <c r="I74" s="218">
        <f>ROUND((IF('Ground Base'!I$154&gt;ROUND(((1-GroundAKHIDiscount)*'Ground Base'!I69),2),ROUND('Ground Base'!I$154*(1+GroundFuelSurcharge),2),ROUND(((1-GroundAKHIDiscount)*'Ground Base'!I69)*(1+GroundFuelSurcharge),2)))*(1+FedEx_Markup),2)</f>
        <v>346.31</v>
      </c>
      <c r="J74" s="218">
        <f>ROUND((IF('Ground Base'!J$154&gt;ROUND(((1-GroundAKHIDiscount)*'Ground Base'!J69),2),ROUND('Ground Base'!J$154*(1+GroundFuelSurcharge),2),ROUND(((1-GroundAKHIDiscount)*'Ground Base'!J69)*(1+GroundFuelSurcharge),2)))*(1+FedEx_Markup),2)</f>
        <v>346.31</v>
      </c>
      <c r="K74" s="218">
        <f>ROUND((IF('Ground Base'!K$154&gt;ROUND(((1-GroundZone51Discount)*'Ground Base'!K69),2),ROUND('Ground Base'!K$154*(1+GroundFuelSurcharge),2),ROUND(((1-GroundZone51Discount)*'Ground Base'!K69)*(1+GroundFuelSurcharge),2)))*(1+FedEx_Markup),2)</f>
        <v>98.18</v>
      </c>
      <c r="L74" s="218">
        <f>ROUND((IF('Ground Base'!L$154&gt;ROUND(((1-GroundZone54Discount)*'Ground Base'!L69),2),ROUND('Ground Base'!L$154*(1+GroundFuelSurcharge),2),ROUND(((1-GroundZone54Discount)*'Ground Base'!L69)*(1+GroundFuelSurcharge),2)))*(1+FedEx_Markup),2)</f>
        <v>114.37</v>
      </c>
    </row>
    <row r="75" spans="1:12" ht="12.75" customHeight="1">
      <c r="A75" s="217">
        <v>68</v>
      </c>
      <c r="B75" s="218">
        <f>ROUND((IF('Ground Base'!B$154&gt;ROUND(((1-GroundCommDiscount31Up-GroundCommIncentive)*'Ground Base'!B70),2),ROUND('Ground Base'!B$154*(1+GroundFuelSurcharge),2),ROUND(((1-GroundCommDiscount31Up-GroundCommIncentive)*'Ground Base'!B70)*(1+GroundFuelSurcharge),2)))*(1+FedEx_Markup),2)</f>
        <v>20.82</v>
      </c>
      <c r="C75" s="218">
        <f>ROUND((IF('Ground Base'!C$154&gt;ROUND(((1-GroundCommDiscount31Up-GroundCommIncentive)*'Ground Base'!C70),2),ROUND('Ground Base'!C$154*(1+GroundFuelSurcharge),2),ROUND(((1-GroundCommDiscount31Up-GroundCommIncentive)*'Ground Base'!C70)*(1+GroundFuelSurcharge),2)))*(1+FedEx_Markup),2)</f>
        <v>26.82</v>
      </c>
      <c r="D75" s="218">
        <f>ROUND((IF('Ground Base'!D$154&gt;ROUND(((1-GroundCommDiscount31Up-GroundCommIncentive)*'Ground Base'!D70),2),ROUND('Ground Base'!D$154*(1+GroundFuelSurcharge),2),ROUND(((1-GroundCommDiscount31Up-GroundCommIncentive)*'Ground Base'!D70)*(1+GroundFuelSurcharge),2)))*(1+FedEx_Markup),2)</f>
        <v>31.15</v>
      </c>
      <c r="E75" s="218">
        <f>ROUND((IF('Ground Base'!E$154&gt;ROUND(((1-GroundCommDiscount31Up-GroundCommIncentive)*'Ground Base'!E70),2),ROUND('Ground Base'!E$154*(1+GroundFuelSurcharge),2),ROUND(((1-GroundCommDiscount31Up-GroundCommIncentive)*'Ground Base'!E70)*(1+GroundFuelSurcharge),2)))*(1+FedEx_Markup),2)</f>
        <v>37.58</v>
      </c>
      <c r="F75" s="218">
        <f>ROUND((IF('Ground Base'!F$154&gt;ROUND(((1-GroundCommDiscount31Up-GroundCommIncentive)*'Ground Base'!F70),2),ROUND('Ground Base'!F$154*(1+GroundFuelSurcharge),2),ROUND(((1-GroundCommDiscount31Up-GroundCommIncentive)*'Ground Base'!F70)*(1+GroundFuelSurcharge),2)))*(1+FedEx_Markup),2)</f>
        <v>45.6</v>
      </c>
      <c r="G75" s="218">
        <f>ROUND((IF('Ground Base'!G$154&gt;ROUND(((1-GroundCommDiscount31Up-GroundCommIncentive)*'Ground Base'!G70),2),ROUND('Ground Base'!G$154*(1+GroundFuelSurcharge),2),ROUND(((1-GroundCommDiscount31Up-GroundCommIncentive)*'Ground Base'!G70)*(1+GroundFuelSurcharge),2)))*(1+FedEx_Markup),2)</f>
        <v>53.34</v>
      </c>
      <c r="H75" s="218">
        <f>ROUND((IF('Ground Base'!H$154&gt;ROUND(((1-GroundCommDiscount31Up-GroundCommIncentive)*'Ground Base'!H70),2),ROUND('Ground Base'!H$154*(1+GroundFuelSurcharge),2),ROUND(((1-GroundCommDiscount31Up-GroundCommIncentive)*'Ground Base'!H70)*(1+GroundFuelSurcharge),2)))*(1+FedEx_Markup),2)</f>
        <v>62.95</v>
      </c>
      <c r="I75" s="218">
        <f>ROUND((IF('Ground Base'!I$154&gt;ROUND(((1-GroundAKHIDiscount)*'Ground Base'!I70),2),ROUND('Ground Base'!I$154*(1+GroundFuelSurcharge),2),ROUND(((1-GroundAKHIDiscount)*'Ground Base'!I70)*(1+GroundFuelSurcharge),2)))*(1+FedEx_Markup),2)</f>
        <v>351.3</v>
      </c>
      <c r="J75" s="218">
        <f>ROUND((IF('Ground Base'!J$154&gt;ROUND(((1-GroundAKHIDiscount)*'Ground Base'!J70),2),ROUND('Ground Base'!J$154*(1+GroundFuelSurcharge),2),ROUND(((1-GroundAKHIDiscount)*'Ground Base'!J70)*(1+GroundFuelSurcharge),2)))*(1+FedEx_Markup),2)</f>
        <v>351.3</v>
      </c>
      <c r="K75" s="218">
        <f>ROUND((IF('Ground Base'!K$154&gt;ROUND(((1-GroundZone51Discount)*'Ground Base'!K70),2),ROUND('Ground Base'!K$154*(1+GroundFuelSurcharge),2),ROUND(((1-GroundZone51Discount)*'Ground Base'!K70)*(1+GroundFuelSurcharge),2)))*(1+FedEx_Markup),2)</f>
        <v>98.19</v>
      </c>
      <c r="L75" s="218">
        <f>ROUND((IF('Ground Base'!L$154&gt;ROUND(((1-GroundZone54Discount)*'Ground Base'!L70),2),ROUND('Ground Base'!L$154*(1+GroundFuelSurcharge),2),ROUND(((1-GroundZone54Discount)*'Ground Base'!L70)*(1+GroundFuelSurcharge),2)))*(1+FedEx_Markup),2)</f>
        <v>114.37</v>
      </c>
    </row>
    <row r="76" spans="1:12" ht="12.75" customHeight="1">
      <c r="A76" s="217">
        <v>69</v>
      </c>
      <c r="B76" s="218">
        <f>ROUND((IF('Ground Base'!B$154&gt;ROUND(((1-GroundCommDiscount31Up-GroundCommIncentive)*'Ground Base'!B71),2),ROUND('Ground Base'!B$154*(1+GroundFuelSurcharge),2),ROUND(((1-GroundCommDiscount31Up-GroundCommIncentive)*'Ground Base'!B71)*(1+GroundFuelSurcharge),2)))*(1+FedEx_Markup),2)</f>
        <v>21.24</v>
      </c>
      <c r="C76" s="218">
        <f>ROUND((IF('Ground Base'!C$154&gt;ROUND(((1-GroundCommDiscount31Up-GroundCommIncentive)*'Ground Base'!C71),2),ROUND('Ground Base'!C$154*(1+GroundFuelSurcharge),2),ROUND(((1-GroundCommDiscount31Up-GroundCommIncentive)*'Ground Base'!C71)*(1+GroundFuelSurcharge),2)))*(1+FedEx_Markup),2)</f>
        <v>27.07</v>
      </c>
      <c r="D76" s="218">
        <f>ROUND((IF('Ground Base'!D$154&gt;ROUND(((1-GroundCommDiscount31Up-GroundCommIncentive)*'Ground Base'!D71),2),ROUND('Ground Base'!D$154*(1+GroundFuelSurcharge),2),ROUND(((1-GroundCommDiscount31Up-GroundCommIncentive)*'Ground Base'!D71)*(1+GroundFuelSurcharge),2)))*(1+FedEx_Markup),2)</f>
        <v>31.45</v>
      </c>
      <c r="E76" s="218">
        <f>ROUND((IF('Ground Base'!E$154&gt;ROUND(((1-GroundCommDiscount31Up-GroundCommIncentive)*'Ground Base'!E71),2),ROUND('Ground Base'!E$154*(1+GroundFuelSurcharge),2),ROUND(((1-GroundCommDiscount31Up-GroundCommIncentive)*'Ground Base'!E71)*(1+GroundFuelSurcharge),2)))*(1+FedEx_Markup),2)</f>
        <v>37.85</v>
      </c>
      <c r="F76" s="218">
        <f>ROUND((IF('Ground Base'!F$154&gt;ROUND(((1-GroundCommDiscount31Up-GroundCommIncentive)*'Ground Base'!F71),2),ROUND('Ground Base'!F$154*(1+GroundFuelSurcharge),2),ROUND(((1-GroundCommDiscount31Up-GroundCommIncentive)*'Ground Base'!F71)*(1+GroundFuelSurcharge),2)))*(1+FedEx_Markup),2)</f>
        <v>45.84</v>
      </c>
      <c r="G76" s="218">
        <f>ROUND((IF('Ground Base'!G$154&gt;ROUND(((1-GroundCommDiscount31Up-GroundCommIncentive)*'Ground Base'!G71),2),ROUND('Ground Base'!G$154*(1+GroundFuelSurcharge),2),ROUND(((1-GroundCommDiscount31Up-GroundCommIncentive)*'Ground Base'!G71)*(1+GroundFuelSurcharge),2)))*(1+FedEx_Markup),2)</f>
        <v>53.35</v>
      </c>
      <c r="H76" s="218">
        <f>ROUND((IF('Ground Base'!H$154&gt;ROUND(((1-GroundCommDiscount31Up-GroundCommIncentive)*'Ground Base'!H71),2),ROUND('Ground Base'!H$154*(1+GroundFuelSurcharge),2),ROUND(((1-GroundCommDiscount31Up-GroundCommIncentive)*'Ground Base'!H71)*(1+GroundFuelSurcharge),2)))*(1+FedEx_Markup),2)</f>
        <v>63.28</v>
      </c>
      <c r="I76" s="218">
        <f>ROUND((IF('Ground Base'!I$154&gt;ROUND(((1-GroundAKHIDiscount)*'Ground Base'!I71),2),ROUND('Ground Base'!I$154*(1+GroundFuelSurcharge),2),ROUND(((1-GroundAKHIDiscount)*'Ground Base'!I71)*(1+GroundFuelSurcharge),2)))*(1+FedEx_Markup),2)</f>
        <v>356.4</v>
      </c>
      <c r="J76" s="218">
        <f>ROUND((IF('Ground Base'!J$154&gt;ROUND(((1-GroundAKHIDiscount)*'Ground Base'!J71),2),ROUND('Ground Base'!J$154*(1+GroundFuelSurcharge),2),ROUND(((1-GroundAKHIDiscount)*'Ground Base'!J71)*(1+GroundFuelSurcharge),2)))*(1+FedEx_Markup),2)</f>
        <v>356.4</v>
      </c>
      <c r="K76" s="218">
        <f>ROUND((IF('Ground Base'!K$154&gt;ROUND(((1-GroundZone51Discount)*'Ground Base'!K71),2),ROUND('Ground Base'!K$154*(1+GroundFuelSurcharge),2),ROUND(((1-GroundZone51Discount)*'Ground Base'!K71)*(1+GroundFuelSurcharge),2)))*(1+FedEx_Markup),2)</f>
        <v>99.64</v>
      </c>
      <c r="L76" s="218">
        <f>ROUND((IF('Ground Base'!L$154&gt;ROUND(((1-GroundZone54Discount)*'Ground Base'!L71),2),ROUND('Ground Base'!L$154*(1+GroundFuelSurcharge),2),ROUND(((1-GroundZone54Discount)*'Ground Base'!L71)*(1+GroundFuelSurcharge),2)))*(1+FedEx_Markup),2)</f>
        <v>116.67</v>
      </c>
    </row>
    <row r="77" spans="1:12" ht="12.75" customHeight="1">
      <c r="A77" s="217">
        <v>70</v>
      </c>
      <c r="B77" s="218">
        <f>ROUND((IF('Ground Base'!B$154&gt;ROUND(((1-GroundCommDiscount31Up-GroundCommIncentive)*'Ground Base'!B72),2),ROUND('Ground Base'!B$154*(1+GroundFuelSurcharge),2),ROUND(((1-GroundCommDiscount31Up-GroundCommIncentive)*'Ground Base'!B72)*(1+GroundFuelSurcharge),2)))*(1+FedEx_Markup),2)</f>
        <v>21.34</v>
      </c>
      <c r="C77" s="218">
        <f>ROUND((IF('Ground Base'!C$154&gt;ROUND(((1-GroundCommDiscount31Up-GroundCommIncentive)*'Ground Base'!C72),2),ROUND('Ground Base'!C$154*(1+GroundFuelSurcharge),2),ROUND(((1-GroundCommDiscount31Up-GroundCommIncentive)*'Ground Base'!C72)*(1+GroundFuelSurcharge),2)))*(1+FedEx_Markup),2)</f>
        <v>27.45</v>
      </c>
      <c r="D77" s="218">
        <f>ROUND((IF('Ground Base'!D$154&gt;ROUND(((1-GroundCommDiscount31Up-GroundCommIncentive)*'Ground Base'!D72),2),ROUND('Ground Base'!D$154*(1+GroundFuelSurcharge),2),ROUND(((1-GroundCommDiscount31Up-GroundCommIncentive)*'Ground Base'!D72)*(1+GroundFuelSurcharge),2)))*(1+FedEx_Markup),2)</f>
        <v>32.14</v>
      </c>
      <c r="E77" s="218">
        <f>ROUND((IF('Ground Base'!E$154&gt;ROUND(((1-GroundCommDiscount31Up-GroundCommIncentive)*'Ground Base'!E72),2),ROUND('Ground Base'!E$154*(1+GroundFuelSurcharge),2),ROUND(((1-GroundCommDiscount31Up-GroundCommIncentive)*'Ground Base'!E72)*(1+GroundFuelSurcharge),2)))*(1+FedEx_Markup),2)</f>
        <v>39.659999999999997</v>
      </c>
      <c r="F77" s="218">
        <f>ROUND((IF('Ground Base'!F$154&gt;ROUND(((1-GroundCommDiscount31Up-GroundCommIncentive)*'Ground Base'!F72),2),ROUND('Ground Base'!F$154*(1+GroundFuelSurcharge),2),ROUND(((1-GroundCommDiscount31Up-GroundCommIncentive)*'Ground Base'!F72)*(1+GroundFuelSurcharge),2)))*(1+FedEx_Markup),2)</f>
        <v>46.76</v>
      </c>
      <c r="G77" s="218">
        <f>ROUND((IF('Ground Base'!G$154&gt;ROUND(((1-GroundCommDiscount31Up-GroundCommIncentive)*'Ground Base'!G72),2),ROUND('Ground Base'!G$154*(1+GroundFuelSurcharge),2),ROUND(((1-GroundCommDiscount31Up-GroundCommIncentive)*'Ground Base'!G72)*(1+GroundFuelSurcharge),2)))*(1+FedEx_Markup),2)</f>
        <v>53.36</v>
      </c>
      <c r="H77" s="218">
        <f>ROUND((IF('Ground Base'!H$154&gt;ROUND(((1-GroundCommDiscount31Up-GroundCommIncentive)*'Ground Base'!H72),2),ROUND('Ground Base'!H$154*(1+GroundFuelSurcharge),2),ROUND(((1-GroundCommDiscount31Up-GroundCommIncentive)*'Ground Base'!H72)*(1+GroundFuelSurcharge),2)))*(1+FedEx_Markup),2)</f>
        <v>63.83</v>
      </c>
      <c r="I77" s="218">
        <f>ROUND((IF('Ground Base'!I$154&gt;ROUND(((1-GroundAKHIDiscount)*'Ground Base'!I72),2),ROUND('Ground Base'!I$154*(1+GroundFuelSurcharge),2),ROUND(((1-GroundAKHIDiscount)*'Ground Base'!I72)*(1+GroundFuelSurcharge),2)))*(1+FedEx_Markup),2)</f>
        <v>363.89</v>
      </c>
      <c r="J77" s="218">
        <f>ROUND((IF('Ground Base'!J$154&gt;ROUND(((1-GroundAKHIDiscount)*'Ground Base'!J72),2),ROUND('Ground Base'!J$154*(1+GroundFuelSurcharge),2),ROUND(((1-GroundAKHIDiscount)*'Ground Base'!J72)*(1+GroundFuelSurcharge),2)))*(1+FedEx_Markup),2)</f>
        <v>363.89</v>
      </c>
      <c r="K77" s="218">
        <f>ROUND((IF('Ground Base'!K$154&gt;ROUND(((1-GroundZone51Discount)*'Ground Base'!K72),2),ROUND('Ground Base'!K$154*(1+GroundFuelSurcharge),2),ROUND(((1-GroundZone51Discount)*'Ground Base'!K72)*(1+GroundFuelSurcharge),2)))*(1+FedEx_Markup),2)</f>
        <v>99.64</v>
      </c>
      <c r="L77" s="218">
        <f>ROUND((IF('Ground Base'!L$154&gt;ROUND(((1-GroundZone54Discount)*'Ground Base'!L72),2),ROUND('Ground Base'!L$154*(1+GroundFuelSurcharge),2),ROUND(((1-GroundZone54Discount)*'Ground Base'!L72)*(1+GroundFuelSurcharge),2)))*(1+FedEx_Markup),2)</f>
        <v>116.67</v>
      </c>
    </row>
    <row r="78" spans="1:12" ht="12.75" customHeight="1">
      <c r="A78" s="217">
        <v>71</v>
      </c>
      <c r="B78" s="218">
        <f>ROUND((IF('Ground Base'!B$154&gt;ROUND(((1-GroundCommDiscount31Up-GroundCommIncentive)*'Ground Base'!B73),2),ROUND('Ground Base'!B$154*(1+GroundFuelSurcharge),2),ROUND(((1-GroundCommDiscount31Up-GroundCommIncentive)*'Ground Base'!B73)*(1+GroundFuelSurcharge),2)))*(1+FedEx_Markup),2)</f>
        <v>21.36</v>
      </c>
      <c r="C78" s="218">
        <f>ROUND((IF('Ground Base'!C$154&gt;ROUND(((1-GroundCommDiscount31Up-GroundCommIncentive)*'Ground Base'!C73),2),ROUND('Ground Base'!C$154*(1+GroundFuelSurcharge),2),ROUND(((1-GroundCommDiscount31Up-GroundCommIncentive)*'Ground Base'!C73)*(1+GroundFuelSurcharge),2)))*(1+FedEx_Markup),2)</f>
        <v>27.46</v>
      </c>
      <c r="D78" s="218">
        <f>ROUND((IF('Ground Base'!D$154&gt;ROUND(((1-GroundCommDiscount31Up-GroundCommIncentive)*'Ground Base'!D73),2),ROUND('Ground Base'!D$154*(1+GroundFuelSurcharge),2),ROUND(((1-GroundCommDiscount31Up-GroundCommIncentive)*'Ground Base'!D73)*(1+GroundFuelSurcharge),2)))*(1+FedEx_Markup),2)</f>
        <v>32.64</v>
      </c>
      <c r="E78" s="218">
        <f>ROUND((IF('Ground Base'!E$154&gt;ROUND(((1-GroundCommDiscount31Up-GroundCommIncentive)*'Ground Base'!E73),2),ROUND('Ground Base'!E$154*(1+GroundFuelSurcharge),2),ROUND(((1-GroundCommDiscount31Up-GroundCommIncentive)*'Ground Base'!E73)*(1+GroundFuelSurcharge),2)))*(1+FedEx_Markup),2)</f>
        <v>39.68</v>
      </c>
      <c r="F78" s="218">
        <f>ROUND((IF('Ground Base'!F$154&gt;ROUND(((1-GroundCommDiscount31Up-GroundCommIncentive)*'Ground Base'!F73),2),ROUND('Ground Base'!F$154*(1+GroundFuelSurcharge),2),ROUND(((1-GroundCommDiscount31Up-GroundCommIncentive)*'Ground Base'!F73)*(1+GroundFuelSurcharge),2)))*(1+FedEx_Markup),2)</f>
        <v>47.06</v>
      </c>
      <c r="G78" s="218">
        <f>ROUND((IF('Ground Base'!G$154&gt;ROUND(((1-GroundCommDiscount31Up-GroundCommIncentive)*'Ground Base'!G73),2),ROUND('Ground Base'!G$154*(1+GroundFuelSurcharge),2),ROUND(((1-GroundCommDiscount31Up-GroundCommIncentive)*'Ground Base'!G73)*(1+GroundFuelSurcharge),2)))*(1+FedEx_Markup),2)</f>
        <v>54.22</v>
      </c>
      <c r="H78" s="218">
        <f>ROUND((IF('Ground Base'!H$154&gt;ROUND(((1-GroundCommDiscount31Up-GroundCommIncentive)*'Ground Base'!H73),2),ROUND('Ground Base'!H$154*(1+GroundFuelSurcharge),2),ROUND(((1-GroundCommDiscount31Up-GroundCommIncentive)*'Ground Base'!H73)*(1+GroundFuelSurcharge),2)))*(1+FedEx_Markup),2)</f>
        <v>63.85</v>
      </c>
      <c r="I78" s="218">
        <f>ROUND((IF('Ground Base'!I$154&gt;ROUND(((1-GroundAKHIDiscount)*'Ground Base'!I73),2),ROUND('Ground Base'!I$154*(1+GroundFuelSurcharge),2),ROUND(((1-GroundAKHIDiscount)*'Ground Base'!I73)*(1+GroundFuelSurcharge),2)))*(1+FedEx_Markup),2)</f>
        <v>369.5</v>
      </c>
      <c r="J78" s="218">
        <f>ROUND((IF('Ground Base'!J$154&gt;ROUND(((1-GroundAKHIDiscount)*'Ground Base'!J73),2),ROUND('Ground Base'!J$154*(1+GroundFuelSurcharge),2),ROUND(((1-GroundAKHIDiscount)*'Ground Base'!J73)*(1+GroundFuelSurcharge),2)))*(1+FedEx_Markup),2)</f>
        <v>369.5</v>
      </c>
      <c r="K78" s="218">
        <f>ROUND((IF('Ground Base'!K$154&gt;ROUND(((1-GroundZone51Discount)*'Ground Base'!K73),2),ROUND('Ground Base'!K$154*(1+GroundFuelSurcharge),2),ROUND(((1-GroundZone51Discount)*'Ground Base'!K73)*(1+GroundFuelSurcharge),2)))*(1+FedEx_Markup),2)</f>
        <v>102.02</v>
      </c>
      <c r="L78" s="218">
        <f>ROUND((IF('Ground Base'!L$154&gt;ROUND(((1-GroundZone54Discount)*'Ground Base'!L73),2),ROUND('Ground Base'!L$154*(1+GroundFuelSurcharge),2),ROUND(((1-GroundZone54Discount)*'Ground Base'!L73)*(1+GroundFuelSurcharge),2)))*(1+FedEx_Markup),2)</f>
        <v>118.57</v>
      </c>
    </row>
    <row r="79" spans="1:12" ht="12.75" customHeight="1">
      <c r="A79" s="217">
        <v>72</v>
      </c>
      <c r="B79" s="218">
        <f>ROUND((IF('Ground Base'!B$154&gt;ROUND(((1-GroundCommDiscount31Up-GroundCommIncentive)*'Ground Base'!B74),2),ROUND('Ground Base'!B$154*(1+GroundFuelSurcharge),2),ROUND(((1-GroundCommDiscount31Up-GroundCommIncentive)*'Ground Base'!B74)*(1+GroundFuelSurcharge),2)))*(1+FedEx_Markup),2)</f>
        <v>21.97</v>
      </c>
      <c r="C79" s="218">
        <f>ROUND((IF('Ground Base'!C$154&gt;ROUND(((1-GroundCommDiscount31Up-GroundCommIncentive)*'Ground Base'!C74),2),ROUND('Ground Base'!C$154*(1+GroundFuelSurcharge),2),ROUND(((1-GroundCommDiscount31Up-GroundCommIncentive)*'Ground Base'!C74)*(1+GroundFuelSurcharge),2)))*(1+FedEx_Markup),2)</f>
        <v>27.46</v>
      </c>
      <c r="D79" s="218">
        <f>ROUND((IF('Ground Base'!D$154&gt;ROUND(((1-GroundCommDiscount31Up-GroundCommIncentive)*'Ground Base'!D74),2),ROUND('Ground Base'!D$154*(1+GroundFuelSurcharge),2),ROUND(((1-GroundCommDiscount31Up-GroundCommIncentive)*'Ground Base'!D74)*(1+GroundFuelSurcharge),2)))*(1+FedEx_Markup),2)</f>
        <v>33.33</v>
      </c>
      <c r="E79" s="218">
        <f>ROUND((IF('Ground Base'!E$154&gt;ROUND(((1-GroundCommDiscount31Up-GroundCommIncentive)*'Ground Base'!E74),2),ROUND('Ground Base'!E$154*(1+GroundFuelSurcharge),2),ROUND(((1-GroundCommDiscount31Up-GroundCommIncentive)*'Ground Base'!E74)*(1+GroundFuelSurcharge),2)))*(1+FedEx_Markup),2)</f>
        <v>39.69</v>
      </c>
      <c r="F79" s="218">
        <f>ROUND((IF('Ground Base'!F$154&gt;ROUND(((1-GroundCommDiscount31Up-GroundCommIncentive)*'Ground Base'!F74),2),ROUND('Ground Base'!F$154*(1+GroundFuelSurcharge),2),ROUND(((1-GroundCommDiscount31Up-GroundCommIncentive)*'Ground Base'!F74)*(1+GroundFuelSurcharge),2)))*(1+FedEx_Markup),2)</f>
        <v>47.84</v>
      </c>
      <c r="G79" s="218">
        <f>ROUND((IF('Ground Base'!G$154&gt;ROUND(((1-GroundCommDiscount31Up-GroundCommIncentive)*'Ground Base'!G74),2),ROUND('Ground Base'!G$154*(1+GroundFuelSurcharge),2),ROUND(((1-GroundCommDiscount31Up-GroundCommIncentive)*'Ground Base'!G74)*(1+GroundFuelSurcharge),2)))*(1+FedEx_Markup),2)</f>
        <v>56.53</v>
      </c>
      <c r="H79" s="218">
        <f>ROUND((IF('Ground Base'!H$154&gt;ROUND(((1-GroundCommDiscount31Up-GroundCommIncentive)*'Ground Base'!H74),2),ROUND('Ground Base'!H$154*(1+GroundFuelSurcharge),2),ROUND(((1-GroundCommDiscount31Up-GroundCommIncentive)*'Ground Base'!H74)*(1+GroundFuelSurcharge),2)))*(1+FedEx_Markup),2)</f>
        <v>63.94</v>
      </c>
      <c r="I79" s="218">
        <f>ROUND((IF('Ground Base'!I$154&gt;ROUND(((1-GroundAKHIDiscount)*'Ground Base'!I74),2),ROUND('Ground Base'!I$154*(1+GroundFuelSurcharge),2),ROUND(((1-GroundAKHIDiscount)*'Ground Base'!I74)*(1+GroundFuelSurcharge),2)))*(1+FedEx_Markup),2)</f>
        <v>374.99</v>
      </c>
      <c r="J79" s="218">
        <f>ROUND((IF('Ground Base'!J$154&gt;ROUND(((1-GroundAKHIDiscount)*'Ground Base'!J74),2),ROUND('Ground Base'!J$154*(1+GroundFuelSurcharge),2),ROUND(((1-GroundAKHIDiscount)*'Ground Base'!J74)*(1+GroundFuelSurcharge),2)))*(1+FedEx_Markup),2)</f>
        <v>374.99</v>
      </c>
      <c r="K79" s="218">
        <f>ROUND((IF('Ground Base'!K$154&gt;ROUND(((1-GroundZone51Discount)*'Ground Base'!K74),2),ROUND('Ground Base'!K$154*(1+GroundFuelSurcharge),2),ROUND(((1-GroundZone51Discount)*'Ground Base'!K74)*(1+GroundFuelSurcharge),2)))*(1+FedEx_Markup),2)</f>
        <v>102.02</v>
      </c>
      <c r="L79" s="218">
        <f>ROUND((IF('Ground Base'!L$154&gt;ROUND(((1-GroundZone54Discount)*'Ground Base'!L74),2),ROUND('Ground Base'!L$154*(1+GroundFuelSurcharge),2),ROUND(((1-GroundZone54Discount)*'Ground Base'!L74)*(1+GroundFuelSurcharge),2)))*(1+FedEx_Markup),2)</f>
        <v>118.58</v>
      </c>
    </row>
    <row r="80" spans="1:12" ht="12.75" customHeight="1">
      <c r="A80" s="217">
        <v>73</v>
      </c>
      <c r="B80" s="218">
        <f>ROUND((IF('Ground Base'!B$154&gt;ROUND(((1-GroundCommDiscount31Up-GroundCommIncentive)*'Ground Base'!B75),2),ROUND('Ground Base'!B$154*(1+GroundFuelSurcharge),2),ROUND(((1-GroundCommDiscount31Up-GroundCommIncentive)*'Ground Base'!B75)*(1+GroundFuelSurcharge),2)))*(1+FedEx_Markup),2)</f>
        <v>22.1</v>
      </c>
      <c r="C80" s="218">
        <f>ROUND((IF('Ground Base'!C$154&gt;ROUND(((1-GroundCommDiscount31Up-GroundCommIncentive)*'Ground Base'!C75),2),ROUND('Ground Base'!C$154*(1+GroundFuelSurcharge),2),ROUND(((1-GroundCommDiscount31Up-GroundCommIncentive)*'Ground Base'!C75)*(1+GroundFuelSurcharge),2)))*(1+FedEx_Markup),2)</f>
        <v>27.73</v>
      </c>
      <c r="D80" s="218">
        <f>ROUND((IF('Ground Base'!D$154&gt;ROUND(((1-GroundCommDiscount31Up-GroundCommIncentive)*'Ground Base'!D75),2),ROUND('Ground Base'!D$154*(1+GroundFuelSurcharge),2),ROUND(((1-GroundCommDiscount31Up-GroundCommIncentive)*'Ground Base'!D75)*(1+GroundFuelSurcharge),2)))*(1+FedEx_Markup),2)</f>
        <v>33.33</v>
      </c>
      <c r="E80" s="218">
        <f>ROUND((IF('Ground Base'!E$154&gt;ROUND(((1-GroundCommDiscount31Up-GroundCommIncentive)*'Ground Base'!E75),2),ROUND('Ground Base'!E$154*(1+GroundFuelSurcharge),2),ROUND(((1-GroundCommDiscount31Up-GroundCommIncentive)*'Ground Base'!E75)*(1+GroundFuelSurcharge),2)))*(1+FedEx_Markup),2)</f>
        <v>40.270000000000003</v>
      </c>
      <c r="F80" s="218">
        <f>ROUND((IF('Ground Base'!F$154&gt;ROUND(((1-GroundCommDiscount31Up-GroundCommIncentive)*'Ground Base'!F75),2),ROUND('Ground Base'!F$154*(1+GroundFuelSurcharge),2),ROUND(((1-GroundCommDiscount31Up-GroundCommIncentive)*'Ground Base'!F75)*(1+GroundFuelSurcharge),2)))*(1+FedEx_Markup),2)</f>
        <v>48.36</v>
      </c>
      <c r="G80" s="218">
        <f>ROUND((IF('Ground Base'!G$154&gt;ROUND(((1-GroundCommDiscount31Up-GroundCommIncentive)*'Ground Base'!G75),2),ROUND('Ground Base'!G$154*(1+GroundFuelSurcharge),2),ROUND(((1-GroundCommDiscount31Up-GroundCommIncentive)*'Ground Base'!G75)*(1+GroundFuelSurcharge),2)))*(1+FedEx_Markup),2)</f>
        <v>56.63</v>
      </c>
      <c r="H80" s="218">
        <f>ROUND((IF('Ground Base'!H$154&gt;ROUND(((1-GroundCommDiscount31Up-GroundCommIncentive)*'Ground Base'!H75),2),ROUND('Ground Base'!H$154*(1+GroundFuelSurcharge),2),ROUND(((1-GroundCommDiscount31Up-GroundCommIncentive)*'Ground Base'!H75)*(1+GroundFuelSurcharge),2)))*(1+FedEx_Markup),2)</f>
        <v>63.95</v>
      </c>
      <c r="I80" s="218">
        <f>ROUND((IF('Ground Base'!I$154&gt;ROUND(((1-GroundAKHIDiscount)*'Ground Base'!I75),2),ROUND('Ground Base'!I$154*(1+GroundFuelSurcharge),2),ROUND(((1-GroundAKHIDiscount)*'Ground Base'!I75)*(1+GroundFuelSurcharge),2)))*(1+FedEx_Markup),2)</f>
        <v>380.48</v>
      </c>
      <c r="J80" s="218">
        <f>ROUND((IF('Ground Base'!J$154&gt;ROUND(((1-GroundAKHIDiscount)*'Ground Base'!J75),2),ROUND('Ground Base'!J$154*(1+GroundFuelSurcharge),2),ROUND(((1-GroundAKHIDiscount)*'Ground Base'!J75)*(1+GroundFuelSurcharge),2)))*(1+FedEx_Markup),2)</f>
        <v>380.48</v>
      </c>
      <c r="K80" s="218">
        <f>ROUND((IF('Ground Base'!K$154&gt;ROUND(((1-GroundZone51Discount)*'Ground Base'!K75),2),ROUND('Ground Base'!K$154*(1+GroundFuelSurcharge),2),ROUND(((1-GroundZone51Discount)*'Ground Base'!K75)*(1+GroundFuelSurcharge),2)))*(1+FedEx_Markup),2)</f>
        <v>103.6</v>
      </c>
      <c r="L80" s="218">
        <f>ROUND((IF('Ground Base'!L$154&gt;ROUND(((1-GroundZone54Discount)*'Ground Base'!L75),2),ROUND('Ground Base'!L$154*(1+GroundFuelSurcharge),2),ROUND(((1-GroundZone54Discount)*'Ground Base'!L75)*(1+GroundFuelSurcharge),2)))*(1+FedEx_Markup),2)</f>
        <v>120.81</v>
      </c>
    </row>
    <row r="81" spans="1:26" ht="12.75" customHeight="1">
      <c r="A81" s="217">
        <v>74</v>
      </c>
      <c r="B81" s="218">
        <f>ROUND((IF('Ground Base'!B$154&gt;ROUND(((1-GroundCommDiscount31Up-GroundCommIncentive)*'Ground Base'!B76),2),ROUND('Ground Base'!B$154*(1+GroundFuelSurcharge),2),ROUND(((1-GroundCommDiscount31Up-GroundCommIncentive)*'Ground Base'!B76)*(1+GroundFuelSurcharge),2)))*(1+FedEx_Markup),2)</f>
        <v>22.69</v>
      </c>
      <c r="C81" s="218">
        <f>ROUND((IF('Ground Base'!C$154&gt;ROUND(((1-GroundCommDiscount31Up-GroundCommIncentive)*'Ground Base'!C76),2),ROUND('Ground Base'!C$154*(1+GroundFuelSurcharge),2),ROUND(((1-GroundCommDiscount31Up-GroundCommIncentive)*'Ground Base'!C76)*(1+GroundFuelSurcharge),2)))*(1+FedEx_Markup),2)</f>
        <v>27.73</v>
      </c>
      <c r="D81" s="218">
        <f>ROUND((IF('Ground Base'!D$154&gt;ROUND(((1-GroundCommDiscount31Up-GroundCommIncentive)*'Ground Base'!D76),2),ROUND('Ground Base'!D$154*(1+GroundFuelSurcharge),2),ROUND(((1-GroundCommDiscount31Up-GroundCommIncentive)*'Ground Base'!D76)*(1+GroundFuelSurcharge),2)))*(1+FedEx_Markup),2)</f>
        <v>33.340000000000003</v>
      </c>
      <c r="E81" s="218">
        <f>ROUND((IF('Ground Base'!E$154&gt;ROUND(((1-GroundCommDiscount31Up-GroundCommIncentive)*'Ground Base'!E76),2),ROUND('Ground Base'!E$154*(1+GroundFuelSurcharge),2),ROUND(((1-GroundCommDiscount31Up-GroundCommIncentive)*'Ground Base'!E76)*(1+GroundFuelSurcharge),2)))*(1+FedEx_Markup),2)</f>
        <v>40.28</v>
      </c>
      <c r="F81" s="218">
        <f>ROUND((IF('Ground Base'!F$154&gt;ROUND(((1-GroundCommDiscount31Up-GroundCommIncentive)*'Ground Base'!F76),2),ROUND('Ground Base'!F$154*(1+GroundFuelSurcharge),2),ROUND(((1-GroundCommDiscount31Up-GroundCommIncentive)*'Ground Base'!F76)*(1+GroundFuelSurcharge),2)))*(1+FedEx_Markup),2)</f>
        <v>49.09</v>
      </c>
      <c r="G81" s="218">
        <f>ROUND((IF('Ground Base'!G$154&gt;ROUND(((1-GroundCommDiscount31Up-GroundCommIncentive)*'Ground Base'!G76),2),ROUND('Ground Base'!G$154*(1+GroundFuelSurcharge),2),ROUND(((1-GroundCommDiscount31Up-GroundCommIncentive)*'Ground Base'!G76)*(1+GroundFuelSurcharge),2)))*(1+FedEx_Markup),2)</f>
        <v>56.64</v>
      </c>
      <c r="H81" s="218">
        <f>ROUND((IF('Ground Base'!H$154&gt;ROUND(((1-GroundCommDiscount31Up-GroundCommIncentive)*'Ground Base'!H76),2),ROUND('Ground Base'!H$154*(1+GroundFuelSurcharge),2),ROUND(((1-GroundCommDiscount31Up-GroundCommIncentive)*'Ground Base'!H76)*(1+GroundFuelSurcharge),2)))*(1+FedEx_Markup),2)</f>
        <v>63.96</v>
      </c>
      <c r="I81" s="218">
        <f>ROUND((IF('Ground Base'!I$154&gt;ROUND(((1-GroundAKHIDiscount)*'Ground Base'!I76),2),ROUND('Ground Base'!I$154*(1+GroundFuelSurcharge),2),ROUND(((1-GroundAKHIDiscount)*'Ground Base'!I76)*(1+GroundFuelSurcharge),2)))*(1+FedEx_Markup),2)</f>
        <v>384.16</v>
      </c>
      <c r="J81" s="218">
        <f>ROUND((IF('Ground Base'!J$154&gt;ROUND(((1-GroundAKHIDiscount)*'Ground Base'!J76),2),ROUND('Ground Base'!J$154*(1+GroundFuelSurcharge),2),ROUND(((1-GroundAKHIDiscount)*'Ground Base'!J76)*(1+GroundFuelSurcharge),2)))*(1+FedEx_Markup),2)</f>
        <v>384.16</v>
      </c>
      <c r="K81" s="218">
        <f>ROUND((IF('Ground Base'!K$154&gt;ROUND(((1-GroundZone51Discount)*'Ground Base'!K76),2),ROUND('Ground Base'!K$154*(1+GroundFuelSurcharge),2),ROUND(((1-GroundZone51Discount)*'Ground Base'!K76)*(1+GroundFuelSurcharge),2)))*(1+FedEx_Markup),2)</f>
        <v>103.6</v>
      </c>
      <c r="L81" s="218">
        <f>ROUND((IF('Ground Base'!L$154&gt;ROUND(((1-GroundZone54Discount)*'Ground Base'!L76),2),ROUND('Ground Base'!L$154*(1+GroundFuelSurcharge),2),ROUND(((1-GroundZone54Discount)*'Ground Base'!L76)*(1+GroundFuelSurcharge),2)))*(1+FedEx_Markup),2)</f>
        <v>120.82</v>
      </c>
    </row>
    <row r="82" spans="1:26" ht="12.75" customHeight="1">
      <c r="A82" s="217">
        <v>75</v>
      </c>
      <c r="B82" s="218">
        <f>ROUND((IF('Ground Base'!B$154&gt;ROUND(((1-GroundCommDiscount31Up-GroundCommIncentive)*'Ground Base'!B77),2),ROUND('Ground Base'!B$154*(1+GroundFuelSurcharge),2),ROUND(((1-GroundCommDiscount31Up-GroundCommIncentive)*'Ground Base'!B77)*(1+GroundFuelSurcharge),2)))*(1+FedEx_Markup),2)</f>
        <v>23.53</v>
      </c>
      <c r="C82" s="218">
        <f>ROUND((IF('Ground Base'!C$154&gt;ROUND(((1-GroundCommDiscount31Up-GroundCommIncentive)*'Ground Base'!C77),2),ROUND('Ground Base'!C$154*(1+GroundFuelSurcharge),2),ROUND(((1-GroundCommDiscount31Up-GroundCommIncentive)*'Ground Base'!C77)*(1+GroundFuelSurcharge),2)))*(1+FedEx_Markup),2)</f>
        <v>27.75</v>
      </c>
      <c r="D82" s="218">
        <f>ROUND((IF('Ground Base'!D$154&gt;ROUND(((1-GroundCommDiscount31Up-GroundCommIncentive)*'Ground Base'!D77),2),ROUND('Ground Base'!D$154*(1+GroundFuelSurcharge),2),ROUND(((1-GroundCommDiscount31Up-GroundCommIncentive)*'Ground Base'!D77)*(1+GroundFuelSurcharge),2)))*(1+FedEx_Markup),2)</f>
        <v>33.340000000000003</v>
      </c>
      <c r="E82" s="218">
        <f>ROUND((IF('Ground Base'!E$154&gt;ROUND(((1-GroundCommDiscount31Up-GroundCommIncentive)*'Ground Base'!E77),2),ROUND('Ground Base'!E$154*(1+GroundFuelSurcharge),2),ROUND(((1-GroundCommDiscount31Up-GroundCommIncentive)*'Ground Base'!E77)*(1+GroundFuelSurcharge),2)))*(1+FedEx_Markup),2)</f>
        <v>40.61</v>
      </c>
      <c r="F82" s="218">
        <f>ROUND((IF('Ground Base'!F$154&gt;ROUND(((1-GroundCommDiscount31Up-GroundCommIncentive)*'Ground Base'!F77),2),ROUND('Ground Base'!F$154*(1+GroundFuelSurcharge),2),ROUND(((1-GroundCommDiscount31Up-GroundCommIncentive)*'Ground Base'!F77)*(1+GroundFuelSurcharge),2)))*(1+FedEx_Markup),2)</f>
        <v>49.11</v>
      </c>
      <c r="G82" s="218">
        <f>ROUND((IF('Ground Base'!G$154&gt;ROUND(((1-GroundCommDiscount31Up-GroundCommIncentive)*'Ground Base'!G77),2),ROUND('Ground Base'!G$154*(1+GroundFuelSurcharge),2),ROUND(((1-GroundCommDiscount31Up-GroundCommIncentive)*'Ground Base'!G77)*(1+GroundFuelSurcharge),2)))*(1+FedEx_Markup),2)</f>
        <v>57.21</v>
      </c>
      <c r="H82" s="218">
        <f>ROUND((IF('Ground Base'!H$154&gt;ROUND(((1-GroundCommDiscount31Up-GroundCommIncentive)*'Ground Base'!H77),2),ROUND('Ground Base'!H$154*(1+GroundFuelSurcharge),2),ROUND(((1-GroundCommDiscount31Up-GroundCommIncentive)*'Ground Base'!H77)*(1+GroundFuelSurcharge),2)))*(1+FedEx_Markup),2)</f>
        <v>63.97</v>
      </c>
      <c r="I82" s="218">
        <f>ROUND((IF('Ground Base'!I$154&gt;ROUND(((1-GroundAKHIDiscount)*'Ground Base'!I77),2),ROUND('Ground Base'!I$154*(1+GroundFuelSurcharge),2),ROUND(((1-GroundAKHIDiscount)*'Ground Base'!I77)*(1+GroundFuelSurcharge),2)))*(1+FedEx_Markup),2)</f>
        <v>388.49</v>
      </c>
      <c r="J82" s="218">
        <f>ROUND((IF('Ground Base'!J$154&gt;ROUND(((1-GroundAKHIDiscount)*'Ground Base'!J77),2),ROUND('Ground Base'!J$154*(1+GroundFuelSurcharge),2),ROUND(((1-GroundAKHIDiscount)*'Ground Base'!J77)*(1+GroundFuelSurcharge),2)))*(1+FedEx_Markup),2)</f>
        <v>388.49</v>
      </c>
      <c r="K82" s="218">
        <f>ROUND((IF('Ground Base'!K$154&gt;ROUND(((1-GroundZone51Discount)*'Ground Base'!K77),2),ROUND('Ground Base'!K$154*(1+GroundFuelSurcharge),2),ROUND(((1-GroundZone51Discount)*'Ground Base'!K77)*(1+GroundFuelSurcharge),2)))*(1+FedEx_Markup),2)</f>
        <v>105.06</v>
      </c>
      <c r="L82" s="218">
        <f>ROUND((IF('Ground Base'!L$154&gt;ROUND(((1-GroundZone54Discount)*'Ground Base'!L77),2),ROUND('Ground Base'!L$154*(1+GroundFuelSurcharge),2),ROUND(((1-GroundZone54Discount)*'Ground Base'!L77)*(1+GroundFuelSurcharge),2)))*(1+FedEx_Markup),2)</f>
        <v>123.59</v>
      </c>
    </row>
    <row r="83" spans="1:26" ht="12.75" customHeight="1">
      <c r="A83" s="217">
        <v>76</v>
      </c>
      <c r="B83" s="218">
        <f>ROUND((IF('Ground Base'!B$154&gt;ROUND(((1-GroundCommDiscount31Up-GroundCommIncentive)*'Ground Base'!B78),2),ROUND('Ground Base'!B$154*(1+GroundFuelSurcharge),2),ROUND(((1-GroundCommDiscount31Up-GroundCommIncentive)*'Ground Base'!B78)*(1+GroundFuelSurcharge),2)))*(1+FedEx_Markup),2)</f>
        <v>25.35</v>
      </c>
      <c r="C83" s="218">
        <f>ROUND((IF('Ground Base'!C$154&gt;ROUND(((1-GroundCommDiscount31Up-GroundCommIncentive)*'Ground Base'!C78),2),ROUND('Ground Base'!C$154*(1+GroundFuelSurcharge),2),ROUND(((1-GroundCommDiscount31Up-GroundCommIncentive)*'Ground Base'!C78)*(1+GroundFuelSurcharge),2)))*(1+FedEx_Markup),2)</f>
        <v>29.3</v>
      </c>
      <c r="D83" s="218">
        <f>ROUND((IF('Ground Base'!D$154&gt;ROUND(((1-GroundCommDiscount31Up-GroundCommIncentive)*'Ground Base'!D78),2),ROUND('Ground Base'!D$154*(1+GroundFuelSurcharge),2),ROUND(((1-GroundCommDiscount31Up-GroundCommIncentive)*'Ground Base'!D78)*(1+GroundFuelSurcharge),2)))*(1+FedEx_Markup),2)</f>
        <v>33.56</v>
      </c>
      <c r="E83" s="218">
        <f>ROUND((IF('Ground Base'!E$154&gt;ROUND(((1-GroundCommDiscount31Up-GroundCommIncentive)*'Ground Base'!E78),2),ROUND('Ground Base'!E$154*(1+GroundFuelSurcharge),2),ROUND(((1-GroundCommDiscount31Up-GroundCommIncentive)*'Ground Base'!E78)*(1+GroundFuelSurcharge),2)))*(1+FedEx_Markup),2)</f>
        <v>41.23</v>
      </c>
      <c r="F83" s="218">
        <f>ROUND((IF('Ground Base'!F$154&gt;ROUND(((1-GroundCommDiscount31Up-GroundCommIncentive)*'Ground Base'!F78),2),ROUND('Ground Base'!F$154*(1+GroundFuelSurcharge),2),ROUND(((1-GroundCommDiscount31Up-GroundCommIncentive)*'Ground Base'!F78)*(1+GroundFuelSurcharge),2)))*(1+FedEx_Markup),2)</f>
        <v>50.19</v>
      </c>
      <c r="G83" s="218">
        <f>ROUND((IF('Ground Base'!G$154&gt;ROUND(((1-GroundCommDiscount31Up-GroundCommIncentive)*'Ground Base'!G78),2),ROUND('Ground Base'!G$154*(1+GroundFuelSurcharge),2),ROUND(((1-GroundCommDiscount31Up-GroundCommIncentive)*'Ground Base'!G78)*(1+GroundFuelSurcharge),2)))*(1+FedEx_Markup),2)</f>
        <v>58.13</v>
      </c>
      <c r="H83" s="218">
        <f>ROUND((IF('Ground Base'!H$154&gt;ROUND(((1-GroundCommDiscount31Up-GroundCommIncentive)*'Ground Base'!H78),2),ROUND('Ground Base'!H$154*(1+GroundFuelSurcharge),2),ROUND(((1-GroundCommDiscount31Up-GroundCommIncentive)*'Ground Base'!H78)*(1+GroundFuelSurcharge),2)))*(1+FedEx_Markup),2)</f>
        <v>64.56</v>
      </c>
      <c r="I83" s="218">
        <f>ROUND((IF('Ground Base'!I$154&gt;ROUND(((1-GroundAKHIDiscount)*'Ground Base'!I78),2),ROUND('Ground Base'!I$154*(1+GroundFuelSurcharge),2),ROUND(((1-GroundAKHIDiscount)*'Ground Base'!I78)*(1+GroundFuelSurcharge),2)))*(1+FedEx_Markup),2)</f>
        <v>393.29</v>
      </c>
      <c r="J83" s="218">
        <f>ROUND((IF('Ground Base'!J$154&gt;ROUND(((1-GroundAKHIDiscount)*'Ground Base'!J78),2),ROUND('Ground Base'!J$154*(1+GroundFuelSurcharge),2),ROUND(((1-GroundAKHIDiscount)*'Ground Base'!J78)*(1+GroundFuelSurcharge),2)))*(1+FedEx_Markup),2)</f>
        <v>393.29</v>
      </c>
      <c r="K83" s="218">
        <f>ROUND((IF('Ground Base'!K$154&gt;ROUND(((1-GroundZone51Discount)*'Ground Base'!K78),2),ROUND('Ground Base'!K$154*(1+GroundFuelSurcharge),2),ROUND(((1-GroundZone51Discount)*'Ground Base'!K78)*(1+GroundFuelSurcharge),2)))*(1+FedEx_Markup),2)</f>
        <v>105.08</v>
      </c>
      <c r="L83" s="218">
        <f>ROUND((IF('Ground Base'!L$154&gt;ROUND(((1-GroundZone54Discount)*'Ground Base'!L78),2),ROUND('Ground Base'!L$154*(1+GroundFuelSurcharge),2),ROUND(((1-GroundZone54Discount)*'Ground Base'!L78)*(1+GroundFuelSurcharge),2)))*(1+FedEx_Markup),2)</f>
        <v>123.61</v>
      </c>
    </row>
    <row r="84" spans="1:26" ht="12.75" customHeight="1">
      <c r="A84" s="217">
        <v>77</v>
      </c>
      <c r="B84" s="218">
        <f>ROUND((IF('Ground Base'!B$154&gt;ROUND(((1-GroundCommDiscount31Up-GroundCommIncentive)*'Ground Base'!B79),2),ROUND('Ground Base'!B$154*(1+GroundFuelSurcharge),2),ROUND(((1-GroundCommDiscount31Up-GroundCommIncentive)*'Ground Base'!B79)*(1+GroundFuelSurcharge),2)))*(1+FedEx_Markup),2)</f>
        <v>26.34</v>
      </c>
      <c r="C84" s="218">
        <f>ROUND((IF('Ground Base'!C$154&gt;ROUND(((1-GroundCommDiscount31Up-GroundCommIncentive)*'Ground Base'!C79),2),ROUND('Ground Base'!C$154*(1+GroundFuelSurcharge),2),ROUND(((1-GroundCommDiscount31Up-GroundCommIncentive)*'Ground Base'!C79)*(1+GroundFuelSurcharge),2)))*(1+FedEx_Markup),2)</f>
        <v>29.73</v>
      </c>
      <c r="D84" s="218">
        <f>ROUND((IF('Ground Base'!D$154&gt;ROUND(((1-GroundCommDiscount31Up-GroundCommIncentive)*'Ground Base'!D79),2),ROUND('Ground Base'!D$154*(1+GroundFuelSurcharge),2),ROUND(((1-GroundCommDiscount31Up-GroundCommIncentive)*'Ground Base'!D79)*(1+GroundFuelSurcharge),2)))*(1+FedEx_Markup),2)</f>
        <v>33.950000000000003</v>
      </c>
      <c r="E84" s="218">
        <f>ROUND((IF('Ground Base'!E$154&gt;ROUND(((1-GroundCommDiscount31Up-GroundCommIncentive)*'Ground Base'!E79),2),ROUND('Ground Base'!E$154*(1+GroundFuelSurcharge),2),ROUND(((1-GroundCommDiscount31Up-GroundCommIncentive)*'Ground Base'!E79)*(1+GroundFuelSurcharge),2)))*(1+FedEx_Markup),2)</f>
        <v>41.41</v>
      </c>
      <c r="F84" s="218">
        <f>ROUND((IF('Ground Base'!F$154&gt;ROUND(((1-GroundCommDiscount31Up-GroundCommIncentive)*'Ground Base'!F79),2),ROUND('Ground Base'!F$154*(1+GroundFuelSurcharge),2),ROUND(((1-GroundCommDiscount31Up-GroundCommIncentive)*'Ground Base'!F79)*(1+GroundFuelSurcharge),2)))*(1+FedEx_Markup),2)</f>
        <v>50.47</v>
      </c>
      <c r="G84" s="218">
        <f>ROUND((IF('Ground Base'!G$154&gt;ROUND(((1-GroundCommDiscount31Up-GroundCommIncentive)*'Ground Base'!G79),2),ROUND('Ground Base'!G$154*(1+GroundFuelSurcharge),2),ROUND(((1-GroundCommDiscount31Up-GroundCommIncentive)*'Ground Base'!G79)*(1+GroundFuelSurcharge),2)))*(1+FedEx_Markup),2)</f>
        <v>59.8</v>
      </c>
      <c r="H84" s="218">
        <f>ROUND((IF('Ground Base'!H$154&gt;ROUND(((1-GroundCommDiscount31Up-GroundCommIncentive)*'Ground Base'!H79),2),ROUND('Ground Base'!H$154*(1+GroundFuelSurcharge),2),ROUND(((1-GroundCommDiscount31Up-GroundCommIncentive)*'Ground Base'!H79)*(1+GroundFuelSurcharge),2)))*(1+FedEx_Markup),2)</f>
        <v>64.569999999999993</v>
      </c>
      <c r="I84" s="218">
        <f>ROUND((IF('Ground Base'!I$154&gt;ROUND(((1-GroundAKHIDiscount)*'Ground Base'!I79),2),ROUND('Ground Base'!I$154*(1+GroundFuelSurcharge),2),ROUND(((1-GroundAKHIDiscount)*'Ground Base'!I79)*(1+GroundFuelSurcharge),2)))*(1+FedEx_Markup),2)</f>
        <v>396.54</v>
      </c>
      <c r="J84" s="218">
        <f>ROUND((IF('Ground Base'!J$154&gt;ROUND(((1-GroundAKHIDiscount)*'Ground Base'!J79),2),ROUND('Ground Base'!J$154*(1+GroundFuelSurcharge),2),ROUND(((1-GroundAKHIDiscount)*'Ground Base'!J79)*(1+GroundFuelSurcharge),2)))*(1+FedEx_Markup),2)</f>
        <v>396.54</v>
      </c>
      <c r="K84" s="218">
        <f>ROUND((IF('Ground Base'!K$154&gt;ROUND(((1-GroundZone51Discount)*'Ground Base'!K79),2),ROUND('Ground Base'!K$154*(1+GroundFuelSurcharge),2),ROUND(((1-GroundZone51Discount)*'Ground Base'!K79)*(1+GroundFuelSurcharge),2)))*(1+FedEx_Markup),2)</f>
        <v>105.32</v>
      </c>
      <c r="L84" s="218">
        <f>ROUND((IF('Ground Base'!L$154&gt;ROUND(((1-GroundZone54Discount)*'Ground Base'!L79),2),ROUND('Ground Base'!L$154*(1+GroundFuelSurcharge),2),ROUND(((1-GroundZone54Discount)*'Ground Base'!L79)*(1+GroundFuelSurcharge),2)))*(1+FedEx_Markup),2)</f>
        <v>124.32</v>
      </c>
    </row>
    <row r="85" spans="1:26" ht="12.75" customHeight="1">
      <c r="A85" s="217">
        <v>78</v>
      </c>
      <c r="B85" s="218">
        <f>ROUND((IF('Ground Base'!B$154&gt;ROUND(((1-GroundCommDiscount31Up-GroundCommIncentive)*'Ground Base'!B80),2),ROUND('Ground Base'!B$154*(1+GroundFuelSurcharge),2),ROUND(((1-GroundCommDiscount31Up-GroundCommIncentive)*'Ground Base'!B80)*(1+GroundFuelSurcharge),2)))*(1+FedEx_Markup),2)</f>
        <v>26.36</v>
      </c>
      <c r="C85" s="218">
        <f>ROUND((IF('Ground Base'!C$154&gt;ROUND(((1-GroundCommDiscount31Up-GroundCommIncentive)*'Ground Base'!C80),2),ROUND('Ground Base'!C$154*(1+GroundFuelSurcharge),2),ROUND(((1-GroundCommDiscount31Up-GroundCommIncentive)*'Ground Base'!C80)*(1+GroundFuelSurcharge),2)))*(1+FedEx_Markup),2)</f>
        <v>30.84</v>
      </c>
      <c r="D85" s="218">
        <f>ROUND((IF('Ground Base'!D$154&gt;ROUND(((1-GroundCommDiscount31Up-GroundCommIncentive)*'Ground Base'!D80),2),ROUND('Ground Base'!D$154*(1+GroundFuelSurcharge),2),ROUND(((1-GroundCommDiscount31Up-GroundCommIncentive)*'Ground Base'!D80)*(1+GroundFuelSurcharge),2)))*(1+FedEx_Markup),2)</f>
        <v>34.94</v>
      </c>
      <c r="E85" s="218">
        <f>ROUND((IF('Ground Base'!E$154&gt;ROUND(((1-GroundCommDiscount31Up-GroundCommIncentive)*'Ground Base'!E80),2),ROUND('Ground Base'!E$154*(1+GroundFuelSurcharge),2),ROUND(((1-GroundCommDiscount31Up-GroundCommIncentive)*'Ground Base'!E80)*(1+GroundFuelSurcharge),2)))*(1+FedEx_Markup),2)</f>
        <v>41.85</v>
      </c>
      <c r="F85" s="218">
        <f>ROUND((IF('Ground Base'!F$154&gt;ROUND(((1-GroundCommDiscount31Up-GroundCommIncentive)*'Ground Base'!F80),2),ROUND('Ground Base'!F$154*(1+GroundFuelSurcharge),2),ROUND(((1-GroundCommDiscount31Up-GroundCommIncentive)*'Ground Base'!F80)*(1+GroundFuelSurcharge),2)))*(1+FedEx_Markup),2)</f>
        <v>50.8</v>
      </c>
      <c r="G85" s="218">
        <f>ROUND((IF('Ground Base'!G$154&gt;ROUND(((1-GroundCommDiscount31Up-GroundCommIncentive)*'Ground Base'!G80),2),ROUND('Ground Base'!G$154*(1+GroundFuelSurcharge),2),ROUND(((1-GroundCommDiscount31Up-GroundCommIncentive)*'Ground Base'!G80)*(1+GroundFuelSurcharge),2)))*(1+FedEx_Markup),2)</f>
        <v>60.24</v>
      </c>
      <c r="H85" s="218">
        <f>ROUND((IF('Ground Base'!H$154&gt;ROUND(((1-GroundCommDiscount31Up-GroundCommIncentive)*'Ground Base'!H80),2),ROUND('Ground Base'!H$154*(1+GroundFuelSurcharge),2),ROUND(((1-GroundCommDiscount31Up-GroundCommIncentive)*'Ground Base'!H80)*(1+GroundFuelSurcharge),2)))*(1+FedEx_Markup),2)</f>
        <v>64.58</v>
      </c>
      <c r="I85" s="218">
        <f>ROUND((IF('Ground Base'!I$154&gt;ROUND(((1-GroundAKHIDiscount)*'Ground Base'!I80),2),ROUND('Ground Base'!I$154*(1+GroundFuelSurcharge),2),ROUND(((1-GroundAKHIDiscount)*'Ground Base'!I80)*(1+GroundFuelSurcharge),2)))*(1+FedEx_Markup),2)</f>
        <v>398.67</v>
      </c>
      <c r="J85" s="218">
        <f>ROUND((IF('Ground Base'!J$154&gt;ROUND(((1-GroundAKHIDiscount)*'Ground Base'!J80),2),ROUND('Ground Base'!J$154*(1+GroundFuelSurcharge),2),ROUND(((1-GroundAKHIDiscount)*'Ground Base'!J80)*(1+GroundFuelSurcharge),2)))*(1+FedEx_Markup),2)</f>
        <v>398.67</v>
      </c>
      <c r="K85" s="218">
        <f>ROUND((IF('Ground Base'!K$154&gt;ROUND(((1-GroundZone51Discount)*'Ground Base'!K80),2),ROUND('Ground Base'!K$154*(1+GroundFuelSurcharge),2),ROUND(((1-GroundZone51Discount)*'Ground Base'!K80)*(1+GroundFuelSurcharge),2)))*(1+FedEx_Markup),2)</f>
        <v>105.33</v>
      </c>
      <c r="L85" s="218">
        <f>ROUND((IF('Ground Base'!L$154&gt;ROUND(((1-GroundZone54Discount)*'Ground Base'!L80),2),ROUND('Ground Base'!L$154*(1+GroundFuelSurcharge),2),ROUND(((1-GroundZone54Discount)*'Ground Base'!L80)*(1+GroundFuelSurcharge),2)))*(1+FedEx_Markup),2)</f>
        <v>124.33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2.75" customHeight="1">
      <c r="A86" s="217">
        <v>79</v>
      </c>
      <c r="B86" s="218">
        <f>ROUND((IF('Ground Base'!B$154&gt;ROUND(((1-GroundCommDiscount31Up-GroundCommIncentive)*'Ground Base'!B81),2),ROUND('Ground Base'!B$154*(1+GroundFuelSurcharge),2),ROUND(((1-GroundCommDiscount31Up-GroundCommIncentive)*'Ground Base'!B81)*(1+GroundFuelSurcharge),2)))*(1+FedEx_Markup),2)</f>
        <v>27.54</v>
      </c>
      <c r="C86" s="218">
        <f>ROUND((IF('Ground Base'!C$154&gt;ROUND(((1-GroundCommDiscount31Up-GroundCommIncentive)*'Ground Base'!C81),2),ROUND('Ground Base'!C$154*(1+GroundFuelSurcharge),2),ROUND(((1-GroundCommDiscount31Up-GroundCommIncentive)*'Ground Base'!C81)*(1+GroundFuelSurcharge),2)))*(1+FedEx_Markup),2)</f>
        <v>32.130000000000003</v>
      </c>
      <c r="D86" s="218">
        <f>ROUND((IF('Ground Base'!D$154&gt;ROUND(((1-GroundCommDiscount31Up-GroundCommIncentive)*'Ground Base'!D81),2),ROUND('Ground Base'!D$154*(1+GroundFuelSurcharge),2),ROUND(((1-GroundCommDiscount31Up-GroundCommIncentive)*'Ground Base'!D81)*(1+GroundFuelSurcharge),2)))*(1+FedEx_Markup),2)</f>
        <v>35.81</v>
      </c>
      <c r="E86" s="218">
        <f>ROUND((IF('Ground Base'!E$154&gt;ROUND(((1-GroundCommDiscount31Up-GroundCommIncentive)*'Ground Base'!E81),2),ROUND('Ground Base'!E$154*(1+GroundFuelSurcharge),2),ROUND(((1-GroundCommDiscount31Up-GroundCommIncentive)*'Ground Base'!E81)*(1+GroundFuelSurcharge),2)))*(1+FedEx_Markup),2)</f>
        <v>42.52</v>
      </c>
      <c r="F86" s="218">
        <f>ROUND((IF('Ground Base'!F$154&gt;ROUND(((1-GroundCommDiscount31Up-GroundCommIncentive)*'Ground Base'!F81),2),ROUND('Ground Base'!F$154*(1+GroundFuelSurcharge),2),ROUND(((1-GroundCommDiscount31Up-GroundCommIncentive)*'Ground Base'!F81)*(1+GroundFuelSurcharge),2)))*(1+FedEx_Markup),2)</f>
        <v>51.87</v>
      </c>
      <c r="G86" s="218">
        <f>ROUND((IF('Ground Base'!G$154&gt;ROUND(((1-GroundCommDiscount31Up-GroundCommIncentive)*'Ground Base'!G81),2),ROUND('Ground Base'!G$154*(1+GroundFuelSurcharge),2),ROUND(((1-GroundCommDiscount31Up-GroundCommIncentive)*'Ground Base'!G81)*(1+GroundFuelSurcharge),2)))*(1+FedEx_Markup),2)</f>
        <v>61.17</v>
      </c>
      <c r="H86" s="218">
        <f>ROUND((IF('Ground Base'!H$154&gt;ROUND(((1-GroundCommDiscount31Up-GroundCommIncentive)*'Ground Base'!H81),2),ROUND('Ground Base'!H$154*(1+GroundFuelSurcharge),2),ROUND(((1-GroundCommDiscount31Up-GroundCommIncentive)*'Ground Base'!H81)*(1+GroundFuelSurcharge),2)))*(1+FedEx_Markup),2)</f>
        <v>65.63</v>
      </c>
      <c r="I86" s="218">
        <f>ROUND((IF('Ground Base'!I$154&gt;ROUND(((1-GroundAKHIDiscount)*'Ground Base'!I81),2),ROUND('Ground Base'!I$154*(1+GroundFuelSurcharge),2),ROUND(((1-GroundAKHIDiscount)*'Ground Base'!I81)*(1+GroundFuelSurcharge),2)))*(1+FedEx_Markup),2)</f>
        <v>398.73</v>
      </c>
      <c r="J86" s="218">
        <f>ROUND((IF('Ground Base'!J$154&gt;ROUND(((1-GroundAKHIDiscount)*'Ground Base'!J81),2),ROUND('Ground Base'!J$154*(1+GroundFuelSurcharge),2),ROUND(((1-GroundAKHIDiscount)*'Ground Base'!J81)*(1+GroundFuelSurcharge),2)))*(1+FedEx_Markup),2)</f>
        <v>398.73</v>
      </c>
      <c r="K86" s="218">
        <f>ROUND((IF('Ground Base'!K$154&gt;ROUND(((1-GroundZone51Discount)*'Ground Base'!K81),2),ROUND('Ground Base'!K$154*(1+GroundFuelSurcharge),2),ROUND(((1-GroundZone51Discount)*'Ground Base'!K81)*(1+GroundFuelSurcharge),2)))*(1+FedEx_Markup),2)</f>
        <v>106.64</v>
      </c>
      <c r="L86" s="218">
        <f>ROUND((IF('Ground Base'!L$154&gt;ROUND(((1-GroundZone54Discount)*'Ground Base'!L81),2),ROUND('Ground Base'!L$154*(1+GroundFuelSurcharge),2),ROUND(((1-GroundZone54Discount)*'Ground Base'!L81)*(1+GroundFuelSurcharge),2)))*(1+FedEx_Markup),2)</f>
        <v>127.27</v>
      </c>
    </row>
    <row r="87" spans="1:26" ht="12.75" customHeight="1">
      <c r="A87" s="217">
        <v>80</v>
      </c>
      <c r="B87" s="218">
        <f>ROUND((IF('Ground Base'!B$154&gt;ROUND(((1-GroundCommDiscount31Up-GroundCommIncentive)*'Ground Base'!B82),2),ROUND('Ground Base'!B$154*(1+GroundFuelSurcharge),2),ROUND(((1-GroundCommDiscount31Up-GroundCommIncentive)*'Ground Base'!B82)*(1+GroundFuelSurcharge),2)))*(1+FedEx_Markup),2)</f>
        <v>28.3</v>
      </c>
      <c r="C87" s="218">
        <f>ROUND((IF('Ground Base'!C$154&gt;ROUND(((1-GroundCommDiscount31Up-GroundCommIncentive)*'Ground Base'!C82),2),ROUND('Ground Base'!C$154*(1+GroundFuelSurcharge),2),ROUND(((1-GroundCommDiscount31Up-GroundCommIncentive)*'Ground Base'!C82)*(1+GroundFuelSurcharge),2)))*(1+FedEx_Markup),2)</f>
        <v>32.75</v>
      </c>
      <c r="D87" s="218">
        <f>ROUND((IF('Ground Base'!D$154&gt;ROUND(((1-GroundCommDiscount31Up-GroundCommIncentive)*'Ground Base'!D82),2),ROUND('Ground Base'!D$154*(1+GroundFuelSurcharge),2),ROUND(((1-GroundCommDiscount31Up-GroundCommIncentive)*'Ground Base'!D82)*(1+GroundFuelSurcharge),2)))*(1+FedEx_Markup),2)</f>
        <v>35.97</v>
      </c>
      <c r="E87" s="218">
        <f>ROUND((IF('Ground Base'!E$154&gt;ROUND(((1-GroundCommDiscount31Up-GroundCommIncentive)*'Ground Base'!E82),2),ROUND('Ground Base'!E$154*(1+GroundFuelSurcharge),2),ROUND(((1-GroundCommDiscount31Up-GroundCommIncentive)*'Ground Base'!E82)*(1+GroundFuelSurcharge),2)))*(1+FedEx_Markup),2)</f>
        <v>43.52</v>
      </c>
      <c r="F87" s="218">
        <f>ROUND((IF('Ground Base'!F$154&gt;ROUND(((1-GroundCommDiscount31Up-GroundCommIncentive)*'Ground Base'!F82),2),ROUND('Ground Base'!F$154*(1+GroundFuelSurcharge),2),ROUND(((1-GroundCommDiscount31Up-GroundCommIncentive)*'Ground Base'!F82)*(1+GroundFuelSurcharge),2)))*(1+FedEx_Markup),2)</f>
        <v>52.73</v>
      </c>
      <c r="G87" s="218">
        <f>ROUND((IF('Ground Base'!G$154&gt;ROUND(((1-GroundCommDiscount31Up-GroundCommIncentive)*'Ground Base'!G82),2),ROUND('Ground Base'!G$154*(1+GroundFuelSurcharge),2),ROUND(((1-GroundCommDiscount31Up-GroundCommIncentive)*'Ground Base'!G82)*(1+GroundFuelSurcharge),2)))*(1+FedEx_Markup),2)</f>
        <v>62.02</v>
      </c>
      <c r="H87" s="218">
        <f>ROUND((IF('Ground Base'!H$154&gt;ROUND(((1-GroundCommDiscount31Up-GroundCommIncentive)*'Ground Base'!H82),2),ROUND('Ground Base'!H$154*(1+GroundFuelSurcharge),2),ROUND(((1-GroundCommDiscount31Up-GroundCommIncentive)*'Ground Base'!H82)*(1+GroundFuelSurcharge),2)))*(1+FedEx_Markup),2)</f>
        <v>66.150000000000006</v>
      </c>
      <c r="I87" s="218">
        <f>ROUND((IF('Ground Base'!I$154&gt;ROUND(((1-GroundAKHIDiscount)*'Ground Base'!I82),2),ROUND('Ground Base'!I$154*(1+GroundFuelSurcharge),2),ROUND(((1-GroundAKHIDiscount)*'Ground Base'!I82)*(1+GroundFuelSurcharge),2)))*(1+FedEx_Markup),2)</f>
        <v>402.9</v>
      </c>
      <c r="J87" s="218">
        <f>ROUND((IF('Ground Base'!J$154&gt;ROUND(((1-GroundAKHIDiscount)*'Ground Base'!J82),2),ROUND('Ground Base'!J$154*(1+GroundFuelSurcharge),2),ROUND(((1-GroundAKHIDiscount)*'Ground Base'!J82)*(1+GroundFuelSurcharge),2)))*(1+FedEx_Markup),2)</f>
        <v>402.9</v>
      </c>
      <c r="K87" s="218">
        <f>ROUND((IF('Ground Base'!K$154&gt;ROUND(((1-GroundZone51Discount)*'Ground Base'!K82),2),ROUND('Ground Base'!K$154*(1+GroundFuelSurcharge),2),ROUND(((1-GroundZone51Discount)*'Ground Base'!K82)*(1+GroundFuelSurcharge),2)))*(1+FedEx_Markup),2)</f>
        <v>106.66</v>
      </c>
      <c r="L87" s="218">
        <f>ROUND((IF('Ground Base'!L$154&gt;ROUND(((1-GroundZone54Discount)*'Ground Base'!L82),2),ROUND('Ground Base'!L$154*(1+GroundFuelSurcharge),2),ROUND(((1-GroundZone54Discount)*'Ground Base'!L82)*(1+GroundFuelSurcharge),2)))*(1+FedEx_Markup),2)</f>
        <v>127.29</v>
      </c>
    </row>
    <row r="88" spans="1:26" ht="12.75" customHeight="1">
      <c r="A88" s="217">
        <v>81</v>
      </c>
      <c r="B88" s="218">
        <f>ROUND((IF('Ground Base'!B$154&gt;ROUND(((1-GroundCommDiscount31Up-GroundCommIncentive)*'Ground Base'!B83),2),ROUND('Ground Base'!B$154*(1+GroundFuelSurcharge),2),ROUND(((1-GroundCommDiscount31Up-GroundCommIncentive)*'Ground Base'!B83)*(1+GroundFuelSurcharge),2)))*(1+FedEx_Markup),2)</f>
        <v>28.99</v>
      </c>
      <c r="C88" s="218">
        <f>ROUND((IF('Ground Base'!C$154&gt;ROUND(((1-GroundCommDiscount31Up-GroundCommIncentive)*'Ground Base'!C83),2),ROUND('Ground Base'!C$154*(1+GroundFuelSurcharge),2),ROUND(((1-GroundCommDiscount31Up-GroundCommIncentive)*'Ground Base'!C83)*(1+GroundFuelSurcharge),2)))*(1+FedEx_Markup),2)</f>
        <v>33.01</v>
      </c>
      <c r="D88" s="218">
        <f>ROUND((IF('Ground Base'!D$154&gt;ROUND(((1-GroundCommDiscount31Up-GroundCommIncentive)*'Ground Base'!D83),2),ROUND('Ground Base'!D$154*(1+GroundFuelSurcharge),2),ROUND(((1-GroundCommDiscount31Up-GroundCommIncentive)*'Ground Base'!D83)*(1+GroundFuelSurcharge),2)))*(1+FedEx_Markup),2)</f>
        <v>36.83</v>
      </c>
      <c r="E88" s="218">
        <f>ROUND((IF('Ground Base'!E$154&gt;ROUND(((1-GroundCommDiscount31Up-GroundCommIncentive)*'Ground Base'!E83),2),ROUND('Ground Base'!E$154*(1+GroundFuelSurcharge),2),ROUND(((1-GroundCommDiscount31Up-GroundCommIncentive)*'Ground Base'!E83)*(1+GroundFuelSurcharge),2)))*(1+FedEx_Markup),2)</f>
        <v>43.82</v>
      </c>
      <c r="F88" s="218">
        <f>ROUND((IF('Ground Base'!F$154&gt;ROUND(((1-GroundCommDiscount31Up-GroundCommIncentive)*'Ground Base'!F83),2),ROUND('Ground Base'!F$154*(1+GroundFuelSurcharge),2),ROUND(((1-GroundCommDiscount31Up-GroundCommIncentive)*'Ground Base'!F83)*(1+GroundFuelSurcharge),2)))*(1+FedEx_Markup),2)</f>
        <v>53.41</v>
      </c>
      <c r="G88" s="218">
        <f>ROUND((IF('Ground Base'!G$154&gt;ROUND(((1-GroundCommDiscount31Up-GroundCommIncentive)*'Ground Base'!G83),2),ROUND('Ground Base'!G$154*(1+GroundFuelSurcharge),2),ROUND(((1-GroundCommDiscount31Up-GroundCommIncentive)*'Ground Base'!G83)*(1+GroundFuelSurcharge),2)))*(1+FedEx_Markup),2)</f>
        <v>62.39</v>
      </c>
      <c r="H88" s="218">
        <f>ROUND((IF('Ground Base'!H$154&gt;ROUND(((1-GroundCommDiscount31Up-GroundCommIncentive)*'Ground Base'!H83),2),ROUND('Ground Base'!H$154*(1+GroundFuelSurcharge),2),ROUND(((1-GroundCommDiscount31Up-GroundCommIncentive)*'Ground Base'!H83)*(1+GroundFuelSurcharge),2)))*(1+FedEx_Markup),2)</f>
        <v>66.37</v>
      </c>
      <c r="I88" s="218">
        <f>ROUND((IF('Ground Base'!I$154&gt;ROUND(((1-GroundAKHIDiscount)*'Ground Base'!I83),2),ROUND('Ground Base'!I$154*(1+GroundFuelSurcharge),2),ROUND(((1-GroundAKHIDiscount)*'Ground Base'!I83)*(1+GroundFuelSurcharge),2)))*(1+FedEx_Markup),2)</f>
        <v>406.26</v>
      </c>
      <c r="J88" s="218">
        <f>ROUND((IF('Ground Base'!J$154&gt;ROUND(((1-GroundAKHIDiscount)*'Ground Base'!J83),2),ROUND('Ground Base'!J$154*(1+GroundFuelSurcharge),2),ROUND(((1-GroundAKHIDiscount)*'Ground Base'!J83)*(1+GroundFuelSurcharge),2)))*(1+FedEx_Markup),2)</f>
        <v>406.26</v>
      </c>
      <c r="K88" s="218">
        <f>ROUND((IF('Ground Base'!K$154&gt;ROUND(((1-GroundZone51Discount)*'Ground Base'!K83),2),ROUND('Ground Base'!K$154*(1+GroundFuelSurcharge),2),ROUND(((1-GroundZone51Discount)*'Ground Base'!K83)*(1+GroundFuelSurcharge),2)))*(1+FedEx_Markup),2)</f>
        <v>107.17</v>
      </c>
      <c r="L88" s="218">
        <f>ROUND((IF('Ground Base'!L$154&gt;ROUND(((1-GroundZone54Discount)*'Ground Base'!L83),2),ROUND('Ground Base'!L$154*(1+GroundFuelSurcharge),2),ROUND(((1-GroundZone54Discount)*'Ground Base'!L83)*(1+GroundFuelSurcharge),2)))*(1+FedEx_Markup),2)</f>
        <v>129.63999999999999</v>
      </c>
    </row>
    <row r="89" spans="1:26" ht="12.75" customHeight="1">
      <c r="A89" s="217">
        <v>82</v>
      </c>
      <c r="B89" s="218">
        <f>ROUND((IF('Ground Base'!B$154&gt;ROUND(((1-GroundCommDiscount31Up-GroundCommIncentive)*'Ground Base'!B84),2),ROUND('Ground Base'!B$154*(1+GroundFuelSurcharge),2),ROUND(((1-GroundCommDiscount31Up-GroundCommIncentive)*'Ground Base'!B84)*(1+GroundFuelSurcharge),2)))*(1+FedEx_Markup),2)</f>
        <v>29.93</v>
      </c>
      <c r="C89" s="218">
        <f>ROUND((IF('Ground Base'!C$154&gt;ROUND(((1-GroundCommDiscount31Up-GroundCommIncentive)*'Ground Base'!C84),2),ROUND('Ground Base'!C$154*(1+GroundFuelSurcharge),2),ROUND(((1-GroundCommDiscount31Up-GroundCommIncentive)*'Ground Base'!C84)*(1+GroundFuelSurcharge),2)))*(1+FedEx_Markup),2)</f>
        <v>33.81</v>
      </c>
      <c r="D89" s="218">
        <f>ROUND((IF('Ground Base'!D$154&gt;ROUND(((1-GroundCommDiscount31Up-GroundCommIncentive)*'Ground Base'!D84),2),ROUND('Ground Base'!D$154*(1+GroundFuelSurcharge),2),ROUND(((1-GroundCommDiscount31Up-GroundCommIncentive)*'Ground Base'!D84)*(1+GroundFuelSurcharge),2)))*(1+FedEx_Markup),2)</f>
        <v>38.51</v>
      </c>
      <c r="E89" s="218">
        <f>ROUND((IF('Ground Base'!E$154&gt;ROUND(((1-GroundCommDiscount31Up-GroundCommIncentive)*'Ground Base'!E84),2),ROUND('Ground Base'!E$154*(1+GroundFuelSurcharge),2),ROUND(((1-GroundCommDiscount31Up-GroundCommIncentive)*'Ground Base'!E84)*(1+GroundFuelSurcharge),2)))*(1+FedEx_Markup),2)</f>
        <v>44.93</v>
      </c>
      <c r="F89" s="218">
        <f>ROUND((IF('Ground Base'!F$154&gt;ROUND(((1-GroundCommDiscount31Up-GroundCommIncentive)*'Ground Base'!F84),2),ROUND('Ground Base'!F$154*(1+GroundFuelSurcharge),2),ROUND(((1-GroundCommDiscount31Up-GroundCommIncentive)*'Ground Base'!F84)*(1+GroundFuelSurcharge),2)))*(1+FedEx_Markup),2)</f>
        <v>53.54</v>
      </c>
      <c r="G89" s="218">
        <f>ROUND((IF('Ground Base'!G$154&gt;ROUND(((1-GroundCommDiscount31Up-GroundCommIncentive)*'Ground Base'!G84),2),ROUND('Ground Base'!G$154*(1+GroundFuelSurcharge),2),ROUND(((1-GroundCommDiscount31Up-GroundCommIncentive)*'Ground Base'!G84)*(1+GroundFuelSurcharge),2)))*(1+FedEx_Markup),2)</f>
        <v>64.010000000000005</v>
      </c>
      <c r="H89" s="218">
        <f>ROUND((IF('Ground Base'!H$154&gt;ROUND(((1-GroundCommDiscount31Up-GroundCommIncentive)*'Ground Base'!H84),2),ROUND('Ground Base'!H$154*(1+GroundFuelSurcharge),2),ROUND(((1-GroundCommDiscount31Up-GroundCommIncentive)*'Ground Base'!H84)*(1+GroundFuelSurcharge),2)))*(1+FedEx_Markup),2)</f>
        <v>66.38</v>
      </c>
      <c r="I89" s="218">
        <f>ROUND((IF('Ground Base'!I$154&gt;ROUND(((1-GroundAKHIDiscount)*'Ground Base'!I84),2),ROUND('Ground Base'!I$154*(1+GroundFuelSurcharge),2),ROUND(((1-GroundAKHIDiscount)*'Ground Base'!I84)*(1+GroundFuelSurcharge),2)))*(1+FedEx_Markup),2)</f>
        <v>408.31</v>
      </c>
      <c r="J89" s="218">
        <f>ROUND((IF('Ground Base'!J$154&gt;ROUND(((1-GroundAKHIDiscount)*'Ground Base'!J84),2),ROUND('Ground Base'!J$154*(1+GroundFuelSurcharge),2),ROUND(((1-GroundAKHIDiscount)*'Ground Base'!J84)*(1+GroundFuelSurcharge),2)))*(1+FedEx_Markup),2)</f>
        <v>408.31</v>
      </c>
      <c r="K89" s="218">
        <f>ROUND((IF('Ground Base'!K$154&gt;ROUND(((1-GroundZone51Discount)*'Ground Base'!K84),2),ROUND('Ground Base'!K$154*(1+GroundFuelSurcharge),2),ROUND(((1-GroundZone51Discount)*'Ground Base'!K84)*(1+GroundFuelSurcharge),2)))*(1+FedEx_Markup),2)</f>
        <v>107.17</v>
      </c>
      <c r="L89" s="218">
        <f>ROUND((IF('Ground Base'!L$154&gt;ROUND(((1-GroundZone54Discount)*'Ground Base'!L84),2),ROUND('Ground Base'!L$154*(1+GroundFuelSurcharge),2),ROUND(((1-GroundZone54Discount)*'Ground Base'!L84)*(1+GroundFuelSurcharge),2)))*(1+FedEx_Markup),2)</f>
        <v>129.65</v>
      </c>
    </row>
    <row r="90" spans="1:26" ht="12.75" customHeight="1">
      <c r="A90" s="217">
        <v>83</v>
      </c>
      <c r="B90" s="218">
        <f>ROUND((IF('Ground Base'!B$154&gt;ROUND(((1-GroundCommDiscount31Up-GroundCommIncentive)*'Ground Base'!B85),2),ROUND('Ground Base'!B$154*(1+GroundFuelSurcharge),2),ROUND(((1-GroundCommDiscount31Up-GroundCommIncentive)*'Ground Base'!B85)*(1+GroundFuelSurcharge),2)))*(1+FedEx_Markup),2)</f>
        <v>29.93</v>
      </c>
      <c r="C90" s="218">
        <f>ROUND((IF('Ground Base'!C$154&gt;ROUND(((1-GroundCommDiscount31Up-GroundCommIncentive)*'Ground Base'!C85),2),ROUND('Ground Base'!C$154*(1+GroundFuelSurcharge),2),ROUND(((1-GroundCommDiscount31Up-GroundCommIncentive)*'Ground Base'!C85)*(1+GroundFuelSurcharge),2)))*(1+FedEx_Markup),2)</f>
        <v>33.82</v>
      </c>
      <c r="D90" s="218">
        <f>ROUND((IF('Ground Base'!D$154&gt;ROUND(((1-GroundCommDiscount31Up-GroundCommIncentive)*'Ground Base'!D85),2),ROUND('Ground Base'!D$154*(1+GroundFuelSurcharge),2),ROUND(((1-GroundCommDiscount31Up-GroundCommIncentive)*'Ground Base'!D85)*(1+GroundFuelSurcharge),2)))*(1+FedEx_Markup),2)</f>
        <v>38.51</v>
      </c>
      <c r="E90" s="218">
        <f>ROUND((IF('Ground Base'!E$154&gt;ROUND(((1-GroundCommDiscount31Up-GroundCommIncentive)*'Ground Base'!E85),2),ROUND('Ground Base'!E$154*(1+GroundFuelSurcharge),2),ROUND(((1-GroundCommDiscount31Up-GroundCommIncentive)*'Ground Base'!E85)*(1+GroundFuelSurcharge),2)))*(1+FedEx_Markup),2)</f>
        <v>44.94</v>
      </c>
      <c r="F90" s="218">
        <f>ROUND((IF('Ground Base'!F$154&gt;ROUND(((1-GroundCommDiscount31Up-GroundCommIncentive)*'Ground Base'!F85),2),ROUND('Ground Base'!F$154*(1+GroundFuelSurcharge),2),ROUND(((1-GroundCommDiscount31Up-GroundCommIncentive)*'Ground Base'!F85)*(1+GroundFuelSurcharge),2)))*(1+FedEx_Markup),2)</f>
        <v>53.71</v>
      </c>
      <c r="G90" s="218">
        <f>ROUND((IF('Ground Base'!G$154&gt;ROUND(((1-GroundCommDiscount31Up-GroundCommIncentive)*'Ground Base'!G85),2),ROUND('Ground Base'!G$154*(1+GroundFuelSurcharge),2),ROUND(((1-GroundCommDiscount31Up-GroundCommIncentive)*'Ground Base'!G85)*(1+GroundFuelSurcharge),2)))*(1+FedEx_Markup),2)</f>
        <v>64.010000000000005</v>
      </c>
      <c r="H90" s="218">
        <f>ROUND((IF('Ground Base'!H$154&gt;ROUND(((1-GroundCommDiscount31Up-GroundCommIncentive)*'Ground Base'!H85),2),ROUND('Ground Base'!H$154*(1+GroundFuelSurcharge),2),ROUND(((1-GroundCommDiscount31Up-GroundCommIncentive)*'Ground Base'!H85)*(1+GroundFuelSurcharge),2)))*(1+FedEx_Markup),2)</f>
        <v>66.39</v>
      </c>
      <c r="I90" s="218">
        <f>ROUND((IF('Ground Base'!I$154&gt;ROUND(((1-GroundAKHIDiscount)*'Ground Base'!I85),2),ROUND('Ground Base'!I$154*(1+GroundFuelSurcharge),2),ROUND(((1-GroundAKHIDiscount)*'Ground Base'!I85)*(1+GroundFuelSurcharge),2)))*(1+FedEx_Markup),2)</f>
        <v>412.75</v>
      </c>
      <c r="J90" s="218">
        <f>ROUND((IF('Ground Base'!J$154&gt;ROUND(((1-GroundAKHIDiscount)*'Ground Base'!J85),2),ROUND('Ground Base'!J$154*(1+GroundFuelSurcharge),2),ROUND(((1-GroundAKHIDiscount)*'Ground Base'!J85)*(1+GroundFuelSurcharge),2)))*(1+FedEx_Markup),2)</f>
        <v>412.75</v>
      </c>
      <c r="K90" s="218">
        <f>ROUND((IF('Ground Base'!K$154&gt;ROUND(((1-GroundZone51Discount)*'Ground Base'!K85),2),ROUND('Ground Base'!K$154*(1+GroundFuelSurcharge),2),ROUND(((1-GroundZone51Discount)*'Ground Base'!K85)*(1+GroundFuelSurcharge),2)))*(1+FedEx_Markup),2)</f>
        <v>108.11</v>
      </c>
      <c r="L90" s="218">
        <f>ROUND((IF('Ground Base'!L$154&gt;ROUND(((1-GroundZone54Discount)*'Ground Base'!L85),2),ROUND('Ground Base'!L$154*(1+GroundFuelSurcharge),2),ROUND(((1-GroundZone54Discount)*'Ground Base'!L85)*(1+GroundFuelSurcharge),2)))*(1+FedEx_Markup),2)</f>
        <v>131.94999999999999</v>
      </c>
    </row>
    <row r="91" spans="1:26" ht="12.75" customHeight="1">
      <c r="A91" s="217">
        <v>84</v>
      </c>
      <c r="B91" s="218">
        <f>ROUND((IF('Ground Base'!B$154&gt;ROUND(((1-GroundCommDiscount31Up-GroundCommIncentive)*'Ground Base'!B86),2),ROUND('Ground Base'!B$154*(1+GroundFuelSurcharge),2),ROUND(((1-GroundCommDiscount31Up-GroundCommIncentive)*'Ground Base'!B86)*(1+GroundFuelSurcharge),2)))*(1+FedEx_Markup),2)</f>
        <v>31.13</v>
      </c>
      <c r="C91" s="218">
        <f>ROUND((IF('Ground Base'!C$154&gt;ROUND(((1-GroundCommDiscount31Up-GroundCommIncentive)*'Ground Base'!C86),2),ROUND('Ground Base'!C$154*(1+GroundFuelSurcharge),2),ROUND(((1-GroundCommDiscount31Up-GroundCommIncentive)*'Ground Base'!C86)*(1+GroundFuelSurcharge),2)))*(1+FedEx_Markup),2)</f>
        <v>35.17</v>
      </c>
      <c r="D91" s="218">
        <f>ROUND((IF('Ground Base'!D$154&gt;ROUND(((1-GroundCommDiscount31Up-GroundCommIncentive)*'Ground Base'!D86),2),ROUND('Ground Base'!D$154*(1+GroundFuelSurcharge),2),ROUND(((1-GroundCommDiscount31Up-GroundCommIncentive)*'Ground Base'!D86)*(1+GroundFuelSurcharge),2)))*(1+FedEx_Markup),2)</f>
        <v>39.64</v>
      </c>
      <c r="E91" s="218">
        <f>ROUND((IF('Ground Base'!E$154&gt;ROUND(((1-GroundCommDiscount31Up-GroundCommIncentive)*'Ground Base'!E86),2),ROUND('Ground Base'!E$154*(1+GroundFuelSurcharge),2),ROUND(((1-GroundCommDiscount31Up-GroundCommIncentive)*'Ground Base'!E86)*(1+GroundFuelSurcharge),2)))*(1+FedEx_Markup),2)</f>
        <v>45.38</v>
      </c>
      <c r="F91" s="218">
        <f>ROUND((IF('Ground Base'!F$154&gt;ROUND(((1-GroundCommDiscount31Up-GroundCommIncentive)*'Ground Base'!F86),2),ROUND('Ground Base'!F$154*(1+GroundFuelSurcharge),2),ROUND(((1-GroundCommDiscount31Up-GroundCommIncentive)*'Ground Base'!F86)*(1+GroundFuelSurcharge),2)))*(1+FedEx_Markup),2)</f>
        <v>55.03</v>
      </c>
      <c r="G91" s="218">
        <f>ROUND((IF('Ground Base'!G$154&gt;ROUND(((1-GroundCommDiscount31Up-GroundCommIncentive)*'Ground Base'!G86),2),ROUND('Ground Base'!G$154*(1+GroundFuelSurcharge),2),ROUND(((1-GroundCommDiscount31Up-GroundCommIncentive)*'Ground Base'!G86)*(1+GroundFuelSurcharge),2)))*(1+FedEx_Markup),2)</f>
        <v>64.78</v>
      </c>
      <c r="H91" s="218">
        <f>ROUND((IF('Ground Base'!H$154&gt;ROUND(((1-GroundCommDiscount31Up-GroundCommIncentive)*'Ground Base'!H86),2),ROUND('Ground Base'!H$154*(1+GroundFuelSurcharge),2),ROUND(((1-GroundCommDiscount31Up-GroundCommIncentive)*'Ground Base'!H86)*(1+GroundFuelSurcharge),2)))*(1+FedEx_Markup),2)</f>
        <v>66.88</v>
      </c>
      <c r="I91" s="218">
        <f>ROUND((IF('Ground Base'!I$154&gt;ROUND(((1-GroundAKHIDiscount)*'Ground Base'!I86),2),ROUND('Ground Base'!I$154*(1+GroundFuelSurcharge),2),ROUND(((1-GroundAKHIDiscount)*'Ground Base'!I86)*(1+GroundFuelSurcharge),2)))*(1+FedEx_Markup),2)</f>
        <v>417.51</v>
      </c>
      <c r="J91" s="218">
        <f>ROUND((IF('Ground Base'!J$154&gt;ROUND(((1-GroundAKHIDiscount)*'Ground Base'!J86),2),ROUND('Ground Base'!J$154*(1+GroundFuelSurcharge),2),ROUND(((1-GroundAKHIDiscount)*'Ground Base'!J86)*(1+GroundFuelSurcharge),2)))*(1+FedEx_Markup),2)</f>
        <v>417.51</v>
      </c>
      <c r="K91" s="218">
        <f>ROUND((IF('Ground Base'!K$154&gt;ROUND(((1-GroundZone51Discount)*'Ground Base'!K86),2),ROUND('Ground Base'!K$154*(1+GroundFuelSurcharge),2),ROUND(((1-GroundZone51Discount)*'Ground Base'!K86)*(1+GroundFuelSurcharge),2)))*(1+FedEx_Markup),2)</f>
        <v>108.15</v>
      </c>
      <c r="L91" s="218">
        <f>ROUND((IF('Ground Base'!L$154&gt;ROUND(((1-GroundZone54Discount)*'Ground Base'!L86),2),ROUND('Ground Base'!L$154*(1+GroundFuelSurcharge),2),ROUND(((1-GroundZone54Discount)*'Ground Base'!L86)*(1+GroundFuelSurcharge),2)))*(1+FedEx_Markup),2)</f>
        <v>131.94999999999999</v>
      </c>
    </row>
    <row r="92" spans="1:26" ht="12.75" customHeight="1">
      <c r="A92" s="217">
        <v>85</v>
      </c>
      <c r="B92" s="218">
        <f>ROUND((IF('Ground Base'!B$154&gt;ROUND(((1-GroundCommDiscount31Up-GroundCommIncentive)*'Ground Base'!B87),2),ROUND('Ground Base'!B$154*(1+GroundFuelSurcharge),2),ROUND(((1-GroundCommDiscount31Up-GroundCommIncentive)*'Ground Base'!B87)*(1+GroundFuelSurcharge),2)))*(1+FedEx_Markup),2)</f>
        <v>31.96</v>
      </c>
      <c r="C92" s="218">
        <f>ROUND((IF('Ground Base'!C$154&gt;ROUND(((1-GroundCommDiscount31Up-GroundCommIncentive)*'Ground Base'!C87),2),ROUND('Ground Base'!C$154*(1+GroundFuelSurcharge),2),ROUND(((1-GroundCommDiscount31Up-GroundCommIncentive)*'Ground Base'!C87)*(1+GroundFuelSurcharge),2)))*(1+FedEx_Markup),2)</f>
        <v>35.17</v>
      </c>
      <c r="D92" s="218">
        <f>ROUND((IF('Ground Base'!D$154&gt;ROUND(((1-GroundCommDiscount31Up-GroundCommIncentive)*'Ground Base'!D87),2),ROUND('Ground Base'!D$154*(1+GroundFuelSurcharge),2),ROUND(((1-GroundCommDiscount31Up-GroundCommIncentive)*'Ground Base'!D87)*(1+GroundFuelSurcharge),2)))*(1+FedEx_Markup),2)</f>
        <v>39.659999999999997</v>
      </c>
      <c r="E92" s="218">
        <f>ROUND((IF('Ground Base'!E$154&gt;ROUND(((1-GroundCommDiscount31Up-GroundCommIncentive)*'Ground Base'!E87),2),ROUND('Ground Base'!E$154*(1+GroundFuelSurcharge),2),ROUND(((1-GroundCommDiscount31Up-GroundCommIncentive)*'Ground Base'!E87)*(1+GroundFuelSurcharge),2)))*(1+FedEx_Markup),2)</f>
        <v>46.1</v>
      </c>
      <c r="F92" s="218">
        <f>ROUND((IF('Ground Base'!F$154&gt;ROUND(((1-GroundCommDiscount31Up-GroundCommIncentive)*'Ground Base'!F87),2),ROUND('Ground Base'!F$154*(1+GroundFuelSurcharge),2),ROUND(((1-GroundCommDiscount31Up-GroundCommIncentive)*'Ground Base'!F87)*(1+GroundFuelSurcharge),2)))*(1+FedEx_Markup),2)</f>
        <v>55.36</v>
      </c>
      <c r="G92" s="218">
        <f>ROUND((IF('Ground Base'!G$154&gt;ROUND(((1-GroundCommDiscount31Up-GroundCommIncentive)*'Ground Base'!G87),2),ROUND('Ground Base'!G$154*(1+GroundFuelSurcharge),2),ROUND(((1-GroundCommDiscount31Up-GroundCommIncentive)*'Ground Base'!G87)*(1+GroundFuelSurcharge),2)))*(1+FedEx_Markup),2)</f>
        <v>65.47</v>
      </c>
      <c r="H92" s="218">
        <f>ROUND((IF('Ground Base'!H$154&gt;ROUND(((1-GroundCommDiscount31Up-GroundCommIncentive)*'Ground Base'!H87),2),ROUND('Ground Base'!H$154*(1+GroundFuelSurcharge),2),ROUND(((1-GroundCommDiscount31Up-GroundCommIncentive)*'Ground Base'!H87)*(1+GroundFuelSurcharge),2)))*(1+FedEx_Markup),2)</f>
        <v>67.61</v>
      </c>
      <c r="I92" s="218">
        <f>ROUND((IF('Ground Base'!I$154&gt;ROUND(((1-GroundAKHIDiscount)*'Ground Base'!I87),2),ROUND('Ground Base'!I$154*(1+GroundFuelSurcharge),2),ROUND(((1-GroundAKHIDiscount)*'Ground Base'!I87)*(1+GroundFuelSurcharge),2)))*(1+FedEx_Markup),2)</f>
        <v>422.37</v>
      </c>
      <c r="J92" s="218">
        <f>ROUND((IF('Ground Base'!J$154&gt;ROUND(((1-GroundAKHIDiscount)*'Ground Base'!J87),2),ROUND('Ground Base'!J$154*(1+GroundFuelSurcharge),2),ROUND(((1-GroundAKHIDiscount)*'Ground Base'!J87)*(1+GroundFuelSurcharge),2)))*(1+FedEx_Markup),2)</f>
        <v>422.37</v>
      </c>
      <c r="K92" s="218">
        <f>ROUND((IF('Ground Base'!K$154&gt;ROUND(((1-GroundZone51Discount)*'Ground Base'!K87),2),ROUND('Ground Base'!K$154*(1+GroundFuelSurcharge),2),ROUND(((1-GroundZone51Discount)*'Ground Base'!K87)*(1+GroundFuelSurcharge),2)))*(1+FedEx_Markup),2)</f>
        <v>108.49</v>
      </c>
      <c r="L92" s="218">
        <f>ROUND((IF('Ground Base'!L$154&gt;ROUND(((1-GroundZone54Discount)*'Ground Base'!L87),2),ROUND('Ground Base'!L$154*(1+GroundFuelSurcharge),2),ROUND(((1-GroundZone54Discount)*'Ground Base'!L87)*(1+GroundFuelSurcharge),2)))*(1+FedEx_Markup),2)</f>
        <v>134.91</v>
      </c>
    </row>
    <row r="93" spans="1:26" ht="12.75" customHeight="1">
      <c r="A93" s="217">
        <v>86</v>
      </c>
      <c r="B93" s="218">
        <f>ROUND((IF('Ground Base'!B$154&gt;ROUND(((1-GroundCommDiscount31Up-GroundCommIncentive)*'Ground Base'!B88),2),ROUND('Ground Base'!B$154*(1+GroundFuelSurcharge),2),ROUND(((1-GroundCommDiscount31Up-GroundCommIncentive)*'Ground Base'!B88)*(1+GroundFuelSurcharge),2)))*(1+FedEx_Markup),2)</f>
        <v>33.130000000000003</v>
      </c>
      <c r="C93" s="218">
        <f>ROUND((IF('Ground Base'!C$154&gt;ROUND(((1-GroundCommDiscount31Up-GroundCommIncentive)*'Ground Base'!C88),2),ROUND('Ground Base'!C$154*(1+GroundFuelSurcharge),2),ROUND(((1-GroundCommDiscount31Up-GroundCommIncentive)*'Ground Base'!C88)*(1+GroundFuelSurcharge),2)))*(1+FedEx_Markup),2)</f>
        <v>37.119999999999997</v>
      </c>
      <c r="D93" s="218">
        <f>ROUND((IF('Ground Base'!D$154&gt;ROUND(((1-GroundCommDiscount31Up-GroundCommIncentive)*'Ground Base'!D88),2),ROUND('Ground Base'!D$154*(1+GroundFuelSurcharge),2),ROUND(((1-GroundCommDiscount31Up-GroundCommIncentive)*'Ground Base'!D88)*(1+GroundFuelSurcharge),2)))*(1+FedEx_Markup),2)</f>
        <v>41.22</v>
      </c>
      <c r="E93" s="218">
        <f>ROUND((IF('Ground Base'!E$154&gt;ROUND(((1-GroundCommDiscount31Up-GroundCommIncentive)*'Ground Base'!E88),2),ROUND('Ground Base'!E$154*(1+GroundFuelSurcharge),2),ROUND(((1-GroundCommDiscount31Up-GroundCommIncentive)*'Ground Base'!E88)*(1+GroundFuelSurcharge),2)))*(1+FedEx_Markup),2)</f>
        <v>46.98</v>
      </c>
      <c r="F93" s="218">
        <f>ROUND((IF('Ground Base'!F$154&gt;ROUND(((1-GroundCommDiscount31Up-GroundCommIncentive)*'Ground Base'!F88),2),ROUND('Ground Base'!F$154*(1+GroundFuelSurcharge),2),ROUND(((1-GroundCommDiscount31Up-GroundCommIncentive)*'Ground Base'!F88)*(1+GroundFuelSurcharge),2)))*(1+FedEx_Markup),2)</f>
        <v>56.55</v>
      </c>
      <c r="G93" s="218">
        <f>ROUND((IF('Ground Base'!G$154&gt;ROUND(((1-GroundCommDiscount31Up-GroundCommIncentive)*'Ground Base'!G88),2),ROUND('Ground Base'!G$154*(1+GroundFuelSurcharge),2),ROUND(((1-GroundCommDiscount31Up-GroundCommIncentive)*'Ground Base'!G88)*(1+GroundFuelSurcharge),2)))*(1+FedEx_Markup),2)</f>
        <v>67.319999999999993</v>
      </c>
      <c r="H93" s="218">
        <f>ROUND((IF('Ground Base'!H$154&gt;ROUND(((1-GroundCommDiscount31Up-GroundCommIncentive)*'Ground Base'!H88),2),ROUND('Ground Base'!H$154*(1+GroundFuelSurcharge),2),ROUND(((1-GroundCommDiscount31Up-GroundCommIncentive)*'Ground Base'!H88)*(1+GroundFuelSurcharge),2)))*(1+FedEx_Markup),2)</f>
        <v>69.69</v>
      </c>
      <c r="I93" s="218">
        <f>ROUND((IF('Ground Base'!I$154&gt;ROUND(((1-GroundAKHIDiscount)*'Ground Base'!I88),2),ROUND('Ground Base'!I$154*(1+GroundFuelSurcharge),2),ROUND(((1-GroundAKHIDiscount)*'Ground Base'!I88)*(1+GroundFuelSurcharge),2)))*(1+FedEx_Markup),2)</f>
        <v>426.81</v>
      </c>
      <c r="J93" s="218">
        <f>ROUND((IF('Ground Base'!J$154&gt;ROUND(((1-GroundAKHIDiscount)*'Ground Base'!J88),2),ROUND('Ground Base'!J$154*(1+GroundFuelSurcharge),2),ROUND(((1-GroundAKHIDiscount)*'Ground Base'!J88)*(1+GroundFuelSurcharge),2)))*(1+FedEx_Markup),2)</f>
        <v>426.81</v>
      </c>
      <c r="K93" s="218">
        <f>ROUND((IF('Ground Base'!K$154&gt;ROUND(((1-GroundZone51Discount)*'Ground Base'!K88),2),ROUND('Ground Base'!K$154*(1+GroundFuelSurcharge),2),ROUND(((1-GroundZone51Discount)*'Ground Base'!K88)*(1+GroundFuelSurcharge),2)))*(1+FedEx_Markup),2)</f>
        <v>108.5</v>
      </c>
      <c r="L93" s="218">
        <f>ROUND((IF('Ground Base'!L$154&gt;ROUND(((1-GroundZone54Discount)*'Ground Base'!L88),2),ROUND('Ground Base'!L$154*(1+GroundFuelSurcharge),2),ROUND(((1-GroundZone54Discount)*'Ground Base'!L88)*(1+GroundFuelSurcharge),2)))*(1+FedEx_Markup),2)</f>
        <v>134.91999999999999</v>
      </c>
    </row>
    <row r="94" spans="1:26" ht="12.75" customHeight="1">
      <c r="A94" s="217">
        <v>87</v>
      </c>
      <c r="B94" s="218">
        <f>ROUND((IF('Ground Base'!B$154&gt;ROUND(((1-GroundCommDiscount31Up-GroundCommIncentive)*'Ground Base'!B89),2),ROUND('Ground Base'!B$154*(1+GroundFuelSurcharge),2),ROUND(((1-GroundCommDiscount31Up-GroundCommIncentive)*'Ground Base'!B89)*(1+GroundFuelSurcharge),2)))*(1+FedEx_Markup),2)</f>
        <v>33.81</v>
      </c>
      <c r="C94" s="218">
        <f>ROUND((IF('Ground Base'!C$154&gt;ROUND(((1-GroundCommDiscount31Up-GroundCommIncentive)*'Ground Base'!C89),2),ROUND('Ground Base'!C$154*(1+GroundFuelSurcharge),2),ROUND(((1-GroundCommDiscount31Up-GroundCommIncentive)*'Ground Base'!C89)*(1+GroundFuelSurcharge),2)))*(1+FedEx_Markup),2)</f>
        <v>37.130000000000003</v>
      </c>
      <c r="D94" s="218">
        <f>ROUND((IF('Ground Base'!D$154&gt;ROUND(((1-GroundCommDiscount31Up-GroundCommIncentive)*'Ground Base'!D89),2),ROUND('Ground Base'!D$154*(1+GroundFuelSurcharge),2),ROUND(((1-GroundCommDiscount31Up-GroundCommIncentive)*'Ground Base'!D89)*(1+GroundFuelSurcharge),2)))*(1+FedEx_Markup),2)</f>
        <v>41.23</v>
      </c>
      <c r="E94" s="218">
        <f>ROUND((IF('Ground Base'!E$154&gt;ROUND(((1-GroundCommDiscount31Up-GroundCommIncentive)*'Ground Base'!E89),2),ROUND('Ground Base'!E$154*(1+GroundFuelSurcharge),2),ROUND(((1-GroundCommDiscount31Up-GroundCommIncentive)*'Ground Base'!E89)*(1+GroundFuelSurcharge),2)))*(1+FedEx_Markup),2)</f>
        <v>46.98</v>
      </c>
      <c r="F94" s="218">
        <f>ROUND((IF('Ground Base'!F$154&gt;ROUND(((1-GroundCommDiscount31Up-GroundCommIncentive)*'Ground Base'!F89),2),ROUND('Ground Base'!F$154*(1+GroundFuelSurcharge),2),ROUND(((1-GroundCommDiscount31Up-GroundCommIncentive)*'Ground Base'!F89)*(1+GroundFuelSurcharge),2)))*(1+FedEx_Markup),2)</f>
        <v>57.29</v>
      </c>
      <c r="G94" s="218">
        <f>ROUND((IF('Ground Base'!G$154&gt;ROUND(((1-GroundCommDiscount31Up-GroundCommIncentive)*'Ground Base'!G89),2),ROUND('Ground Base'!G$154*(1+GroundFuelSurcharge),2),ROUND(((1-GroundCommDiscount31Up-GroundCommIncentive)*'Ground Base'!G89)*(1+GroundFuelSurcharge),2)))*(1+FedEx_Markup),2)</f>
        <v>67.38</v>
      </c>
      <c r="H94" s="218">
        <f>ROUND((IF('Ground Base'!H$154&gt;ROUND(((1-GroundCommDiscount31Up-GroundCommIncentive)*'Ground Base'!H89),2),ROUND('Ground Base'!H$154*(1+GroundFuelSurcharge),2),ROUND(((1-GroundCommDiscount31Up-GroundCommIncentive)*'Ground Base'!H89)*(1+GroundFuelSurcharge),2)))*(1+FedEx_Markup),2)</f>
        <v>69.790000000000006</v>
      </c>
      <c r="I94" s="218">
        <f>ROUND((IF('Ground Base'!I$154&gt;ROUND(((1-GroundAKHIDiscount)*'Ground Base'!I89),2),ROUND('Ground Base'!I$154*(1+GroundFuelSurcharge),2),ROUND(((1-GroundAKHIDiscount)*'Ground Base'!I89)*(1+GroundFuelSurcharge),2)))*(1+FedEx_Markup),2)</f>
        <v>431.62</v>
      </c>
      <c r="J94" s="218">
        <f>ROUND((IF('Ground Base'!J$154&gt;ROUND(((1-GroundAKHIDiscount)*'Ground Base'!J89),2),ROUND('Ground Base'!J$154*(1+GroundFuelSurcharge),2),ROUND(((1-GroundAKHIDiscount)*'Ground Base'!J89)*(1+GroundFuelSurcharge),2)))*(1+FedEx_Markup),2)</f>
        <v>431.62</v>
      </c>
      <c r="K94" s="218">
        <f>ROUND((IF('Ground Base'!K$154&gt;ROUND(((1-GroundZone51Discount)*'Ground Base'!K89),2),ROUND('Ground Base'!K$154*(1+GroundFuelSurcharge),2),ROUND(((1-GroundZone51Discount)*'Ground Base'!K89)*(1+GroundFuelSurcharge),2)))*(1+FedEx_Markup),2)</f>
        <v>109.79</v>
      </c>
      <c r="L94" s="218">
        <f>ROUND((IF('Ground Base'!L$154&gt;ROUND(((1-GroundZone54Discount)*'Ground Base'!L89),2),ROUND('Ground Base'!L$154*(1+GroundFuelSurcharge),2),ROUND(((1-GroundZone54Discount)*'Ground Base'!L89)*(1+GroundFuelSurcharge),2)))*(1+FedEx_Markup),2)</f>
        <v>137.13</v>
      </c>
    </row>
    <row r="95" spans="1:26" ht="12.75" customHeight="1">
      <c r="A95" s="217">
        <v>88</v>
      </c>
      <c r="B95" s="218">
        <f>ROUND((IF('Ground Base'!B$154&gt;ROUND(((1-GroundCommDiscount31Up-GroundCommIncentive)*'Ground Base'!B90),2),ROUND('Ground Base'!B$154*(1+GroundFuelSurcharge),2),ROUND(((1-GroundCommDiscount31Up-GroundCommIncentive)*'Ground Base'!B90)*(1+GroundFuelSurcharge),2)))*(1+FedEx_Markup),2)</f>
        <v>35.21</v>
      </c>
      <c r="C95" s="218">
        <f>ROUND((IF('Ground Base'!C$154&gt;ROUND(((1-GroundCommDiscount31Up-GroundCommIncentive)*'Ground Base'!C90),2),ROUND('Ground Base'!C$154*(1+GroundFuelSurcharge),2),ROUND(((1-GroundCommDiscount31Up-GroundCommIncentive)*'Ground Base'!C90)*(1+GroundFuelSurcharge),2)))*(1+FedEx_Markup),2)</f>
        <v>37.96</v>
      </c>
      <c r="D95" s="218">
        <f>ROUND((IF('Ground Base'!D$154&gt;ROUND(((1-GroundCommDiscount31Up-GroundCommIncentive)*'Ground Base'!D90),2),ROUND('Ground Base'!D$154*(1+GroundFuelSurcharge),2),ROUND(((1-GroundCommDiscount31Up-GroundCommIncentive)*'Ground Base'!D90)*(1+GroundFuelSurcharge),2)))*(1+FedEx_Markup),2)</f>
        <v>42.52</v>
      </c>
      <c r="E95" s="218">
        <f>ROUND((IF('Ground Base'!E$154&gt;ROUND(((1-GroundCommDiscount31Up-GroundCommIncentive)*'Ground Base'!E90),2),ROUND('Ground Base'!E$154*(1+GroundFuelSurcharge),2),ROUND(((1-GroundCommDiscount31Up-GroundCommIncentive)*'Ground Base'!E90)*(1+GroundFuelSurcharge),2)))*(1+FedEx_Markup),2)</f>
        <v>48.5</v>
      </c>
      <c r="F95" s="218">
        <f>ROUND((IF('Ground Base'!F$154&gt;ROUND(((1-GroundCommDiscount31Up-GroundCommIncentive)*'Ground Base'!F90),2),ROUND('Ground Base'!F$154*(1+GroundFuelSurcharge),2),ROUND(((1-GroundCommDiscount31Up-GroundCommIncentive)*'Ground Base'!F90)*(1+GroundFuelSurcharge),2)))*(1+FedEx_Markup),2)</f>
        <v>57.5</v>
      </c>
      <c r="G95" s="218">
        <f>ROUND((IF('Ground Base'!G$154&gt;ROUND(((1-GroundCommDiscount31Up-GroundCommIncentive)*'Ground Base'!G90),2),ROUND('Ground Base'!G$154*(1+GroundFuelSurcharge),2),ROUND(((1-GroundCommDiscount31Up-GroundCommIncentive)*'Ground Base'!G90)*(1+GroundFuelSurcharge),2)))*(1+FedEx_Markup),2)</f>
        <v>67.45</v>
      </c>
      <c r="H95" s="218">
        <f>ROUND((IF('Ground Base'!H$154&gt;ROUND(((1-GroundCommDiscount31Up-GroundCommIncentive)*'Ground Base'!H90),2),ROUND('Ground Base'!H$154*(1+GroundFuelSurcharge),2),ROUND(((1-GroundCommDiscount31Up-GroundCommIncentive)*'Ground Base'!H90)*(1+GroundFuelSurcharge),2)))*(1+FedEx_Markup),2)</f>
        <v>70.56</v>
      </c>
      <c r="I95" s="218">
        <f>ROUND((IF('Ground Base'!I$154&gt;ROUND(((1-GroundAKHIDiscount)*'Ground Base'!I90),2),ROUND('Ground Base'!I$154*(1+GroundFuelSurcharge),2),ROUND(((1-GroundAKHIDiscount)*'Ground Base'!I90)*(1+GroundFuelSurcharge),2)))*(1+FedEx_Markup),2)</f>
        <v>436.38</v>
      </c>
      <c r="J95" s="218">
        <f>ROUND((IF('Ground Base'!J$154&gt;ROUND(((1-GroundAKHIDiscount)*'Ground Base'!J90),2),ROUND('Ground Base'!J$154*(1+GroundFuelSurcharge),2),ROUND(((1-GroundAKHIDiscount)*'Ground Base'!J90)*(1+GroundFuelSurcharge),2)))*(1+FedEx_Markup),2)</f>
        <v>436.38</v>
      </c>
      <c r="K95" s="218">
        <f>ROUND((IF('Ground Base'!K$154&gt;ROUND(((1-GroundZone51Discount)*'Ground Base'!K90),2),ROUND('Ground Base'!K$154*(1+GroundFuelSurcharge),2),ROUND(((1-GroundZone51Discount)*'Ground Base'!K90)*(1+GroundFuelSurcharge),2)))*(1+FedEx_Markup),2)</f>
        <v>109.8</v>
      </c>
      <c r="L95" s="218">
        <f>ROUND((IF('Ground Base'!L$154&gt;ROUND(((1-GroundZone54Discount)*'Ground Base'!L90),2),ROUND('Ground Base'!L$154*(1+GroundFuelSurcharge),2),ROUND(((1-GroundZone54Discount)*'Ground Base'!L90)*(1+GroundFuelSurcharge),2)))*(1+FedEx_Markup),2)</f>
        <v>137.13999999999999</v>
      </c>
    </row>
    <row r="96" spans="1:26" ht="12.75" customHeight="1">
      <c r="A96" s="217">
        <v>89</v>
      </c>
      <c r="B96" s="218">
        <f>ROUND((IF('Ground Base'!B$154&gt;ROUND(((1-GroundCommDiscount31Up-GroundCommIncentive)*'Ground Base'!B91),2),ROUND('Ground Base'!B$154*(1+GroundFuelSurcharge),2),ROUND(((1-GroundCommDiscount31Up-GroundCommIncentive)*'Ground Base'!B91)*(1+GroundFuelSurcharge),2)))*(1+FedEx_Markup),2)</f>
        <v>36.79</v>
      </c>
      <c r="C96" s="218">
        <f>ROUND((IF('Ground Base'!C$154&gt;ROUND(((1-GroundCommDiscount31Up-GroundCommIncentive)*'Ground Base'!C91),2),ROUND('Ground Base'!C$154*(1+GroundFuelSurcharge),2),ROUND(((1-GroundCommDiscount31Up-GroundCommIncentive)*'Ground Base'!C91)*(1+GroundFuelSurcharge),2)))*(1+FedEx_Markup),2)</f>
        <v>39.020000000000003</v>
      </c>
      <c r="D96" s="218">
        <f>ROUND((IF('Ground Base'!D$154&gt;ROUND(((1-GroundCommDiscount31Up-GroundCommIncentive)*'Ground Base'!D91),2),ROUND('Ground Base'!D$154*(1+GroundFuelSurcharge),2),ROUND(((1-GroundCommDiscount31Up-GroundCommIncentive)*'Ground Base'!D91)*(1+GroundFuelSurcharge),2)))*(1+FedEx_Markup),2)</f>
        <v>43.34</v>
      </c>
      <c r="E96" s="218">
        <f>ROUND((IF('Ground Base'!E$154&gt;ROUND(((1-GroundCommDiscount31Up-GroundCommIncentive)*'Ground Base'!E91),2),ROUND('Ground Base'!E$154*(1+GroundFuelSurcharge),2),ROUND(((1-GroundCommDiscount31Up-GroundCommIncentive)*'Ground Base'!E91)*(1+GroundFuelSurcharge),2)))*(1+FedEx_Markup),2)</f>
        <v>48.66</v>
      </c>
      <c r="F96" s="218">
        <f>ROUND((IF('Ground Base'!F$154&gt;ROUND(((1-GroundCommDiscount31Up-GroundCommIncentive)*'Ground Base'!F91),2),ROUND('Ground Base'!F$154*(1+GroundFuelSurcharge),2),ROUND(((1-GroundCommDiscount31Up-GroundCommIncentive)*'Ground Base'!F91)*(1+GroundFuelSurcharge),2)))*(1+FedEx_Markup),2)</f>
        <v>58.74</v>
      </c>
      <c r="G96" s="218">
        <f>ROUND((IF('Ground Base'!G$154&gt;ROUND(((1-GroundCommDiscount31Up-GroundCommIncentive)*'Ground Base'!G91),2),ROUND('Ground Base'!G$154*(1+GroundFuelSurcharge),2),ROUND(((1-GroundCommDiscount31Up-GroundCommIncentive)*'Ground Base'!G91)*(1+GroundFuelSurcharge),2)))*(1+FedEx_Markup),2)</f>
        <v>68.14</v>
      </c>
      <c r="H96" s="218">
        <f>ROUND((IF('Ground Base'!H$154&gt;ROUND(((1-GroundCommDiscount31Up-GroundCommIncentive)*'Ground Base'!H91),2),ROUND('Ground Base'!H$154*(1+GroundFuelSurcharge),2),ROUND(((1-GroundCommDiscount31Up-GroundCommIncentive)*'Ground Base'!H91)*(1+GroundFuelSurcharge),2)))*(1+FedEx_Markup),2)</f>
        <v>72.040000000000006</v>
      </c>
      <c r="I96" s="218">
        <f>ROUND((IF('Ground Base'!I$154&gt;ROUND(((1-GroundAKHIDiscount)*'Ground Base'!I91),2),ROUND('Ground Base'!I$154*(1+GroundFuelSurcharge),2),ROUND(((1-GroundAKHIDiscount)*'Ground Base'!I91)*(1+GroundFuelSurcharge),2)))*(1+FedEx_Markup),2)</f>
        <v>440.94</v>
      </c>
      <c r="J96" s="218">
        <f>ROUND((IF('Ground Base'!J$154&gt;ROUND(((1-GroundAKHIDiscount)*'Ground Base'!J91),2),ROUND('Ground Base'!J$154*(1+GroundFuelSurcharge),2),ROUND(((1-GroundAKHIDiscount)*'Ground Base'!J91)*(1+GroundFuelSurcharge),2)))*(1+FedEx_Markup),2)</f>
        <v>440.94</v>
      </c>
      <c r="K96" s="218">
        <f>ROUND((IF('Ground Base'!K$154&gt;ROUND(((1-GroundZone51Discount)*'Ground Base'!K91),2),ROUND('Ground Base'!K$154*(1+GroundFuelSurcharge),2),ROUND(((1-GroundZone51Discount)*'Ground Base'!K91)*(1+GroundFuelSurcharge),2)))*(1+FedEx_Markup),2)</f>
        <v>110.54</v>
      </c>
      <c r="L96" s="218">
        <f>ROUND((IF('Ground Base'!L$154&gt;ROUND(((1-GroundZone54Discount)*'Ground Base'!L91),2),ROUND('Ground Base'!L$154*(1+GroundFuelSurcharge),2),ROUND(((1-GroundZone54Discount)*'Ground Base'!L91)*(1+GroundFuelSurcharge),2)))*(1+FedEx_Markup),2)</f>
        <v>139.32</v>
      </c>
    </row>
    <row r="97" spans="1:12" ht="12.75" customHeight="1">
      <c r="A97" s="217">
        <v>90</v>
      </c>
      <c r="B97" s="218">
        <f>ROUND((IF('Ground Base'!B$154&gt;ROUND(((1-GroundCommDiscount31Up-GroundCommIncentive)*'Ground Base'!B92),2),ROUND('Ground Base'!B$154*(1+GroundFuelSurcharge),2),ROUND(((1-GroundCommDiscount31Up-GroundCommIncentive)*'Ground Base'!B92)*(1+GroundFuelSurcharge),2)))*(1+FedEx_Markup),2)</f>
        <v>39.04</v>
      </c>
      <c r="C97" s="218">
        <f>ROUND((IF('Ground Base'!C$154&gt;ROUND(((1-GroundCommDiscount31Up-GroundCommIncentive)*'Ground Base'!C92),2),ROUND('Ground Base'!C$154*(1+GroundFuelSurcharge),2),ROUND(((1-GroundCommDiscount31Up-GroundCommIncentive)*'Ground Base'!C92)*(1+GroundFuelSurcharge),2)))*(1+FedEx_Markup),2)</f>
        <v>40.71</v>
      </c>
      <c r="D97" s="218">
        <f>ROUND((IF('Ground Base'!D$154&gt;ROUND(((1-GroundCommDiscount31Up-GroundCommIncentive)*'Ground Base'!D92),2),ROUND('Ground Base'!D$154*(1+GroundFuelSurcharge),2),ROUND(((1-GroundCommDiscount31Up-GroundCommIncentive)*'Ground Base'!D92)*(1+GroundFuelSurcharge),2)))*(1+FedEx_Markup),2)</f>
        <v>45.23</v>
      </c>
      <c r="E97" s="218">
        <f>ROUND((IF('Ground Base'!E$154&gt;ROUND(((1-GroundCommDiscount31Up-GroundCommIncentive)*'Ground Base'!E92),2),ROUND('Ground Base'!E$154*(1+GroundFuelSurcharge),2),ROUND(((1-GroundCommDiscount31Up-GroundCommIncentive)*'Ground Base'!E92)*(1+GroundFuelSurcharge),2)))*(1+FedEx_Markup),2)</f>
        <v>50.08</v>
      </c>
      <c r="F97" s="218">
        <f>ROUND((IF('Ground Base'!F$154&gt;ROUND(((1-GroundCommDiscount31Up-GroundCommIncentive)*'Ground Base'!F92),2),ROUND('Ground Base'!F$154*(1+GroundFuelSurcharge),2),ROUND(((1-GroundCommDiscount31Up-GroundCommIncentive)*'Ground Base'!F92)*(1+GroundFuelSurcharge),2)))*(1+FedEx_Markup),2)</f>
        <v>59.58</v>
      </c>
      <c r="G97" s="218">
        <f>ROUND((IF('Ground Base'!G$154&gt;ROUND(((1-GroundCommDiscount31Up-GroundCommIncentive)*'Ground Base'!G92),2),ROUND('Ground Base'!G$154*(1+GroundFuelSurcharge),2),ROUND(((1-GroundCommDiscount31Up-GroundCommIncentive)*'Ground Base'!G92)*(1+GroundFuelSurcharge),2)))*(1+FedEx_Markup),2)</f>
        <v>69.709999999999994</v>
      </c>
      <c r="H97" s="218">
        <f>ROUND((IF('Ground Base'!H$154&gt;ROUND(((1-GroundCommDiscount31Up-GroundCommIncentive)*'Ground Base'!H92),2),ROUND('Ground Base'!H$154*(1+GroundFuelSurcharge),2),ROUND(((1-GroundCommDiscount31Up-GroundCommIncentive)*'Ground Base'!H92)*(1+GroundFuelSurcharge),2)))*(1+FedEx_Markup),2)</f>
        <v>73.459999999999994</v>
      </c>
      <c r="I97" s="218">
        <f>ROUND((IF('Ground Base'!I$154&gt;ROUND(((1-GroundAKHIDiscount)*'Ground Base'!I92),2),ROUND('Ground Base'!I$154*(1+GroundFuelSurcharge),2),ROUND(((1-GroundAKHIDiscount)*'Ground Base'!I92)*(1+GroundFuelSurcharge),2)))*(1+FedEx_Markup),2)</f>
        <v>445.4</v>
      </c>
      <c r="J97" s="218">
        <f>ROUND((IF('Ground Base'!J$154&gt;ROUND(((1-GroundAKHIDiscount)*'Ground Base'!J92),2),ROUND('Ground Base'!J$154*(1+GroundFuelSurcharge),2),ROUND(((1-GroundAKHIDiscount)*'Ground Base'!J92)*(1+GroundFuelSurcharge),2)))*(1+FedEx_Markup),2)</f>
        <v>445.4</v>
      </c>
      <c r="K97" s="218">
        <f>ROUND((IF('Ground Base'!K$154&gt;ROUND(((1-GroundZone51Discount)*'Ground Base'!K92),2),ROUND('Ground Base'!K$154*(1+GroundFuelSurcharge),2),ROUND(((1-GroundZone51Discount)*'Ground Base'!K92)*(1+GroundFuelSurcharge),2)))*(1+FedEx_Markup),2)</f>
        <v>110.54</v>
      </c>
      <c r="L97" s="218">
        <f>ROUND((IF('Ground Base'!L$154&gt;ROUND(((1-GroundZone54Discount)*'Ground Base'!L92),2),ROUND('Ground Base'!L$154*(1+GroundFuelSurcharge),2),ROUND(((1-GroundZone54Discount)*'Ground Base'!L92)*(1+GroundFuelSurcharge),2)))*(1+FedEx_Markup),2)</f>
        <v>139.32</v>
      </c>
    </row>
    <row r="98" spans="1:12" ht="12.75" customHeight="1">
      <c r="A98" s="217">
        <v>91</v>
      </c>
      <c r="B98" s="218">
        <f>ROUND((IF('Ground Base'!B$154&gt;ROUND(((1-GroundCommDiscount31Up-GroundCommIncentive)*'Ground Base'!B93),2),ROUND('Ground Base'!B$154*(1+GroundFuelSurcharge),2),ROUND(((1-GroundCommDiscount31Up-GroundCommIncentive)*'Ground Base'!B93)*(1+GroundFuelSurcharge),2)))*(1+FedEx_Markup),2)</f>
        <v>39.04</v>
      </c>
      <c r="C98" s="218">
        <f>ROUND((IF('Ground Base'!C$154&gt;ROUND(((1-GroundCommDiscount31Up-GroundCommIncentive)*'Ground Base'!C93),2),ROUND('Ground Base'!C$154*(1+GroundFuelSurcharge),2),ROUND(((1-GroundCommDiscount31Up-GroundCommIncentive)*'Ground Base'!C93)*(1+GroundFuelSurcharge),2)))*(1+FedEx_Markup),2)</f>
        <v>40.72</v>
      </c>
      <c r="D98" s="218">
        <f>ROUND((IF('Ground Base'!D$154&gt;ROUND(((1-GroundCommDiscount31Up-GroundCommIncentive)*'Ground Base'!D93),2),ROUND('Ground Base'!D$154*(1+GroundFuelSurcharge),2),ROUND(((1-GroundCommDiscount31Up-GroundCommIncentive)*'Ground Base'!D93)*(1+GroundFuelSurcharge),2)))*(1+FedEx_Markup),2)</f>
        <v>45.24</v>
      </c>
      <c r="E98" s="218">
        <f>ROUND((IF('Ground Base'!E$154&gt;ROUND(((1-GroundCommDiscount31Up-GroundCommIncentive)*'Ground Base'!E93),2),ROUND('Ground Base'!E$154*(1+GroundFuelSurcharge),2),ROUND(((1-GroundCommDiscount31Up-GroundCommIncentive)*'Ground Base'!E93)*(1+GroundFuelSurcharge),2)))*(1+FedEx_Markup),2)</f>
        <v>50.08</v>
      </c>
      <c r="F98" s="218">
        <f>ROUND((IF('Ground Base'!F$154&gt;ROUND(((1-GroundCommDiscount31Up-GroundCommIncentive)*'Ground Base'!F93),2),ROUND('Ground Base'!F$154*(1+GroundFuelSurcharge),2),ROUND(((1-GroundCommDiscount31Up-GroundCommIncentive)*'Ground Base'!F93)*(1+GroundFuelSurcharge),2)))*(1+FedEx_Markup),2)</f>
        <v>59.58</v>
      </c>
      <c r="G98" s="218">
        <f>ROUND((IF('Ground Base'!G$154&gt;ROUND(((1-GroundCommDiscount31Up-GroundCommIncentive)*'Ground Base'!G93),2),ROUND('Ground Base'!G$154*(1+GroundFuelSurcharge),2),ROUND(((1-GroundCommDiscount31Up-GroundCommIncentive)*'Ground Base'!G93)*(1+GroundFuelSurcharge),2)))*(1+FedEx_Markup),2)</f>
        <v>69.72</v>
      </c>
      <c r="H98" s="218">
        <f>ROUND((IF('Ground Base'!H$154&gt;ROUND(((1-GroundCommDiscount31Up-GroundCommIncentive)*'Ground Base'!H93),2),ROUND('Ground Base'!H$154*(1+GroundFuelSurcharge),2),ROUND(((1-GroundCommDiscount31Up-GroundCommIncentive)*'Ground Base'!H93)*(1+GroundFuelSurcharge),2)))*(1+FedEx_Markup),2)</f>
        <v>73.47</v>
      </c>
      <c r="I98" s="218">
        <f>ROUND((IF('Ground Base'!I$154&gt;ROUND(((1-GroundAKHIDiscount)*'Ground Base'!I93),2),ROUND('Ground Base'!I$154*(1+GroundFuelSurcharge),2),ROUND(((1-GroundAKHIDiscount)*'Ground Base'!I93)*(1+GroundFuelSurcharge),2)))*(1+FedEx_Markup),2)</f>
        <v>450.17</v>
      </c>
      <c r="J98" s="218">
        <f>ROUND((IF('Ground Base'!J$154&gt;ROUND(((1-GroundAKHIDiscount)*'Ground Base'!J93),2),ROUND('Ground Base'!J$154*(1+GroundFuelSurcharge),2),ROUND(((1-GroundAKHIDiscount)*'Ground Base'!J93)*(1+GroundFuelSurcharge),2)))*(1+FedEx_Markup),2)</f>
        <v>450.17</v>
      </c>
      <c r="K98" s="218">
        <f>ROUND((IF('Ground Base'!K$154&gt;ROUND(((1-GroundZone51Discount)*'Ground Base'!K93),2),ROUND('Ground Base'!K$154*(1+GroundFuelSurcharge),2),ROUND(((1-GroundZone51Discount)*'Ground Base'!K93)*(1+GroundFuelSurcharge),2)))*(1+FedEx_Markup),2)</f>
        <v>111.23</v>
      </c>
      <c r="L98" s="218">
        <f>ROUND((IF('Ground Base'!L$154&gt;ROUND(((1-GroundZone54Discount)*'Ground Base'!L93),2),ROUND('Ground Base'!L$154*(1+GroundFuelSurcharge),2),ROUND(((1-GroundZone54Discount)*'Ground Base'!L93)*(1+GroundFuelSurcharge),2)))*(1+FedEx_Markup),2)</f>
        <v>141.93</v>
      </c>
    </row>
    <row r="99" spans="1:12" ht="12.75" customHeight="1">
      <c r="A99" s="217">
        <v>92</v>
      </c>
      <c r="B99" s="218">
        <f>ROUND((IF('Ground Base'!B$154&gt;ROUND(((1-GroundCommDiscount31Up-GroundCommIncentive)*'Ground Base'!B94),2),ROUND('Ground Base'!B$154*(1+GroundFuelSurcharge),2),ROUND(((1-GroundCommDiscount31Up-GroundCommIncentive)*'Ground Base'!B94)*(1+GroundFuelSurcharge),2)))*(1+FedEx_Markup),2)</f>
        <v>39.92</v>
      </c>
      <c r="C99" s="218">
        <f>ROUND((IF('Ground Base'!C$154&gt;ROUND(((1-GroundCommDiscount31Up-GroundCommIncentive)*'Ground Base'!C94),2),ROUND('Ground Base'!C$154*(1+GroundFuelSurcharge),2),ROUND(((1-GroundCommDiscount31Up-GroundCommIncentive)*'Ground Base'!C94)*(1+GroundFuelSurcharge),2)))*(1+FedEx_Markup),2)</f>
        <v>41.1</v>
      </c>
      <c r="D99" s="218">
        <f>ROUND((IF('Ground Base'!D$154&gt;ROUND(((1-GroundCommDiscount31Up-GroundCommIncentive)*'Ground Base'!D94),2),ROUND('Ground Base'!D$154*(1+GroundFuelSurcharge),2),ROUND(((1-GroundCommDiscount31Up-GroundCommIncentive)*'Ground Base'!D94)*(1+GroundFuelSurcharge),2)))*(1+FedEx_Markup),2)</f>
        <v>45.47</v>
      </c>
      <c r="E99" s="218">
        <f>ROUND((IF('Ground Base'!E$154&gt;ROUND(((1-GroundCommDiscount31Up-GroundCommIncentive)*'Ground Base'!E94),2),ROUND('Ground Base'!E$154*(1+GroundFuelSurcharge),2),ROUND(((1-GroundCommDiscount31Up-GroundCommIncentive)*'Ground Base'!E94)*(1+GroundFuelSurcharge),2)))*(1+FedEx_Markup),2)</f>
        <v>50.57</v>
      </c>
      <c r="F99" s="218">
        <f>ROUND((IF('Ground Base'!F$154&gt;ROUND(((1-GroundCommDiscount31Up-GroundCommIncentive)*'Ground Base'!F94),2),ROUND('Ground Base'!F$154*(1+GroundFuelSurcharge),2),ROUND(((1-GroundCommDiscount31Up-GroundCommIncentive)*'Ground Base'!F94)*(1+GroundFuelSurcharge),2)))*(1+FedEx_Markup),2)</f>
        <v>60.32</v>
      </c>
      <c r="G99" s="218">
        <f>ROUND((IF('Ground Base'!G$154&gt;ROUND(((1-GroundCommDiscount31Up-GroundCommIncentive)*'Ground Base'!G94),2),ROUND('Ground Base'!G$154*(1+GroundFuelSurcharge),2),ROUND(((1-GroundCommDiscount31Up-GroundCommIncentive)*'Ground Base'!G94)*(1+GroundFuelSurcharge),2)))*(1+FedEx_Markup),2)</f>
        <v>69.739999999999995</v>
      </c>
      <c r="H99" s="218">
        <f>ROUND((IF('Ground Base'!H$154&gt;ROUND(((1-GroundCommDiscount31Up-GroundCommIncentive)*'Ground Base'!H94),2),ROUND('Ground Base'!H$154*(1+GroundFuelSurcharge),2),ROUND(((1-GroundCommDiscount31Up-GroundCommIncentive)*'Ground Base'!H94)*(1+GroundFuelSurcharge),2)))*(1+FedEx_Markup),2)</f>
        <v>73.69</v>
      </c>
      <c r="I99" s="218">
        <f>ROUND((IF('Ground Base'!I$154&gt;ROUND(((1-GroundAKHIDiscount)*'Ground Base'!I94),2),ROUND('Ground Base'!I$154*(1+GroundFuelSurcharge),2),ROUND(((1-GroundAKHIDiscount)*'Ground Base'!I94)*(1+GroundFuelSurcharge),2)))*(1+FedEx_Markup),2)</f>
        <v>454.46</v>
      </c>
      <c r="J99" s="218">
        <f>ROUND((IF('Ground Base'!J$154&gt;ROUND(((1-GroundAKHIDiscount)*'Ground Base'!J94),2),ROUND('Ground Base'!J$154*(1+GroundFuelSurcharge),2),ROUND(((1-GroundAKHIDiscount)*'Ground Base'!J94)*(1+GroundFuelSurcharge),2)))*(1+FedEx_Markup),2)</f>
        <v>454.46</v>
      </c>
      <c r="K99" s="218">
        <f>ROUND((IF('Ground Base'!K$154&gt;ROUND(((1-GroundZone51Discount)*'Ground Base'!K94),2),ROUND('Ground Base'!K$154*(1+GroundFuelSurcharge),2),ROUND(((1-GroundZone51Discount)*'Ground Base'!K94)*(1+GroundFuelSurcharge),2)))*(1+FedEx_Markup),2)</f>
        <v>111.25</v>
      </c>
      <c r="L99" s="218">
        <f>ROUND((IF('Ground Base'!L$154&gt;ROUND(((1-GroundZone54Discount)*'Ground Base'!L94),2),ROUND('Ground Base'!L$154*(1+GroundFuelSurcharge),2),ROUND(((1-GroundZone54Discount)*'Ground Base'!L94)*(1+GroundFuelSurcharge),2)))*(1+FedEx_Markup),2)</f>
        <v>141.94</v>
      </c>
    </row>
    <row r="100" spans="1:12" ht="12.75" customHeight="1">
      <c r="A100" s="217">
        <v>93</v>
      </c>
      <c r="B100" s="218">
        <f>ROUND((IF('Ground Base'!B$154&gt;ROUND(((1-GroundCommDiscount31Up-GroundCommIncentive)*'Ground Base'!B95),2),ROUND('Ground Base'!B$154*(1+GroundFuelSurcharge),2),ROUND(((1-GroundCommDiscount31Up-GroundCommIncentive)*'Ground Base'!B95)*(1+GroundFuelSurcharge),2)))*(1+FedEx_Markup),2)</f>
        <v>40.43</v>
      </c>
      <c r="C100" s="218">
        <f>ROUND((IF('Ground Base'!C$154&gt;ROUND(((1-GroundCommDiscount31Up-GroundCommIncentive)*'Ground Base'!C95),2),ROUND('Ground Base'!C$154*(1+GroundFuelSurcharge),2),ROUND(((1-GroundCommDiscount31Up-GroundCommIncentive)*'Ground Base'!C95)*(1+GroundFuelSurcharge),2)))*(1+FedEx_Markup),2)</f>
        <v>41.49</v>
      </c>
      <c r="D100" s="218">
        <f>ROUND((IF('Ground Base'!D$154&gt;ROUND(((1-GroundCommDiscount31Up-GroundCommIncentive)*'Ground Base'!D95),2),ROUND('Ground Base'!D$154*(1+GroundFuelSurcharge),2),ROUND(((1-GroundCommDiscount31Up-GroundCommIncentive)*'Ground Base'!D95)*(1+GroundFuelSurcharge),2)))*(1+FedEx_Markup),2)</f>
        <v>46.33</v>
      </c>
      <c r="E100" s="218">
        <f>ROUND((IF('Ground Base'!E$154&gt;ROUND(((1-GroundCommDiscount31Up-GroundCommIncentive)*'Ground Base'!E95),2),ROUND('Ground Base'!E$154*(1+GroundFuelSurcharge),2),ROUND(((1-GroundCommDiscount31Up-GroundCommIncentive)*'Ground Base'!E95)*(1+GroundFuelSurcharge),2)))*(1+FedEx_Markup),2)</f>
        <v>50.58</v>
      </c>
      <c r="F100" s="218">
        <f>ROUND((IF('Ground Base'!F$154&gt;ROUND(((1-GroundCommDiscount31Up-GroundCommIncentive)*'Ground Base'!F95),2),ROUND('Ground Base'!F$154*(1+GroundFuelSurcharge),2),ROUND(((1-GroundCommDiscount31Up-GroundCommIncentive)*'Ground Base'!F95)*(1+GroundFuelSurcharge),2)))*(1+FedEx_Markup),2)</f>
        <v>60.33</v>
      </c>
      <c r="G100" s="218">
        <f>ROUND((IF('Ground Base'!G$154&gt;ROUND(((1-GroundCommDiscount31Up-GroundCommIncentive)*'Ground Base'!G95),2),ROUND('Ground Base'!G$154*(1+GroundFuelSurcharge),2),ROUND(((1-GroundCommDiscount31Up-GroundCommIncentive)*'Ground Base'!G95)*(1+GroundFuelSurcharge),2)))*(1+FedEx_Markup),2)</f>
        <v>69.739999999999995</v>
      </c>
      <c r="H100" s="218">
        <f>ROUND((IF('Ground Base'!H$154&gt;ROUND(((1-GroundCommDiscount31Up-GroundCommIncentive)*'Ground Base'!H95),2),ROUND('Ground Base'!H$154*(1+GroundFuelSurcharge),2),ROUND(((1-GroundCommDiscount31Up-GroundCommIncentive)*'Ground Base'!H95)*(1+GroundFuelSurcharge),2)))*(1+FedEx_Markup),2)</f>
        <v>73.69</v>
      </c>
      <c r="I100" s="218">
        <f>ROUND((IF('Ground Base'!I$154&gt;ROUND(((1-GroundAKHIDiscount)*'Ground Base'!I95),2),ROUND('Ground Base'!I$154*(1+GroundFuelSurcharge),2),ROUND(((1-GroundAKHIDiscount)*'Ground Base'!I95)*(1+GroundFuelSurcharge),2)))*(1+FedEx_Markup),2)</f>
        <v>454.6</v>
      </c>
      <c r="J100" s="218">
        <f>ROUND((IF('Ground Base'!J$154&gt;ROUND(((1-GroundAKHIDiscount)*'Ground Base'!J95),2),ROUND('Ground Base'!J$154*(1+GroundFuelSurcharge),2),ROUND(((1-GroundAKHIDiscount)*'Ground Base'!J95)*(1+GroundFuelSurcharge),2)))*(1+FedEx_Markup),2)</f>
        <v>454.6</v>
      </c>
      <c r="K100" s="218">
        <f>ROUND((IF('Ground Base'!K$154&gt;ROUND(((1-GroundZone51Discount)*'Ground Base'!K95),2),ROUND('Ground Base'!K$154*(1+GroundFuelSurcharge),2),ROUND(((1-GroundZone51Discount)*'Ground Base'!K95)*(1+GroundFuelSurcharge),2)))*(1+FedEx_Markup),2)</f>
        <v>112</v>
      </c>
      <c r="L100" s="218">
        <f>ROUND((IF('Ground Base'!L$154&gt;ROUND(((1-GroundZone54Discount)*'Ground Base'!L95),2),ROUND('Ground Base'!L$154*(1+GroundFuelSurcharge),2),ROUND(((1-GroundZone54Discount)*'Ground Base'!L95)*(1+GroundFuelSurcharge),2)))*(1+FedEx_Markup),2)</f>
        <v>144.18</v>
      </c>
    </row>
    <row r="101" spans="1:12" ht="12.75" customHeight="1">
      <c r="A101" s="217">
        <v>94</v>
      </c>
      <c r="B101" s="218">
        <f>ROUND((IF('Ground Base'!B$154&gt;ROUND(((1-GroundCommDiscount31Up-GroundCommIncentive)*'Ground Base'!B96),2),ROUND('Ground Base'!B$154*(1+GroundFuelSurcharge),2),ROUND(((1-GroundCommDiscount31Up-GroundCommIncentive)*'Ground Base'!B96)*(1+GroundFuelSurcharge),2)))*(1+FedEx_Markup),2)</f>
        <v>40.64</v>
      </c>
      <c r="C101" s="218">
        <f>ROUND((IF('Ground Base'!C$154&gt;ROUND(((1-GroundCommDiscount31Up-GroundCommIncentive)*'Ground Base'!C96),2),ROUND('Ground Base'!C$154*(1+GroundFuelSurcharge),2),ROUND(((1-GroundCommDiscount31Up-GroundCommIncentive)*'Ground Base'!C96)*(1+GroundFuelSurcharge),2)))*(1+FedEx_Markup),2)</f>
        <v>42.58</v>
      </c>
      <c r="D101" s="218">
        <f>ROUND((IF('Ground Base'!D$154&gt;ROUND(((1-GroundCommDiscount31Up-GroundCommIncentive)*'Ground Base'!D96),2),ROUND('Ground Base'!D$154*(1+GroundFuelSurcharge),2),ROUND(((1-GroundCommDiscount31Up-GroundCommIncentive)*'Ground Base'!D96)*(1+GroundFuelSurcharge),2)))*(1+FedEx_Markup),2)</f>
        <v>46.56</v>
      </c>
      <c r="E101" s="218">
        <f>ROUND((IF('Ground Base'!E$154&gt;ROUND(((1-GroundCommDiscount31Up-GroundCommIncentive)*'Ground Base'!E96),2),ROUND('Ground Base'!E$154*(1+GroundFuelSurcharge),2),ROUND(((1-GroundCommDiscount31Up-GroundCommIncentive)*'Ground Base'!E96)*(1+GroundFuelSurcharge),2)))*(1+FedEx_Markup),2)</f>
        <v>51.23</v>
      </c>
      <c r="F101" s="218">
        <f>ROUND((IF('Ground Base'!F$154&gt;ROUND(((1-GroundCommDiscount31Up-GroundCommIncentive)*'Ground Base'!F96),2),ROUND('Ground Base'!F$154*(1+GroundFuelSurcharge),2),ROUND(((1-GroundCommDiscount31Up-GroundCommIncentive)*'Ground Base'!F96)*(1+GroundFuelSurcharge),2)))*(1+FedEx_Markup),2)</f>
        <v>61.59</v>
      </c>
      <c r="G101" s="218">
        <f>ROUND((IF('Ground Base'!G$154&gt;ROUND(((1-GroundCommDiscount31Up-GroundCommIncentive)*'Ground Base'!G96),2),ROUND('Ground Base'!G$154*(1+GroundFuelSurcharge),2),ROUND(((1-GroundCommDiscount31Up-GroundCommIncentive)*'Ground Base'!G96)*(1+GroundFuelSurcharge),2)))*(1+FedEx_Markup),2)</f>
        <v>69.760000000000005</v>
      </c>
      <c r="H101" s="218">
        <f>ROUND((IF('Ground Base'!H$154&gt;ROUND(((1-GroundCommDiscount31Up-GroundCommIncentive)*'Ground Base'!H96),2),ROUND('Ground Base'!H$154*(1+GroundFuelSurcharge),2),ROUND(((1-GroundCommDiscount31Up-GroundCommIncentive)*'Ground Base'!H96)*(1+GroundFuelSurcharge),2)))*(1+FedEx_Markup),2)</f>
        <v>75.150000000000006</v>
      </c>
      <c r="I101" s="218">
        <f>ROUND((IF('Ground Base'!I$154&gt;ROUND(((1-GroundAKHIDiscount)*'Ground Base'!I96),2),ROUND('Ground Base'!I$154*(1+GroundFuelSurcharge),2),ROUND(((1-GroundAKHIDiscount)*'Ground Base'!I96)*(1+GroundFuelSurcharge),2)))*(1+FedEx_Markup),2)</f>
        <v>463.21</v>
      </c>
      <c r="J101" s="218">
        <f>ROUND((IF('Ground Base'!J$154&gt;ROUND(((1-GroundAKHIDiscount)*'Ground Base'!J96),2),ROUND('Ground Base'!J$154*(1+GroundFuelSurcharge),2),ROUND(((1-GroundAKHIDiscount)*'Ground Base'!J96)*(1+GroundFuelSurcharge),2)))*(1+FedEx_Markup),2)</f>
        <v>463.21</v>
      </c>
      <c r="K101" s="218">
        <f>ROUND((IF('Ground Base'!K$154&gt;ROUND(((1-GroundZone51Discount)*'Ground Base'!K96),2),ROUND('Ground Base'!K$154*(1+GroundFuelSurcharge),2),ROUND(((1-GroundZone51Discount)*'Ground Base'!K96)*(1+GroundFuelSurcharge),2)))*(1+FedEx_Markup),2)</f>
        <v>112.01</v>
      </c>
      <c r="L101" s="218">
        <f>ROUND((IF('Ground Base'!L$154&gt;ROUND(((1-GroundZone54Discount)*'Ground Base'!L96),2),ROUND('Ground Base'!L$154*(1+GroundFuelSurcharge),2),ROUND(((1-GroundZone54Discount)*'Ground Base'!L96)*(1+GroundFuelSurcharge),2)))*(1+FedEx_Markup),2)</f>
        <v>144.19</v>
      </c>
    </row>
    <row r="102" spans="1:12" ht="12.75" customHeight="1">
      <c r="A102" s="217">
        <v>95</v>
      </c>
      <c r="B102" s="218">
        <f>ROUND((IF('Ground Base'!B$154&gt;ROUND(((1-GroundCommDiscount31Up-GroundCommIncentive)*'Ground Base'!B97),2),ROUND('Ground Base'!B$154*(1+GroundFuelSurcharge),2),ROUND(((1-GroundCommDiscount31Up-GroundCommIncentive)*'Ground Base'!B97)*(1+GroundFuelSurcharge),2)))*(1+FedEx_Markup),2)</f>
        <v>41.19</v>
      </c>
      <c r="C102" s="218">
        <f>ROUND((IF('Ground Base'!C$154&gt;ROUND(((1-GroundCommDiscount31Up-GroundCommIncentive)*'Ground Base'!C97),2),ROUND('Ground Base'!C$154*(1+GroundFuelSurcharge),2),ROUND(((1-GroundCommDiscount31Up-GroundCommIncentive)*'Ground Base'!C97)*(1+GroundFuelSurcharge),2)))*(1+FedEx_Markup),2)</f>
        <v>42.98</v>
      </c>
      <c r="D102" s="218">
        <f>ROUND((IF('Ground Base'!D$154&gt;ROUND(((1-GroundCommDiscount31Up-GroundCommIncentive)*'Ground Base'!D97),2),ROUND('Ground Base'!D$154*(1+GroundFuelSurcharge),2),ROUND(((1-GroundCommDiscount31Up-GroundCommIncentive)*'Ground Base'!D97)*(1+GroundFuelSurcharge),2)))*(1+FedEx_Markup),2)</f>
        <v>46.87</v>
      </c>
      <c r="E102" s="218">
        <f>ROUND((IF('Ground Base'!E$154&gt;ROUND(((1-GroundCommDiscount31Up-GroundCommIncentive)*'Ground Base'!E97),2),ROUND('Ground Base'!E$154*(1+GroundFuelSurcharge),2),ROUND(((1-GroundCommDiscount31Up-GroundCommIncentive)*'Ground Base'!E97)*(1+GroundFuelSurcharge),2)))*(1+FedEx_Markup),2)</f>
        <v>51.92</v>
      </c>
      <c r="F102" s="218">
        <f>ROUND((IF('Ground Base'!F$154&gt;ROUND(((1-GroundCommDiscount31Up-GroundCommIncentive)*'Ground Base'!F97),2),ROUND('Ground Base'!F$154*(1+GroundFuelSurcharge),2),ROUND(((1-GroundCommDiscount31Up-GroundCommIncentive)*'Ground Base'!F97)*(1+GroundFuelSurcharge),2)))*(1+FedEx_Markup),2)</f>
        <v>61.78</v>
      </c>
      <c r="G102" s="218">
        <f>ROUND((IF('Ground Base'!G$154&gt;ROUND(((1-GroundCommDiscount31Up-GroundCommIncentive)*'Ground Base'!G97),2),ROUND('Ground Base'!G$154*(1+GroundFuelSurcharge),2),ROUND(((1-GroundCommDiscount31Up-GroundCommIncentive)*'Ground Base'!G97)*(1+GroundFuelSurcharge),2)))*(1+FedEx_Markup),2)</f>
        <v>70</v>
      </c>
      <c r="H102" s="218">
        <f>ROUND((IF('Ground Base'!H$154&gt;ROUND(((1-GroundCommDiscount31Up-GroundCommIncentive)*'Ground Base'!H97),2),ROUND('Ground Base'!H$154*(1+GroundFuelSurcharge),2),ROUND(((1-GroundCommDiscount31Up-GroundCommIncentive)*'Ground Base'!H97)*(1+GroundFuelSurcharge),2)))*(1+FedEx_Markup),2)</f>
        <v>75.97</v>
      </c>
      <c r="I102" s="218">
        <f>ROUND((IF('Ground Base'!I$154&gt;ROUND(((1-GroundAKHIDiscount)*'Ground Base'!I97),2),ROUND('Ground Base'!I$154*(1+GroundFuelSurcharge),2),ROUND(((1-GroundAKHIDiscount)*'Ground Base'!I97)*(1+GroundFuelSurcharge),2)))*(1+FedEx_Markup),2)</f>
        <v>467.72</v>
      </c>
      <c r="J102" s="218">
        <f>ROUND((IF('Ground Base'!J$154&gt;ROUND(((1-GroundAKHIDiscount)*'Ground Base'!J97),2),ROUND('Ground Base'!J$154*(1+GroundFuelSurcharge),2),ROUND(((1-GroundAKHIDiscount)*'Ground Base'!J97)*(1+GroundFuelSurcharge),2)))*(1+FedEx_Markup),2)</f>
        <v>467.72</v>
      </c>
      <c r="K102" s="218">
        <f>ROUND((IF('Ground Base'!K$154&gt;ROUND(((1-GroundZone51Discount)*'Ground Base'!K97),2),ROUND('Ground Base'!K$154*(1+GroundFuelSurcharge),2),ROUND(((1-GroundZone51Discount)*'Ground Base'!K97)*(1+GroundFuelSurcharge),2)))*(1+FedEx_Markup),2)</f>
        <v>112.88</v>
      </c>
      <c r="L102" s="218">
        <f>ROUND((IF('Ground Base'!L$154&gt;ROUND(((1-GroundZone54Discount)*'Ground Base'!L97),2),ROUND('Ground Base'!L$154*(1+GroundFuelSurcharge),2),ROUND(((1-GroundZone54Discount)*'Ground Base'!L97)*(1+GroundFuelSurcharge),2)))*(1+FedEx_Markup),2)</f>
        <v>146.6</v>
      </c>
    </row>
    <row r="103" spans="1:12" ht="12.75" customHeight="1">
      <c r="A103" s="217">
        <v>96</v>
      </c>
      <c r="B103" s="218">
        <f>ROUND((IF('Ground Base'!B$154&gt;ROUND(((1-GroundCommDiscount31Up-GroundCommIncentive)*'Ground Base'!B98),2),ROUND('Ground Base'!B$154*(1+GroundFuelSurcharge),2),ROUND(((1-GroundCommDiscount31Up-GroundCommIncentive)*'Ground Base'!B98)*(1+GroundFuelSurcharge),2)))*(1+FedEx_Markup),2)</f>
        <v>42.52</v>
      </c>
      <c r="C103" s="218">
        <f>ROUND((IF('Ground Base'!C$154&gt;ROUND(((1-GroundCommDiscount31Up-GroundCommIncentive)*'Ground Base'!C98),2),ROUND('Ground Base'!C$154*(1+GroundFuelSurcharge),2),ROUND(((1-GroundCommDiscount31Up-GroundCommIncentive)*'Ground Base'!C98)*(1+GroundFuelSurcharge),2)))*(1+FedEx_Markup),2)</f>
        <v>43.25</v>
      </c>
      <c r="D103" s="218">
        <f>ROUND((IF('Ground Base'!D$154&gt;ROUND(((1-GroundCommDiscount31Up-GroundCommIncentive)*'Ground Base'!D98),2),ROUND('Ground Base'!D$154*(1+GroundFuelSurcharge),2),ROUND(((1-GroundCommDiscount31Up-GroundCommIncentive)*'Ground Base'!D98)*(1+GroundFuelSurcharge),2)))*(1+FedEx_Markup),2)</f>
        <v>48.59</v>
      </c>
      <c r="E103" s="218">
        <f>ROUND((IF('Ground Base'!E$154&gt;ROUND(((1-GroundCommDiscount31Up-GroundCommIncentive)*'Ground Base'!E98),2),ROUND('Ground Base'!E$154*(1+GroundFuelSurcharge),2),ROUND(((1-GroundCommDiscount31Up-GroundCommIncentive)*'Ground Base'!E98)*(1+GroundFuelSurcharge),2)))*(1+FedEx_Markup),2)</f>
        <v>52.5</v>
      </c>
      <c r="F103" s="218">
        <f>ROUND((IF('Ground Base'!F$154&gt;ROUND(((1-GroundCommDiscount31Up-GroundCommIncentive)*'Ground Base'!F98),2),ROUND('Ground Base'!F$154*(1+GroundFuelSurcharge),2),ROUND(((1-GroundCommDiscount31Up-GroundCommIncentive)*'Ground Base'!F98)*(1+GroundFuelSurcharge),2)))*(1+FedEx_Markup),2)</f>
        <v>61.79</v>
      </c>
      <c r="G103" s="218">
        <f>ROUND((IF('Ground Base'!G$154&gt;ROUND(((1-GroundCommDiscount31Up-GroundCommIncentive)*'Ground Base'!G98),2),ROUND('Ground Base'!G$154*(1+GroundFuelSurcharge),2),ROUND(((1-GroundCommDiscount31Up-GroundCommIncentive)*'Ground Base'!G98)*(1+GroundFuelSurcharge),2)))*(1+FedEx_Markup),2)</f>
        <v>70</v>
      </c>
      <c r="H103" s="218">
        <f>ROUND((IF('Ground Base'!H$154&gt;ROUND(((1-GroundCommDiscount31Up-GroundCommIncentive)*'Ground Base'!H98),2),ROUND('Ground Base'!H$154*(1+GroundFuelSurcharge),2),ROUND(((1-GroundCommDiscount31Up-GroundCommIncentive)*'Ground Base'!H98)*(1+GroundFuelSurcharge),2)))*(1+FedEx_Markup),2)</f>
        <v>76.72</v>
      </c>
      <c r="I103" s="218">
        <f>ROUND((IF('Ground Base'!I$154&gt;ROUND(((1-GroundAKHIDiscount)*'Ground Base'!I98),2),ROUND('Ground Base'!I$154*(1+GroundFuelSurcharge),2),ROUND(((1-GroundAKHIDiscount)*'Ground Base'!I98)*(1+GroundFuelSurcharge),2)))*(1+FedEx_Markup),2)</f>
        <v>471.98</v>
      </c>
      <c r="J103" s="218">
        <f>ROUND((IF('Ground Base'!J$154&gt;ROUND(((1-GroundAKHIDiscount)*'Ground Base'!J98),2),ROUND('Ground Base'!J$154*(1+GroundFuelSurcharge),2),ROUND(((1-GroundAKHIDiscount)*'Ground Base'!J98)*(1+GroundFuelSurcharge),2)))*(1+FedEx_Markup),2)</f>
        <v>471.98</v>
      </c>
      <c r="K103" s="218">
        <f>ROUND((IF('Ground Base'!K$154&gt;ROUND(((1-GroundZone51Discount)*'Ground Base'!K98),2),ROUND('Ground Base'!K$154*(1+GroundFuelSurcharge),2),ROUND(((1-GroundZone51Discount)*'Ground Base'!K98)*(1+GroundFuelSurcharge),2)))*(1+FedEx_Markup),2)</f>
        <v>112.9</v>
      </c>
      <c r="L103" s="218">
        <f>ROUND((IF('Ground Base'!L$154&gt;ROUND(((1-GroundZone54Discount)*'Ground Base'!L98),2),ROUND('Ground Base'!L$154*(1+GroundFuelSurcharge),2),ROUND(((1-GroundZone54Discount)*'Ground Base'!L98)*(1+GroundFuelSurcharge),2)))*(1+FedEx_Markup),2)</f>
        <v>146.61000000000001</v>
      </c>
    </row>
    <row r="104" spans="1:12" ht="12.75" customHeight="1">
      <c r="A104" s="217">
        <v>97</v>
      </c>
      <c r="B104" s="218">
        <f>ROUND((IF('Ground Base'!B$154&gt;ROUND(((1-GroundCommDiscount31Up-GroundCommIncentive)*'Ground Base'!B99),2),ROUND('Ground Base'!B$154*(1+GroundFuelSurcharge),2),ROUND(((1-GroundCommDiscount31Up-GroundCommIncentive)*'Ground Base'!B99)*(1+GroundFuelSurcharge),2)))*(1+FedEx_Markup),2)</f>
        <v>43.91</v>
      </c>
      <c r="C104" s="218">
        <f>ROUND((IF('Ground Base'!C$154&gt;ROUND(((1-GroundCommDiscount31Up-GroundCommIncentive)*'Ground Base'!C99),2),ROUND('Ground Base'!C$154*(1+GroundFuelSurcharge),2),ROUND(((1-GroundCommDiscount31Up-GroundCommIncentive)*'Ground Base'!C99)*(1+GroundFuelSurcharge),2)))*(1+FedEx_Markup),2)</f>
        <v>44.94</v>
      </c>
      <c r="D104" s="218">
        <f>ROUND((IF('Ground Base'!D$154&gt;ROUND(((1-GroundCommDiscount31Up-GroundCommIncentive)*'Ground Base'!D99),2),ROUND('Ground Base'!D$154*(1+GroundFuelSurcharge),2),ROUND(((1-GroundCommDiscount31Up-GroundCommIncentive)*'Ground Base'!D99)*(1+GroundFuelSurcharge),2)))*(1+FedEx_Markup),2)</f>
        <v>49.29</v>
      </c>
      <c r="E104" s="218">
        <f>ROUND((IF('Ground Base'!E$154&gt;ROUND(((1-GroundCommDiscount31Up-GroundCommIncentive)*'Ground Base'!E99),2),ROUND('Ground Base'!E$154*(1+GroundFuelSurcharge),2),ROUND(((1-GroundCommDiscount31Up-GroundCommIncentive)*'Ground Base'!E99)*(1+GroundFuelSurcharge),2)))*(1+FedEx_Markup),2)</f>
        <v>53.34</v>
      </c>
      <c r="F104" s="218">
        <f>ROUND((IF('Ground Base'!F$154&gt;ROUND(((1-GroundCommDiscount31Up-GroundCommIncentive)*'Ground Base'!F99),2),ROUND('Ground Base'!F$154*(1+GroundFuelSurcharge),2),ROUND(((1-GroundCommDiscount31Up-GroundCommIncentive)*'Ground Base'!F99)*(1+GroundFuelSurcharge),2)))*(1+FedEx_Markup),2)</f>
        <v>63.11</v>
      </c>
      <c r="G104" s="218">
        <f>ROUND((IF('Ground Base'!G$154&gt;ROUND(((1-GroundCommDiscount31Up-GroundCommIncentive)*'Ground Base'!G99),2),ROUND('Ground Base'!G$154*(1+GroundFuelSurcharge),2),ROUND(((1-GroundCommDiscount31Up-GroundCommIncentive)*'Ground Base'!G99)*(1+GroundFuelSurcharge),2)))*(1+FedEx_Markup),2)</f>
        <v>71.010000000000005</v>
      </c>
      <c r="H104" s="218">
        <f>ROUND((IF('Ground Base'!H$154&gt;ROUND(((1-GroundCommDiscount31Up-GroundCommIncentive)*'Ground Base'!H99),2),ROUND('Ground Base'!H$154*(1+GroundFuelSurcharge),2),ROUND(((1-GroundCommDiscount31Up-GroundCommIncentive)*'Ground Base'!H99)*(1+GroundFuelSurcharge),2)))*(1+FedEx_Markup),2)</f>
        <v>78.22</v>
      </c>
      <c r="I104" s="218">
        <f>ROUND((IF('Ground Base'!I$154&gt;ROUND(((1-GroundAKHIDiscount)*'Ground Base'!I99),2),ROUND('Ground Base'!I$154*(1+GroundFuelSurcharge),2),ROUND(((1-GroundAKHIDiscount)*'Ground Base'!I99)*(1+GroundFuelSurcharge),2)))*(1+FedEx_Markup),2)</f>
        <v>476.49</v>
      </c>
      <c r="J104" s="218">
        <f>ROUND((IF('Ground Base'!J$154&gt;ROUND(((1-GroundAKHIDiscount)*'Ground Base'!J99),2),ROUND('Ground Base'!J$154*(1+GroundFuelSurcharge),2),ROUND(((1-GroundAKHIDiscount)*'Ground Base'!J99)*(1+GroundFuelSurcharge),2)))*(1+FedEx_Markup),2)</f>
        <v>476.49</v>
      </c>
      <c r="K104" s="218">
        <f>ROUND((IF('Ground Base'!K$154&gt;ROUND(((1-GroundZone51Discount)*'Ground Base'!K99),2),ROUND('Ground Base'!K$154*(1+GroundFuelSurcharge),2),ROUND(((1-GroundZone51Discount)*'Ground Base'!K99)*(1+GroundFuelSurcharge),2)))*(1+FedEx_Markup),2)</f>
        <v>113.6</v>
      </c>
      <c r="L104" s="218">
        <f>ROUND((IF('Ground Base'!L$154&gt;ROUND(((1-GroundZone54Discount)*'Ground Base'!L99),2),ROUND('Ground Base'!L$154*(1+GroundFuelSurcharge),2),ROUND(((1-GroundZone54Discount)*'Ground Base'!L99)*(1+GroundFuelSurcharge),2)))*(1+FedEx_Markup),2)</f>
        <v>149.16</v>
      </c>
    </row>
    <row r="105" spans="1:12" ht="12.75" customHeight="1">
      <c r="A105" s="217">
        <v>98</v>
      </c>
      <c r="B105" s="218">
        <f>ROUND((IF('Ground Base'!B$154&gt;ROUND(((1-GroundCommDiscount31Up-GroundCommIncentive)*'Ground Base'!B100),2),ROUND('Ground Base'!B$154*(1+GroundFuelSurcharge),2),ROUND(((1-GroundCommDiscount31Up-GroundCommIncentive)*'Ground Base'!B100)*(1+GroundFuelSurcharge),2)))*(1+FedEx_Markup),2)</f>
        <v>44.49</v>
      </c>
      <c r="C105" s="218">
        <f>ROUND((IF('Ground Base'!C$154&gt;ROUND(((1-GroundCommDiscount31Up-GroundCommIncentive)*'Ground Base'!C100),2),ROUND('Ground Base'!C$154*(1+GroundFuelSurcharge),2),ROUND(((1-GroundCommDiscount31Up-GroundCommIncentive)*'Ground Base'!C100)*(1+GroundFuelSurcharge),2)))*(1+FedEx_Markup),2)</f>
        <v>45.24</v>
      </c>
      <c r="D105" s="218">
        <f>ROUND((IF('Ground Base'!D$154&gt;ROUND(((1-GroundCommDiscount31Up-GroundCommIncentive)*'Ground Base'!D100),2),ROUND('Ground Base'!D$154*(1+GroundFuelSurcharge),2),ROUND(((1-GroundCommDiscount31Up-GroundCommIncentive)*'Ground Base'!D100)*(1+GroundFuelSurcharge),2)))*(1+FedEx_Markup),2)</f>
        <v>49.3</v>
      </c>
      <c r="E105" s="218">
        <f>ROUND((IF('Ground Base'!E$154&gt;ROUND(((1-GroundCommDiscount31Up-GroundCommIncentive)*'Ground Base'!E100),2),ROUND('Ground Base'!E$154*(1+GroundFuelSurcharge),2),ROUND(((1-GroundCommDiscount31Up-GroundCommIncentive)*'Ground Base'!E100)*(1+GroundFuelSurcharge),2)))*(1+FedEx_Markup),2)</f>
        <v>53.96</v>
      </c>
      <c r="F105" s="218">
        <f>ROUND((IF('Ground Base'!F$154&gt;ROUND(((1-GroundCommDiscount31Up-GroundCommIncentive)*'Ground Base'!F100),2),ROUND('Ground Base'!F$154*(1+GroundFuelSurcharge),2),ROUND(((1-GroundCommDiscount31Up-GroundCommIncentive)*'Ground Base'!F100)*(1+GroundFuelSurcharge),2)))*(1+FedEx_Markup),2)</f>
        <v>63.83</v>
      </c>
      <c r="G105" s="218">
        <f>ROUND((IF('Ground Base'!G$154&gt;ROUND(((1-GroundCommDiscount31Up-GroundCommIncentive)*'Ground Base'!G100),2),ROUND('Ground Base'!G$154*(1+GroundFuelSurcharge),2),ROUND(((1-GroundCommDiscount31Up-GroundCommIncentive)*'Ground Base'!G100)*(1+GroundFuelSurcharge),2)))*(1+FedEx_Markup),2)</f>
        <v>71.02</v>
      </c>
      <c r="H105" s="218">
        <f>ROUND((IF('Ground Base'!H$154&gt;ROUND(((1-GroundCommDiscount31Up-GroundCommIncentive)*'Ground Base'!H100),2),ROUND('Ground Base'!H$154*(1+GroundFuelSurcharge),2),ROUND(((1-GroundCommDiscount31Up-GroundCommIncentive)*'Ground Base'!H100)*(1+GroundFuelSurcharge),2)))*(1+FedEx_Markup),2)</f>
        <v>78.23</v>
      </c>
      <c r="I105" s="218">
        <f>ROUND((IF('Ground Base'!I$154&gt;ROUND(((1-GroundAKHIDiscount)*'Ground Base'!I100),2),ROUND('Ground Base'!I$154*(1+GroundFuelSurcharge),2),ROUND(((1-GroundAKHIDiscount)*'Ground Base'!I100)*(1+GroundFuelSurcharge),2)))*(1+FedEx_Markup),2)</f>
        <v>480.72</v>
      </c>
      <c r="J105" s="218">
        <f>ROUND((IF('Ground Base'!J$154&gt;ROUND(((1-GroundAKHIDiscount)*'Ground Base'!J100),2),ROUND('Ground Base'!J$154*(1+GroundFuelSurcharge),2),ROUND(((1-GroundAKHIDiscount)*'Ground Base'!J100)*(1+GroundFuelSurcharge),2)))*(1+FedEx_Markup),2)</f>
        <v>480.72</v>
      </c>
      <c r="K105" s="218">
        <f>ROUND((IF('Ground Base'!K$154&gt;ROUND(((1-GroundZone51Discount)*'Ground Base'!K100),2),ROUND('Ground Base'!K$154*(1+GroundFuelSurcharge),2),ROUND(((1-GroundZone51Discount)*'Ground Base'!K100)*(1+GroundFuelSurcharge),2)))*(1+FedEx_Markup),2)</f>
        <v>113.6</v>
      </c>
      <c r="L105" s="218">
        <f>ROUND((IF('Ground Base'!L$154&gt;ROUND(((1-GroundZone54Discount)*'Ground Base'!L100),2),ROUND('Ground Base'!L$154*(1+GroundFuelSurcharge),2),ROUND(((1-GroundZone54Discount)*'Ground Base'!L100)*(1+GroundFuelSurcharge),2)))*(1+FedEx_Markup),2)</f>
        <v>149.18</v>
      </c>
    </row>
    <row r="106" spans="1:12" ht="12.75" customHeight="1">
      <c r="A106" s="217">
        <v>99</v>
      </c>
      <c r="B106" s="218">
        <f>ROUND((IF('Ground Base'!B$154&gt;ROUND(((1-GroundCommDiscount31Up-GroundCommIncentive)*'Ground Base'!B101),2),ROUND('Ground Base'!B$154*(1+GroundFuelSurcharge),2),ROUND(((1-GroundCommDiscount31Up-GroundCommIncentive)*'Ground Base'!B101)*(1+GroundFuelSurcharge),2)))*(1+FedEx_Markup),2)</f>
        <v>45.1</v>
      </c>
      <c r="C106" s="218">
        <f>ROUND((IF('Ground Base'!C$154&gt;ROUND(((1-GroundCommDiscount31Up-GroundCommIncentive)*'Ground Base'!C101),2),ROUND('Ground Base'!C$154*(1+GroundFuelSurcharge),2),ROUND(((1-GroundCommDiscount31Up-GroundCommIncentive)*'Ground Base'!C101)*(1+GroundFuelSurcharge),2)))*(1+FedEx_Markup),2)</f>
        <v>45.51</v>
      </c>
      <c r="D106" s="218">
        <f>ROUND((IF('Ground Base'!D$154&gt;ROUND(((1-GroundCommDiscount31Up-GroundCommIncentive)*'Ground Base'!D101),2),ROUND('Ground Base'!D$154*(1+GroundFuelSurcharge),2),ROUND(((1-GroundCommDiscount31Up-GroundCommIncentive)*'Ground Base'!D101)*(1+GroundFuelSurcharge),2)))*(1+FedEx_Markup),2)</f>
        <v>50.21</v>
      </c>
      <c r="E106" s="218">
        <f>ROUND((IF('Ground Base'!E$154&gt;ROUND(((1-GroundCommDiscount31Up-GroundCommIncentive)*'Ground Base'!E101),2),ROUND('Ground Base'!E$154*(1+GroundFuelSurcharge),2),ROUND(((1-GroundCommDiscount31Up-GroundCommIncentive)*'Ground Base'!E101)*(1+GroundFuelSurcharge),2)))*(1+FedEx_Markup),2)</f>
        <v>54.65</v>
      </c>
      <c r="F106" s="218">
        <f>ROUND((IF('Ground Base'!F$154&gt;ROUND(((1-GroundCommDiscount31Up-GroundCommIncentive)*'Ground Base'!F101),2),ROUND('Ground Base'!F$154*(1+GroundFuelSurcharge),2),ROUND(((1-GroundCommDiscount31Up-GroundCommIncentive)*'Ground Base'!F101)*(1+GroundFuelSurcharge),2)))*(1+FedEx_Markup),2)</f>
        <v>63.97</v>
      </c>
      <c r="G106" s="218">
        <f>ROUND((IF('Ground Base'!G$154&gt;ROUND(((1-GroundCommDiscount31Up-GroundCommIncentive)*'Ground Base'!G101),2),ROUND('Ground Base'!G$154*(1+GroundFuelSurcharge),2),ROUND(((1-GroundCommDiscount31Up-GroundCommIncentive)*'Ground Base'!G101)*(1+GroundFuelSurcharge),2)))*(1+FedEx_Markup),2)</f>
        <v>71.73</v>
      </c>
      <c r="H106" s="218">
        <f>ROUND((IF('Ground Base'!H$154&gt;ROUND(((1-GroundCommDiscount31Up-GroundCommIncentive)*'Ground Base'!H101),2),ROUND('Ground Base'!H$154*(1+GroundFuelSurcharge),2),ROUND(((1-GroundCommDiscount31Up-GroundCommIncentive)*'Ground Base'!H101)*(1+GroundFuelSurcharge),2)))*(1+FedEx_Markup),2)</f>
        <v>79.03</v>
      </c>
      <c r="I106" s="218">
        <f>ROUND((IF('Ground Base'!I$154&gt;ROUND(((1-GroundAKHIDiscount)*'Ground Base'!I101),2),ROUND('Ground Base'!I$154*(1+GroundFuelSurcharge),2),ROUND(((1-GroundAKHIDiscount)*'Ground Base'!I101)*(1+GroundFuelSurcharge),2)))*(1+FedEx_Markup),2)</f>
        <v>485.22</v>
      </c>
      <c r="J106" s="218">
        <f>ROUND((IF('Ground Base'!J$154&gt;ROUND(((1-GroundAKHIDiscount)*'Ground Base'!J101),2),ROUND('Ground Base'!J$154*(1+GroundFuelSurcharge),2),ROUND(((1-GroundAKHIDiscount)*'Ground Base'!J101)*(1+GroundFuelSurcharge),2)))*(1+FedEx_Markup),2)</f>
        <v>485.22</v>
      </c>
      <c r="K106" s="218">
        <f>ROUND((IF('Ground Base'!K$154&gt;ROUND(((1-GroundZone51Discount)*'Ground Base'!K101),2),ROUND('Ground Base'!K$154*(1+GroundFuelSurcharge),2),ROUND(((1-GroundZone51Discount)*'Ground Base'!K101)*(1+GroundFuelSurcharge),2)))*(1+FedEx_Markup),2)</f>
        <v>114.16</v>
      </c>
      <c r="L106" s="218">
        <f>ROUND((IF('Ground Base'!L$154&gt;ROUND(((1-GroundZone54Discount)*'Ground Base'!L101),2),ROUND('Ground Base'!L$154*(1+GroundFuelSurcharge),2),ROUND(((1-GroundZone54Discount)*'Ground Base'!L101)*(1+GroundFuelSurcharge),2)))*(1+FedEx_Markup),2)</f>
        <v>151.29</v>
      </c>
    </row>
    <row r="107" spans="1:12" ht="12.75" customHeight="1">
      <c r="A107" s="217">
        <v>100</v>
      </c>
      <c r="B107" s="218">
        <f>ROUND((IF('Ground Base'!B$154&gt;ROUND(((1-GroundCommDiscount31Up-GroundCommIncentive)*'Ground Base'!B102),2),ROUND('Ground Base'!B$154*(1+GroundFuelSurcharge),2),ROUND(((1-GroundCommDiscount31Up-GroundCommIncentive)*'Ground Base'!B102)*(1+GroundFuelSurcharge),2)))*(1+FedEx_Markup),2)</f>
        <v>45.86</v>
      </c>
      <c r="C107" s="218">
        <f>ROUND((IF('Ground Base'!C$154&gt;ROUND(((1-GroundCommDiscount31Up-GroundCommIncentive)*'Ground Base'!C102),2),ROUND('Ground Base'!C$154*(1+GroundFuelSurcharge),2),ROUND(((1-GroundCommDiscount31Up-GroundCommIncentive)*'Ground Base'!C102)*(1+GroundFuelSurcharge),2)))*(1+FedEx_Markup),2)</f>
        <v>46.28</v>
      </c>
      <c r="D107" s="218">
        <f>ROUND((IF('Ground Base'!D$154&gt;ROUND(((1-GroundCommDiscount31Up-GroundCommIncentive)*'Ground Base'!D102),2),ROUND('Ground Base'!D$154*(1+GroundFuelSurcharge),2),ROUND(((1-GroundCommDiscount31Up-GroundCommIncentive)*'Ground Base'!D102)*(1+GroundFuelSurcharge),2)))*(1+FedEx_Markup),2)</f>
        <v>50.69</v>
      </c>
      <c r="E107" s="218">
        <f>ROUND((IF('Ground Base'!E$154&gt;ROUND(((1-GroundCommDiscount31Up-GroundCommIncentive)*'Ground Base'!E102),2),ROUND('Ground Base'!E$154*(1+GroundFuelSurcharge),2),ROUND(((1-GroundCommDiscount31Up-GroundCommIncentive)*'Ground Base'!E102)*(1+GroundFuelSurcharge),2)))*(1+FedEx_Markup),2)</f>
        <v>54.94</v>
      </c>
      <c r="F107" s="218">
        <f>ROUND((IF('Ground Base'!F$154&gt;ROUND(((1-GroundCommDiscount31Up-GroundCommIncentive)*'Ground Base'!F102),2),ROUND('Ground Base'!F$154*(1+GroundFuelSurcharge),2),ROUND(((1-GroundCommDiscount31Up-GroundCommIncentive)*'Ground Base'!F102)*(1+GroundFuelSurcharge),2)))*(1+FedEx_Markup),2)</f>
        <v>64.66</v>
      </c>
      <c r="G107" s="218">
        <f>ROUND((IF('Ground Base'!G$154&gt;ROUND(((1-GroundCommDiscount31Up-GroundCommIncentive)*'Ground Base'!G102),2),ROUND('Ground Base'!G$154*(1+GroundFuelSurcharge),2),ROUND(((1-GroundCommDiscount31Up-GroundCommIncentive)*'Ground Base'!G102)*(1+GroundFuelSurcharge),2)))*(1+FedEx_Markup),2)</f>
        <v>71.78</v>
      </c>
      <c r="H107" s="218">
        <f>ROUND((IF('Ground Base'!H$154&gt;ROUND(((1-GroundCommDiscount31Up-GroundCommIncentive)*'Ground Base'!H102),2),ROUND('Ground Base'!H$154*(1+GroundFuelSurcharge),2),ROUND(((1-GroundCommDiscount31Up-GroundCommIncentive)*'Ground Base'!H102)*(1+GroundFuelSurcharge),2)))*(1+FedEx_Markup),2)</f>
        <v>79.069999999999993</v>
      </c>
      <c r="I107" s="218">
        <f>ROUND((IF('Ground Base'!I$154&gt;ROUND(((1-GroundAKHIDiscount)*'Ground Base'!I102),2),ROUND('Ground Base'!I$154*(1+GroundFuelSurcharge),2),ROUND(((1-GroundAKHIDiscount)*'Ground Base'!I102)*(1+GroundFuelSurcharge),2)))*(1+FedEx_Markup),2)</f>
        <v>489.73</v>
      </c>
      <c r="J107" s="218">
        <f>ROUND((IF('Ground Base'!J$154&gt;ROUND(((1-GroundAKHIDiscount)*'Ground Base'!J102),2),ROUND('Ground Base'!J$154*(1+GroundFuelSurcharge),2),ROUND(((1-GroundAKHIDiscount)*'Ground Base'!J102)*(1+GroundFuelSurcharge),2)))*(1+FedEx_Markup),2)</f>
        <v>489.73</v>
      </c>
      <c r="K107" s="218">
        <f>ROUND((IF('Ground Base'!K$154&gt;ROUND(((1-GroundZone51Discount)*'Ground Base'!K102),2),ROUND('Ground Base'!K$154*(1+GroundFuelSurcharge),2),ROUND(((1-GroundZone51Discount)*'Ground Base'!K102)*(1+GroundFuelSurcharge),2)))*(1+FedEx_Markup),2)</f>
        <v>114.17</v>
      </c>
      <c r="L107" s="218">
        <f>ROUND((IF('Ground Base'!L$154&gt;ROUND(((1-GroundZone54Discount)*'Ground Base'!L102),2),ROUND('Ground Base'!L$154*(1+GroundFuelSurcharge),2),ROUND(((1-GroundZone54Discount)*'Ground Base'!L102)*(1+GroundFuelSurcharge),2)))*(1+FedEx_Markup),2)</f>
        <v>151.29</v>
      </c>
    </row>
    <row r="108" spans="1:12" ht="12.75" customHeight="1">
      <c r="A108" s="217">
        <v>101</v>
      </c>
      <c r="B108" s="218">
        <f>ROUND((IF('Ground Base'!B$154&gt;ROUND(((1-GroundCommDiscount31Up-GroundCommIncentive)*'Ground Base'!B103),2),ROUND('Ground Base'!B$154*(1+GroundFuelSurcharge),2),ROUND(((1-GroundCommDiscount31Up-GroundCommIncentive)*'Ground Base'!B103)*(1+GroundFuelSurcharge),2)))*(1+FedEx_Markup),2)</f>
        <v>46.17</v>
      </c>
      <c r="C108" s="218">
        <f>ROUND((IF('Ground Base'!C$154&gt;ROUND(((1-GroundCommDiscount31Up-GroundCommIncentive)*'Ground Base'!C103),2),ROUND('Ground Base'!C$154*(1+GroundFuelSurcharge),2),ROUND(((1-GroundCommDiscount31Up-GroundCommIncentive)*'Ground Base'!C103)*(1+GroundFuelSurcharge),2)))*(1+FedEx_Markup),2)</f>
        <v>46.72</v>
      </c>
      <c r="D108" s="218">
        <f>ROUND((IF('Ground Base'!D$154&gt;ROUND(((1-GroundCommDiscount31Up-GroundCommIncentive)*'Ground Base'!D103),2),ROUND('Ground Base'!D$154*(1+GroundFuelSurcharge),2),ROUND(((1-GroundCommDiscount31Up-GroundCommIncentive)*'Ground Base'!D103)*(1+GroundFuelSurcharge),2)))*(1+FedEx_Markup),2)</f>
        <v>50.7</v>
      </c>
      <c r="E108" s="218">
        <f>ROUND((IF('Ground Base'!E$154&gt;ROUND(((1-GroundCommDiscount31Up-GroundCommIncentive)*'Ground Base'!E103),2),ROUND('Ground Base'!E$154*(1+GroundFuelSurcharge),2),ROUND(((1-GroundCommDiscount31Up-GroundCommIncentive)*'Ground Base'!E103)*(1+GroundFuelSurcharge),2)))*(1+FedEx_Markup),2)</f>
        <v>55.46</v>
      </c>
      <c r="F108" s="218">
        <f>ROUND((IF('Ground Base'!F$154&gt;ROUND(((1-GroundCommDiscount31Up-GroundCommIncentive)*'Ground Base'!F103),2),ROUND('Ground Base'!F$154*(1+GroundFuelSurcharge),2),ROUND(((1-GroundCommDiscount31Up-GroundCommIncentive)*'Ground Base'!F103)*(1+GroundFuelSurcharge),2)))*(1+FedEx_Markup),2)</f>
        <v>65.290000000000006</v>
      </c>
      <c r="G108" s="218">
        <f>ROUND((IF('Ground Base'!G$154&gt;ROUND(((1-GroundCommDiscount31Up-GroundCommIncentive)*'Ground Base'!G103),2),ROUND('Ground Base'!G$154*(1+GroundFuelSurcharge),2),ROUND(((1-GroundCommDiscount31Up-GroundCommIncentive)*'Ground Base'!G103)*(1+GroundFuelSurcharge),2)))*(1+FedEx_Markup),2)</f>
        <v>72.459999999999994</v>
      </c>
      <c r="H108" s="218">
        <f>ROUND((IF('Ground Base'!H$154&gt;ROUND(((1-GroundCommDiscount31Up-GroundCommIncentive)*'Ground Base'!H103),2),ROUND('Ground Base'!H$154*(1+GroundFuelSurcharge),2),ROUND(((1-GroundCommDiscount31Up-GroundCommIncentive)*'Ground Base'!H103)*(1+GroundFuelSurcharge),2)))*(1+FedEx_Markup),2)</f>
        <v>79.81</v>
      </c>
      <c r="I108" s="218">
        <f>ROUND((IF('Ground Base'!I$154&gt;ROUND(((1-GroundAKHIDiscount)*'Ground Base'!I103),2),ROUND('Ground Base'!I$154*(1+GroundFuelSurcharge),2),ROUND(((1-GroundAKHIDiscount)*'Ground Base'!I103)*(1+GroundFuelSurcharge),2)))*(1+FedEx_Markup),2)</f>
        <v>489.74</v>
      </c>
      <c r="J108" s="218">
        <f>ROUND((IF('Ground Base'!J$154&gt;ROUND(((1-GroundAKHIDiscount)*'Ground Base'!J103),2),ROUND('Ground Base'!J$154*(1+GroundFuelSurcharge),2),ROUND(((1-GroundAKHIDiscount)*'Ground Base'!J103)*(1+GroundFuelSurcharge),2)))*(1+FedEx_Markup),2)</f>
        <v>489.74</v>
      </c>
      <c r="K108" s="218">
        <f>ROUND((IF('Ground Base'!K$154&gt;ROUND(((1-GroundZone51Discount)*'Ground Base'!K103),2),ROUND('Ground Base'!K$154*(1+GroundFuelSurcharge),2),ROUND(((1-GroundZone51Discount)*'Ground Base'!K103)*(1+GroundFuelSurcharge),2)))*(1+FedEx_Markup),2)</f>
        <v>114.18</v>
      </c>
      <c r="L108" s="218">
        <f>ROUND((IF('Ground Base'!L$154&gt;ROUND(((1-GroundZone54Discount)*'Ground Base'!L103),2),ROUND('Ground Base'!L$154*(1+GroundFuelSurcharge),2),ROUND(((1-GroundZone54Discount)*'Ground Base'!L103)*(1+GroundFuelSurcharge),2)))*(1+FedEx_Markup),2)</f>
        <v>151.31</v>
      </c>
    </row>
    <row r="109" spans="1:12" ht="12.75" customHeight="1">
      <c r="A109" s="217">
        <v>102</v>
      </c>
      <c r="B109" s="218">
        <f>ROUND((IF('Ground Base'!B$154&gt;ROUND(((1-GroundCommDiscount31Up-GroundCommIncentive)*'Ground Base'!B104),2),ROUND('Ground Base'!B$154*(1+GroundFuelSurcharge),2),ROUND(((1-GroundCommDiscount31Up-GroundCommIncentive)*'Ground Base'!B104)*(1+GroundFuelSurcharge),2)))*(1+FedEx_Markup),2)</f>
        <v>46.62</v>
      </c>
      <c r="C109" s="218">
        <f>ROUND((IF('Ground Base'!C$154&gt;ROUND(((1-GroundCommDiscount31Up-GroundCommIncentive)*'Ground Base'!C104),2),ROUND('Ground Base'!C$154*(1+GroundFuelSurcharge),2),ROUND(((1-GroundCommDiscount31Up-GroundCommIncentive)*'Ground Base'!C104)*(1+GroundFuelSurcharge),2)))*(1+FedEx_Markup),2)</f>
        <v>46.72</v>
      </c>
      <c r="D109" s="218">
        <f>ROUND((IF('Ground Base'!D$154&gt;ROUND(((1-GroundCommDiscount31Up-GroundCommIncentive)*'Ground Base'!D104),2),ROUND('Ground Base'!D$154*(1+GroundFuelSurcharge),2),ROUND(((1-GroundCommDiscount31Up-GroundCommIncentive)*'Ground Base'!D104)*(1+GroundFuelSurcharge),2)))*(1+FedEx_Markup),2)</f>
        <v>51.19</v>
      </c>
      <c r="E109" s="218">
        <f>ROUND((IF('Ground Base'!E$154&gt;ROUND(((1-GroundCommDiscount31Up-GroundCommIncentive)*'Ground Base'!E104),2),ROUND('Ground Base'!E$154*(1+GroundFuelSurcharge),2),ROUND(((1-GroundCommDiscount31Up-GroundCommIncentive)*'Ground Base'!E104)*(1+GroundFuelSurcharge),2)))*(1+FedEx_Markup),2)</f>
        <v>55.46</v>
      </c>
      <c r="F109" s="218">
        <f>ROUND((IF('Ground Base'!F$154&gt;ROUND(((1-GroundCommDiscount31Up-GroundCommIncentive)*'Ground Base'!F104),2),ROUND('Ground Base'!F$154*(1+GroundFuelSurcharge),2),ROUND(((1-GroundCommDiscount31Up-GroundCommIncentive)*'Ground Base'!F104)*(1+GroundFuelSurcharge),2)))*(1+FedEx_Markup),2)</f>
        <v>65.290000000000006</v>
      </c>
      <c r="G109" s="218">
        <f>ROUND((IF('Ground Base'!G$154&gt;ROUND(((1-GroundCommDiscount31Up-GroundCommIncentive)*'Ground Base'!G104),2),ROUND('Ground Base'!G$154*(1+GroundFuelSurcharge),2),ROUND(((1-GroundCommDiscount31Up-GroundCommIncentive)*'Ground Base'!G104)*(1+GroundFuelSurcharge),2)))*(1+FedEx_Markup),2)</f>
        <v>72.459999999999994</v>
      </c>
      <c r="H109" s="218">
        <f>ROUND((IF('Ground Base'!H$154&gt;ROUND(((1-GroundCommDiscount31Up-GroundCommIncentive)*'Ground Base'!H104),2),ROUND('Ground Base'!H$154*(1+GroundFuelSurcharge),2),ROUND(((1-GroundCommDiscount31Up-GroundCommIncentive)*'Ground Base'!H104)*(1+GroundFuelSurcharge),2)))*(1+FedEx_Markup),2)</f>
        <v>79.81</v>
      </c>
      <c r="I109" s="218">
        <f>ROUND((IF('Ground Base'!I$154&gt;ROUND(((1-GroundAKHIDiscount)*'Ground Base'!I104),2),ROUND('Ground Base'!I$154*(1+GroundFuelSurcharge),2),ROUND(((1-GroundAKHIDiscount)*'Ground Base'!I104)*(1+GroundFuelSurcharge),2)))*(1+FedEx_Markup),2)</f>
        <v>489.75</v>
      </c>
      <c r="J109" s="218">
        <f>ROUND((IF('Ground Base'!J$154&gt;ROUND(((1-GroundAKHIDiscount)*'Ground Base'!J104),2),ROUND('Ground Base'!J$154*(1+GroundFuelSurcharge),2),ROUND(((1-GroundAKHIDiscount)*'Ground Base'!J104)*(1+GroundFuelSurcharge),2)))*(1+FedEx_Markup),2)</f>
        <v>489.75</v>
      </c>
      <c r="K109" s="218">
        <f>ROUND((IF('Ground Base'!K$154&gt;ROUND(((1-GroundZone51Discount)*'Ground Base'!K104),2),ROUND('Ground Base'!K$154*(1+GroundFuelSurcharge),2),ROUND(((1-GroundZone51Discount)*'Ground Base'!K104)*(1+GroundFuelSurcharge),2)))*(1+FedEx_Markup),2)</f>
        <v>114.18</v>
      </c>
      <c r="L109" s="218">
        <f>ROUND((IF('Ground Base'!L$154&gt;ROUND(((1-GroundZone54Discount)*'Ground Base'!L104),2),ROUND('Ground Base'!L$154*(1+GroundFuelSurcharge),2),ROUND(((1-GroundZone54Discount)*'Ground Base'!L104)*(1+GroundFuelSurcharge),2)))*(1+FedEx_Markup),2)</f>
        <v>151.33000000000001</v>
      </c>
    </row>
    <row r="110" spans="1:12" ht="12.75" customHeight="1">
      <c r="A110" s="217">
        <v>103</v>
      </c>
      <c r="B110" s="218">
        <f>ROUND((IF('Ground Base'!B$154&gt;ROUND(((1-GroundCommDiscount31Up-GroundCommIncentive)*'Ground Base'!B105),2),ROUND('Ground Base'!B$154*(1+GroundFuelSurcharge),2),ROUND(((1-GroundCommDiscount31Up-GroundCommIncentive)*'Ground Base'!B105)*(1+GroundFuelSurcharge),2)))*(1+FedEx_Markup),2)</f>
        <v>47.23</v>
      </c>
      <c r="C110" s="218">
        <f>ROUND((IF('Ground Base'!C$154&gt;ROUND(((1-GroundCommDiscount31Up-GroundCommIncentive)*'Ground Base'!C105),2),ROUND('Ground Base'!C$154*(1+GroundFuelSurcharge),2),ROUND(((1-GroundCommDiscount31Up-GroundCommIncentive)*'Ground Base'!C105)*(1+GroundFuelSurcharge),2)))*(1+FedEx_Markup),2)</f>
        <v>47.89</v>
      </c>
      <c r="D110" s="218">
        <f>ROUND((IF('Ground Base'!D$154&gt;ROUND(((1-GroundCommDiscount31Up-GroundCommIncentive)*'Ground Base'!D105),2),ROUND('Ground Base'!D$154*(1+GroundFuelSurcharge),2),ROUND(((1-GroundCommDiscount31Up-GroundCommIncentive)*'Ground Base'!D105)*(1+GroundFuelSurcharge),2)))*(1+FedEx_Markup),2)</f>
        <v>52.24</v>
      </c>
      <c r="E110" s="218">
        <f>ROUND((IF('Ground Base'!E$154&gt;ROUND(((1-GroundCommDiscount31Up-GroundCommIncentive)*'Ground Base'!E105),2),ROUND('Ground Base'!E$154*(1+GroundFuelSurcharge),2),ROUND(((1-GroundCommDiscount31Up-GroundCommIncentive)*'Ground Base'!E105)*(1+GroundFuelSurcharge),2)))*(1+FedEx_Markup),2)</f>
        <v>55.8</v>
      </c>
      <c r="F110" s="218">
        <f>ROUND((IF('Ground Base'!F$154&gt;ROUND(((1-GroundCommDiscount31Up-GroundCommIncentive)*'Ground Base'!F105),2),ROUND('Ground Base'!F$154*(1+GroundFuelSurcharge),2),ROUND(((1-GroundCommDiscount31Up-GroundCommIncentive)*'Ground Base'!F105)*(1+GroundFuelSurcharge),2)))*(1+FedEx_Markup),2)</f>
        <v>65.459999999999994</v>
      </c>
      <c r="G110" s="218">
        <f>ROUND((IF('Ground Base'!G$154&gt;ROUND(((1-GroundCommDiscount31Up-GroundCommIncentive)*'Ground Base'!G105),2),ROUND('Ground Base'!G$154*(1+GroundFuelSurcharge),2),ROUND(((1-GroundCommDiscount31Up-GroundCommIncentive)*'Ground Base'!G105)*(1+GroundFuelSurcharge),2)))*(1+FedEx_Markup),2)</f>
        <v>72.47</v>
      </c>
      <c r="H110" s="218">
        <f>ROUND((IF('Ground Base'!H$154&gt;ROUND(((1-GroundCommDiscount31Up-GroundCommIncentive)*'Ground Base'!H105),2),ROUND('Ground Base'!H$154*(1+GroundFuelSurcharge),2),ROUND(((1-GroundCommDiscount31Up-GroundCommIncentive)*'Ground Base'!H105)*(1+GroundFuelSurcharge),2)))*(1+FedEx_Markup),2)</f>
        <v>79.819999999999993</v>
      </c>
      <c r="I110" s="218">
        <f>ROUND((IF('Ground Base'!I$154&gt;ROUND(((1-GroundAKHIDiscount)*'Ground Base'!I105),2),ROUND('Ground Base'!I$154*(1+GroundFuelSurcharge),2),ROUND(((1-GroundAKHIDiscount)*'Ground Base'!I105)*(1+GroundFuelSurcharge),2)))*(1+FedEx_Markup),2)</f>
        <v>489.76</v>
      </c>
      <c r="J110" s="218">
        <f>ROUND((IF('Ground Base'!J$154&gt;ROUND(((1-GroundAKHIDiscount)*'Ground Base'!J105),2),ROUND('Ground Base'!J$154*(1+GroundFuelSurcharge),2),ROUND(((1-GroundAKHIDiscount)*'Ground Base'!J105)*(1+GroundFuelSurcharge),2)))*(1+FedEx_Markup),2)</f>
        <v>489.76</v>
      </c>
      <c r="K110" s="218">
        <f>ROUND((IF('Ground Base'!K$154&gt;ROUND(((1-GroundZone51Discount)*'Ground Base'!K105),2),ROUND('Ground Base'!K$154*(1+GroundFuelSurcharge),2),ROUND(((1-GroundZone51Discount)*'Ground Base'!K105)*(1+GroundFuelSurcharge),2)))*(1+FedEx_Markup),2)</f>
        <v>114.22</v>
      </c>
      <c r="L110" s="218">
        <f>ROUND((IF('Ground Base'!L$154&gt;ROUND(((1-GroundZone54Discount)*'Ground Base'!L105),2),ROUND('Ground Base'!L$154*(1+GroundFuelSurcharge),2),ROUND(((1-GroundZone54Discount)*'Ground Base'!L105)*(1+GroundFuelSurcharge),2)))*(1+FedEx_Markup),2)</f>
        <v>151.33000000000001</v>
      </c>
    </row>
    <row r="111" spans="1:12" ht="12.75" customHeight="1">
      <c r="A111" s="217">
        <v>104</v>
      </c>
      <c r="B111" s="218">
        <f>ROUND((IF('Ground Base'!B$154&gt;ROUND(((1-GroundCommDiscount31Up-GroundCommIncentive)*'Ground Base'!B106),2),ROUND('Ground Base'!B$154*(1+GroundFuelSurcharge),2),ROUND(((1-GroundCommDiscount31Up-GroundCommIncentive)*'Ground Base'!B106)*(1+GroundFuelSurcharge),2)))*(1+FedEx_Markup),2)</f>
        <v>47.24</v>
      </c>
      <c r="C111" s="218">
        <f>ROUND((IF('Ground Base'!C$154&gt;ROUND(((1-GroundCommDiscount31Up-GroundCommIncentive)*'Ground Base'!C106),2),ROUND('Ground Base'!C$154*(1+GroundFuelSurcharge),2),ROUND(((1-GroundCommDiscount31Up-GroundCommIncentive)*'Ground Base'!C106)*(1+GroundFuelSurcharge),2)))*(1+FedEx_Markup),2)</f>
        <v>47.9</v>
      </c>
      <c r="D111" s="218">
        <f>ROUND((IF('Ground Base'!D$154&gt;ROUND(((1-GroundCommDiscount31Up-GroundCommIncentive)*'Ground Base'!D106),2),ROUND('Ground Base'!D$154*(1+GroundFuelSurcharge),2),ROUND(((1-GroundCommDiscount31Up-GroundCommIncentive)*'Ground Base'!D106)*(1+GroundFuelSurcharge),2)))*(1+FedEx_Markup),2)</f>
        <v>52.37</v>
      </c>
      <c r="E111" s="218">
        <f>ROUND((IF('Ground Base'!E$154&gt;ROUND(((1-GroundCommDiscount31Up-GroundCommIncentive)*'Ground Base'!E106),2),ROUND('Ground Base'!E$154*(1+GroundFuelSurcharge),2),ROUND(((1-GroundCommDiscount31Up-GroundCommIncentive)*'Ground Base'!E106)*(1+GroundFuelSurcharge),2)))*(1+FedEx_Markup),2)</f>
        <v>55.86</v>
      </c>
      <c r="F111" s="218">
        <f>ROUND((IF('Ground Base'!F$154&gt;ROUND(((1-GroundCommDiscount31Up-GroundCommIncentive)*'Ground Base'!F106),2),ROUND('Ground Base'!F$154*(1+GroundFuelSurcharge),2),ROUND(((1-GroundCommDiscount31Up-GroundCommIncentive)*'Ground Base'!F106)*(1+GroundFuelSurcharge),2)))*(1+FedEx_Markup),2)</f>
        <v>65.459999999999994</v>
      </c>
      <c r="G111" s="218">
        <f>ROUND((IF('Ground Base'!G$154&gt;ROUND(((1-GroundCommDiscount31Up-GroundCommIncentive)*'Ground Base'!G106),2),ROUND('Ground Base'!G$154*(1+GroundFuelSurcharge),2),ROUND(((1-GroundCommDiscount31Up-GroundCommIncentive)*'Ground Base'!G106)*(1+GroundFuelSurcharge),2)))*(1+FedEx_Markup),2)</f>
        <v>72.47</v>
      </c>
      <c r="H111" s="218">
        <f>ROUND((IF('Ground Base'!H$154&gt;ROUND(((1-GroundCommDiscount31Up-GroundCommIncentive)*'Ground Base'!H106),2),ROUND('Ground Base'!H$154*(1+GroundFuelSurcharge),2),ROUND(((1-GroundCommDiscount31Up-GroundCommIncentive)*'Ground Base'!H106)*(1+GroundFuelSurcharge),2)))*(1+FedEx_Markup),2)</f>
        <v>79.819999999999993</v>
      </c>
      <c r="I111" s="218">
        <f>ROUND((IF('Ground Base'!I$154&gt;ROUND(((1-GroundAKHIDiscount)*'Ground Base'!I106),2),ROUND('Ground Base'!I$154*(1+GroundFuelSurcharge),2),ROUND(((1-GroundAKHIDiscount)*'Ground Base'!I106)*(1+GroundFuelSurcharge),2)))*(1+FedEx_Markup),2)</f>
        <v>489.81</v>
      </c>
      <c r="J111" s="218">
        <f>ROUND((IF('Ground Base'!J$154&gt;ROUND(((1-GroundAKHIDiscount)*'Ground Base'!J106),2),ROUND('Ground Base'!J$154*(1+GroundFuelSurcharge),2),ROUND(((1-GroundAKHIDiscount)*'Ground Base'!J106)*(1+GroundFuelSurcharge),2)))*(1+FedEx_Markup),2)</f>
        <v>489.81</v>
      </c>
      <c r="K111" s="218">
        <f>ROUND((IF('Ground Base'!K$154&gt;ROUND(((1-GroundZone51Discount)*'Ground Base'!K106),2),ROUND('Ground Base'!K$154*(1+GroundFuelSurcharge),2),ROUND(((1-GroundZone51Discount)*'Ground Base'!K106)*(1+GroundFuelSurcharge),2)))*(1+FedEx_Markup),2)</f>
        <v>114.22</v>
      </c>
      <c r="L111" s="218">
        <f>ROUND((IF('Ground Base'!L$154&gt;ROUND(((1-GroundZone54Discount)*'Ground Base'!L106),2),ROUND('Ground Base'!L$154*(1+GroundFuelSurcharge),2),ROUND(((1-GroundZone54Discount)*'Ground Base'!L106)*(1+GroundFuelSurcharge),2)))*(1+FedEx_Markup),2)</f>
        <v>151.35</v>
      </c>
    </row>
    <row r="112" spans="1:12" ht="12.75" customHeight="1">
      <c r="A112" s="217">
        <v>105</v>
      </c>
      <c r="B112" s="218">
        <f>ROUND((IF('Ground Base'!B$154&gt;ROUND(((1-GroundCommDiscount31Up-GroundCommIncentive)*'Ground Base'!B107),2),ROUND('Ground Base'!B$154*(1+GroundFuelSurcharge),2),ROUND(((1-GroundCommDiscount31Up-GroundCommIncentive)*'Ground Base'!B107)*(1+GroundFuelSurcharge),2)))*(1+FedEx_Markup),2)</f>
        <v>48.93</v>
      </c>
      <c r="C112" s="218">
        <f>ROUND((IF('Ground Base'!C$154&gt;ROUND(((1-GroundCommDiscount31Up-GroundCommIncentive)*'Ground Base'!C107),2),ROUND('Ground Base'!C$154*(1+GroundFuelSurcharge),2),ROUND(((1-GroundCommDiscount31Up-GroundCommIncentive)*'Ground Base'!C107)*(1+GroundFuelSurcharge),2)))*(1+FedEx_Markup),2)</f>
        <v>49.31</v>
      </c>
      <c r="D112" s="218">
        <f>ROUND((IF('Ground Base'!D$154&gt;ROUND(((1-GroundCommDiscount31Up-GroundCommIncentive)*'Ground Base'!D107),2),ROUND('Ground Base'!D$154*(1+GroundFuelSurcharge),2),ROUND(((1-GroundCommDiscount31Up-GroundCommIncentive)*'Ground Base'!D107)*(1+GroundFuelSurcharge),2)))*(1+FedEx_Markup),2)</f>
        <v>53.49</v>
      </c>
      <c r="E112" s="218">
        <f>ROUND((IF('Ground Base'!E$154&gt;ROUND(((1-GroundCommDiscount31Up-GroundCommIncentive)*'Ground Base'!E107),2),ROUND('Ground Base'!E$154*(1+GroundFuelSurcharge),2),ROUND(((1-GroundCommDiscount31Up-GroundCommIncentive)*'Ground Base'!E107)*(1+GroundFuelSurcharge),2)))*(1+FedEx_Markup),2)</f>
        <v>57.56</v>
      </c>
      <c r="F112" s="218">
        <f>ROUND((IF('Ground Base'!F$154&gt;ROUND(((1-GroundCommDiscount31Up-GroundCommIncentive)*'Ground Base'!F107),2),ROUND('Ground Base'!F$154*(1+GroundFuelSurcharge),2),ROUND(((1-GroundCommDiscount31Up-GroundCommIncentive)*'Ground Base'!F107)*(1+GroundFuelSurcharge),2)))*(1+FedEx_Markup),2)</f>
        <v>67.09</v>
      </c>
      <c r="G112" s="218">
        <f>ROUND((IF('Ground Base'!G$154&gt;ROUND(((1-GroundCommDiscount31Up-GroundCommIncentive)*'Ground Base'!G107),2),ROUND('Ground Base'!G$154*(1+GroundFuelSurcharge),2),ROUND(((1-GroundCommDiscount31Up-GroundCommIncentive)*'Ground Base'!G107)*(1+GroundFuelSurcharge),2)))*(1+FedEx_Markup),2)</f>
        <v>74.16</v>
      </c>
      <c r="H112" s="218">
        <f>ROUND((IF('Ground Base'!H$154&gt;ROUND(((1-GroundCommDiscount31Up-GroundCommIncentive)*'Ground Base'!H107),2),ROUND('Ground Base'!H$154*(1+GroundFuelSurcharge),2),ROUND(((1-GroundCommDiscount31Up-GroundCommIncentive)*'Ground Base'!H107)*(1+GroundFuelSurcharge),2)))*(1+FedEx_Markup),2)</f>
        <v>81.790000000000006</v>
      </c>
      <c r="I112" s="218">
        <f>ROUND((IF('Ground Base'!I$154&gt;ROUND(((1-GroundAKHIDiscount)*'Ground Base'!I107),2),ROUND('Ground Base'!I$154*(1+GroundFuelSurcharge),2),ROUND(((1-GroundAKHIDiscount)*'Ground Base'!I107)*(1+GroundFuelSurcharge),2)))*(1+FedEx_Markup),2)</f>
        <v>489.82</v>
      </c>
      <c r="J112" s="218">
        <f>ROUND((IF('Ground Base'!J$154&gt;ROUND(((1-GroundAKHIDiscount)*'Ground Base'!J107),2),ROUND('Ground Base'!J$154*(1+GroundFuelSurcharge),2),ROUND(((1-GroundAKHIDiscount)*'Ground Base'!J107)*(1+GroundFuelSurcharge),2)))*(1+FedEx_Markup),2)</f>
        <v>489.82</v>
      </c>
      <c r="K112" s="218">
        <f>ROUND((IF('Ground Base'!K$154&gt;ROUND(((1-GroundZone51Discount)*'Ground Base'!K107),2),ROUND('Ground Base'!K$154*(1+GroundFuelSurcharge),2),ROUND(((1-GroundZone51Discount)*'Ground Base'!K107)*(1+GroundFuelSurcharge),2)))*(1+FedEx_Markup),2)</f>
        <v>115.31</v>
      </c>
      <c r="L112" s="218">
        <f>ROUND((IF('Ground Base'!L$154&gt;ROUND(((1-GroundZone54Discount)*'Ground Base'!L107),2),ROUND('Ground Base'!L$154*(1+GroundFuelSurcharge),2),ROUND(((1-GroundZone54Discount)*'Ground Base'!L107)*(1+GroundFuelSurcharge),2)))*(1+FedEx_Markup),2)</f>
        <v>151.35</v>
      </c>
    </row>
    <row r="113" spans="1:26" ht="12.75" customHeight="1">
      <c r="A113" s="217">
        <v>106</v>
      </c>
      <c r="B113" s="218">
        <f>ROUND((IF('Ground Base'!B$154&gt;ROUND(((1-GroundCommDiscount31Up-GroundCommIncentive)*'Ground Base'!B108),2),ROUND('Ground Base'!B$154*(1+GroundFuelSurcharge),2),ROUND(((1-GroundCommDiscount31Up-GroundCommIncentive)*'Ground Base'!B108)*(1+GroundFuelSurcharge),2)))*(1+FedEx_Markup),2)</f>
        <v>49.27</v>
      </c>
      <c r="C113" s="218">
        <f>ROUND((IF('Ground Base'!C$154&gt;ROUND(((1-GroundCommDiscount31Up-GroundCommIncentive)*'Ground Base'!C108),2),ROUND('Ground Base'!C$154*(1+GroundFuelSurcharge),2),ROUND(((1-GroundCommDiscount31Up-GroundCommIncentive)*'Ground Base'!C108)*(1+GroundFuelSurcharge),2)))*(1+FedEx_Markup),2)</f>
        <v>49.31</v>
      </c>
      <c r="D113" s="218">
        <f>ROUND((IF('Ground Base'!D$154&gt;ROUND(((1-GroundCommDiscount31Up-GroundCommIncentive)*'Ground Base'!D108),2),ROUND('Ground Base'!D$154*(1+GroundFuelSurcharge),2),ROUND(((1-GroundCommDiscount31Up-GroundCommIncentive)*'Ground Base'!D108)*(1+GroundFuelSurcharge),2)))*(1+FedEx_Markup),2)</f>
        <v>53.49</v>
      </c>
      <c r="E113" s="218">
        <f>ROUND((IF('Ground Base'!E$154&gt;ROUND(((1-GroundCommDiscount31Up-GroundCommIncentive)*'Ground Base'!E108),2),ROUND('Ground Base'!E$154*(1+GroundFuelSurcharge),2),ROUND(((1-GroundCommDiscount31Up-GroundCommIncentive)*'Ground Base'!E108)*(1+GroundFuelSurcharge),2)))*(1+FedEx_Markup),2)</f>
        <v>57.56</v>
      </c>
      <c r="F113" s="218">
        <f>ROUND((IF('Ground Base'!F$154&gt;ROUND(((1-GroundCommDiscount31Up-GroundCommIncentive)*'Ground Base'!F108),2),ROUND('Ground Base'!F$154*(1+GroundFuelSurcharge),2),ROUND(((1-GroundCommDiscount31Up-GroundCommIncentive)*'Ground Base'!F108)*(1+GroundFuelSurcharge),2)))*(1+FedEx_Markup),2)</f>
        <v>67.09</v>
      </c>
      <c r="G113" s="218">
        <f>ROUND((IF('Ground Base'!G$154&gt;ROUND(((1-GroundCommDiscount31Up-GroundCommIncentive)*'Ground Base'!G108),2),ROUND('Ground Base'!G$154*(1+GroundFuelSurcharge),2),ROUND(((1-GroundCommDiscount31Up-GroundCommIncentive)*'Ground Base'!G108)*(1+GroundFuelSurcharge),2)))*(1+FedEx_Markup),2)</f>
        <v>74.180000000000007</v>
      </c>
      <c r="H113" s="218">
        <f>ROUND((IF('Ground Base'!H$154&gt;ROUND(((1-GroundCommDiscount31Up-GroundCommIncentive)*'Ground Base'!H108),2),ROUND('Ground Base'!H$154*(1+GroundFuelSurcharge),2),ROUND(((1-GroundCommDiscount31Up-GroundCommIncentive)*'Ground Base'!H108)*(1+GroundFuelSurcharge),2)))*(1+FedEx_Markup),2)</f>
        <v>81.8</v>
      </c>
      <c r="I113" s="218">
        <f>ROUND((IF('Ground Base'!I$154&gt;ROUND(((1-GroundAKHIDiscount)*'Ground Base'!I108),2),ROUND('Ground Base'!I$154*(1+GroundFuelSurcharge),2),ROUND(((1-GroundAKHIDiscount)*'Ground Base'!I108)*(1+GroundFuelSurcharge),2)))*(1+FedEx_Markup),2)</f>
        <v>498.64</v>
      </c>
      <c r="J113" s="218">
        <f>ROUND((IF('Ground Base'!J$154&gt;ROUND(((1-GroundAKHIDiscount)*'Ground Base'!J108),2),ROUND('Ground Base'!J$154*(1+GroundFuelSurcharge),2),ROUND(((1-GroundAKHIDiscount)*'Ground Base'!J108)*(1+GroundFuelSurcharge),2)))*(1+FedEx_Markup),2)</f>
        <v>498.64</v>
      </c>
      <c r="K113" s="218">
        <f>ROUND((IF('Ground Base'!K$154&gt;ROUND(((1-GroundZone51Discount)*'Ground Base'!K108),2),ROUND('Ground Base'!K$154*(1+GroundFuelSurcharge),2),ROUND(((1-GroundZone51Discount)*'Ground Base'!K108)*(1+GroundFuelSurcharge),2)))*(1+FedEx_Markup),2)</f>
        <v>116.3</v>
      </c>
      <c r="L113" s="218">
        <f>ROUND((IF('Ground Base'!L$154&gt;ROUND(((1-GroundZone54Discount)*'Ground Base'!L108),2),ROUND('Ground Base'!L$154*(1+GroundFuelSurcharge),2),ROUND(((1-GroundZone54Discount)*'Ground Base'!L108)*(1+GroundFuelSurcharge),2)))*(1+FedEx_Markup),2)</f>
        <v>154.91999999999999</v>
      </c>
    </row>
    <row r="114" spans="1:26" ht="12.75" customHeight="1">
      <c r="A114" s="217">
        <v>107</v>
      </c>
      <c r="B114" s="218">
        <f>ROUND((IF('Ground Base'!B$154&gt;ROUND(((1-GroundCommDiscount31Up-GroundCommIncentive)*'Ground Base'!B109),2),ROUND('Ground Base'!B$154*(1+GroundFuelSurcharge),2),ROUND(((1-GroundCommDiscount31Up-GroundCommIncentive)*'Ground Base'!B109)*(1+GroundFuelSurcharge),2)))*(1+FedEx_Markup),2)</f>
        <v>49.53</v>
      </c>
      <c r="C114" s="218">
        <f>ROUND((IF('Ground Base'!C$154&gt;ROUND(((1-GroundCommDiscount31Up-GroundCommIncentive)*'Ground Base'!C109),2),ROUND('Ground Base'!C$154*(1+GroundFuelSurcharge),2),ROUND(((1-GroundCommDiscount31Up-GroundCommIncentive)*'Ground Base'!C109)*(1+GroundFuelSurcharge),2)))*(1+FedEx_Markup),2)</f>
        <v>50</v>
      </c>
      <c r="D114" s="218">
        <f>ROUND((IF('Ground Base'!D$154&gt;ROUND(((1-GroundCommDiscount31Up-GroundCommIncentive)*'Ground Base'!D109),2),ROUND('Ground Base'!D$154*(1+GroundFuelSurcharge),2),ROUND(((1-GroundCommDiscount31Up-GroundCommIncentive)*'Ground Base'!D109)*(1+GroundFuelSurcharge),2)))*(1+FedEx_Markup),2)</f>
        <v>54.2</v>
      </c>
      <c r="E114" s="218">
        <f>ROUND((IF('Ground Base'!E$154&gt;ROUND(((1-GroundCommDiscount31Up-GroundCommIncentive)*'Ground Base'!E109),2),ROUND('Ground Base'!E$154*(1+GroundFuelSurcharge),2),ROUND(((1-GroundCommDiscount31Up-GroundCommIncentive)*'Ground Base'!E109)*(1+GroundFuelSurcharge),2)))*(1+FedEx_Markup),2)</f>
        <v>58.18</v>
      </c>
      <c r="F114" s="218">
        <f>ROUND((IF('Ground Base'!F$154&gt;ROUND(((1-GroundCommDiscount31Up-GroundCommIncentive)*'Ground Base'!F109),2),ROUND('Ground Base'!F$154*(1+GroundFuelSurcharge),2),ROUND(((1-GroundCommDiscount31Up-GroundCommIncentive)*'Ground Base'!F109)*(1+GroundFuelSurcharge),2)))*(1+FedEx_Markup),2)</f>
        <v>67.099999999999994</v>
      </c>
      <c r="G114" s="218">
        <f>ROUND((IF('Ground Base'!G$154&gt;ROUND(((1-GroundCommDiscount31Up-GroundCommIncentive)*'Ground Base'!G109),2),ROUND('Ground Base'!G$154*(1+GroundFuelSurcharge),2),ROUND(((1-GroundCommDiscount31Up-GroundCommIncentive)*'Ground Base'!G109)*(1+GroundFuelSurcharge),2)))*(1+FedEx_Markup),2)</f>
        <v>74.73</v>
      </c>
      <c r="H114" s="218">
        <f>ROUND((IF('Ground Base'!H$154&gt;ROUND(((1-GroundCommDiscount31Up-GroundCommIncentive)*'Ground Base'!H109),2),ROUND('Ground Base'!H$154*(1+GroundFuelSurcharge),2),ROUND(((1-GroundCommDiscount31Up-GroundCommIncentive)*'Ground Base'!H109)*(1+GroundFuelSurcharge),2)))*(1+FedEx_Markup),2)</f>
        <v>82.44</v>
      </c>
      <c r="I114" s="218">
        <f>ROUND((IF('Ground Base'!I$154&gt;ROUND(((1-GroundAKHIDiscount)*'Ground Base'!I109),2),ROUND('Ground Base'!I$154*(1+GroundFuelSurcharge),2),ROUND(((1-GroundAKHIDiscount)*'Ground Base'!I109)*(1+GroundFuelSurcharge),2)))*(1+FedEx_Markup),2)</f>
        <v>498.65</v>
      </c>
      <c r="J114" s="218">
        <f>ROUND((IF('Ground Base'!J$154&gt;ROUND(((1-GroundAKHIDiscount)*'Ground Base'!J109),2),ROUND('Ground Base'!J$154*(1+GroundFuelSurcharge),2),ROUND(((1-GroundAKHIDiscount)*'Ground Base'!J109)*(1+GroundFuelSurcharge),2)))*(1+FedEx_Markup),2)</f>
        <v>498.65</v>
      </c>
      <c r="K114" s="218">
        <f>ROUND((IF('Ground Base'!K$154&gt;ROUND(((1-GroundZone51Discount)*'Ground Base'!K109),2),ROUND('Ground Base'!K$154*(1+GroundFuelSurcharge),2),ROUND(((1-GroundZone51Discount)*'Ground Base'!K109)*(1+GroundFuelSurcharge),2)))*(1+FedEx_Markup),2)</f>
        <v>116.31</v>
      </c>
      <c r="L114" s="218">
        <f>ROUND((IF('Ground Base'!L$154&gt;ROUND(((1-GroundZone54Discount)*'Ground Base'!L109),2),ROUND('Ground Base'!L$154*(1+GroundFuelSurcharge),2),ROUND(((1-GroundZone54Discount)*'Ground Base'!L109)*(1+GroundFuelSurcharge),2)))*(1+FedEx_Markup),2)</f>
        <v>154.91999999999999</v>
      </c>
    </row>
    <row r="115" spans="1:26" ht="12.75" customHeight="1">
      <c r="A115" s="217">
        <v>108</v>
      </c>
      <c r="B115" s="218">
        <f>ROUND((IF('Ground Base'!B$154&gt;ROUND(((1-GroundCommDiscount31Up-GroundCommIncentive)*'Ground Base'!B110),2),ROUND('Ground Base'!B$154*(1+GroundFuelSurcharge),2),ROUND(((1-GroundCommDiscount31Up-GroundCommIncentive)*'Ground Base'!B110)*(1+GroundFuelSurcharge),2)))*(1+FedEx_Markup),2)</f>
        <v>50.23</v>
      </c>
      <c r="C115" s="218">
        <f>ROUND((IF('Ground Base'!C$154&gt;ROUND(((1-GroundCommDiscount31Up-GroundCommIncentive)*'Ground Base'!C110),2),ROUND('Ground Base'!C$154*(1+GroundFuelSurcharge),2),ROUND(((1-GroundCommDiscount31Up-GroundCommIncentive)*'Ground Base'!C110)*(1+GroundFuelSurcharge),2)))*(1+FedEx_Markup),2)</f>
        <v>50.55</v>
      </c>
      <c r="D115" s="218">
        <f>ROUND((IF('Ground Base'!D$154&gt;ROUND(((1-GroundCommDiscount31Up-GroundCommIncentive)*'Ground Base'!D110),2),ROUND('Ground Base'!D$154*(1+GroundFuelSurcharge),2),ROUND(((1-GroundCommDiscount31Up-GroundCommIncentive)*'Ground Base'!D110)*(1+GroundFuelSurcharge),2)))*(1+FedEx_Markup),2)</f>
        <v>54.73</v>
      </c>
      <c r="E115" s="218">
        <f>ROUND((IF('Ground Base'!E$154&gt;ROUND(((1-GroundCommDiscount31Up-GroundCommIncentive)*'Ground Base'!E110),2),ROUND('Ground Base'!E$154*(1+GroundFuelSurcharge),2),ROUND(((1-GroundCommDiscount31Up-GroundCommIncentive)*'Ground Base'!E110)*(1+GroundFuelSurcharge),2)))*(1+FedEx_Markup),2)</f>
        <v>58.19</v>
      </c>
      <c r="F115" s="218">
        <f>ROUND((IF('Ground Base'!F$154&gt;ROUND(((1-GroundCommDiscount31Up-GroundCommIncentive)*'Ground Base'!F110),2),ROUND('Ground Base'!F$154*(1+GroundFuelSurcharge),2),ROUND(((1-GroundCommDiscount31Up-GroundCommIncentive)*'Ground Base'!F110)*(1+GroundFuelSurcharge),2)))*(1+FedEx_Markup),2)</f>
        <v>67.69</v>
      </c>
      <c r="G115" s="218">
        <f>ROUND((IF('Ground Base'!G$154&gt;ROUND(((1-GroundCommDiscount31Up-GroundCommIncentive)*'Ground Base'!G110),2),ROUND('Ground Base'!G$154*(1+GroundFuelSurcharge),2),ROUND(((1-GroundCommDiscount31Up-GroundCommIncentive)*'Ground Base'!G110)*(1+GroundFuelSurcharge),2)))*(1+FedEx_Markup),2)</f>
        <v>74.73</v>
      </c>
      <c r="H115" s="218">
        <f>ROUND((IF('Ground Base'!H$154&gt;ROUND(((1-GroundCommDiscount31Up-GroundCommIncentive)*'Ground Base'!H110),2),ROUND('Ground Base'!H$154*(1+GroundFuelSurcharge),2),ROUND(((1-GroundCommDiscount31Up-GroundCommIncentive)*'Ground Base'!H110)*(1+GroundFuelSurcharge),2)))*(1+FedEx_Markup),2)</f>
        <v>82.46</v>
      </c>
      <c r="I115" s="218">
        <f>ROUND((IF('Ground Base'!I$154&gt;ROUND(((1-GroundAKHIDiscount)*'Ground Base'!I110),2),ROUND('Ground Base'!I$154*(1+GroundFuelSurcharge),2),ROUND(((1-GroundAKHIDiscount)*'Ground Base'!I110)*(1+GroundFuelSurcharge),2)))*(1+FedEx_Markup),2)</f>
        <v>503.22</v>
      </c>
      <c r="J115" s="218">
        <f>ROUND((IF('Ground Base'!J$154&gt;ROUND(((1-GroundAKHIDiscount)*'Ground Base'!J110),2),ROUND('Ground Base'!J$154*(1+GroundFuelSurcharge),2),ROUND(((1-GroundAKHIDiscount)*'Ground Base'!J110)*(1+GroundFuelSurcharge),2)))*(1+FedEx_Markup),2)</f>
        <v>503.22</v>
      </c>
      <c r="K115" s="218">
        <f>ROUND((IF('Ground Base'!K$154&gt;ROUND(((1-GroundZone51Discount)*'Ground Base'!K110),2),ROUND('Ground Base'!K$154*(1+GroundFuelSurcharge),2),ROUND(((1-GroundZone51Discount)*'Ground Base'!K110)*(1+GroundFuelSurcharge),2)))*(1+FedEx_Markup),2)</f>
        <v>116.33</v>
      </c>
      <c r="L115" s="218">
        <f>ROUND((IF('Ground Base'!L$154&gt;ROUND(((1-GroundZone54Discount)*'Ground Base'!L110),2),ROUND('Ground Base'!L$154*(1+GroundFuelSurcharge),2),ROUND(((1-GroundZone54Discount)*'Ground Base'!L110)*(1+GroundFuelSurcharge),2)))*(1+FedEx_Markup),2)</f>
        <v>154.94</v>
      </c>
    </row>
    <row r="116" spans="1:26" ht="12.75" customHeight="1">
      <c r="A116" s="217">
        <v>109</v>
      </c>
      <c r="B116" s="218">
        <f>ROUND((IF('Ground Base'!B$154&gt;ROUND(((1-GroundCommDiscount31Up-GroundCommIncentive)*'Ground Base'!B111),2),ROUND('Ground Base'!B$154*(1+GroundFuelSurcharge),2),ROUND(((1-GroundCommDiscount31Up-GroundCommIncentive)*'Ground Base'!B111)*(1+GroundFuelSurcharge),2)))*(1+FedEx_Markup),2)</f>
        <v>51.75</v>
      </c>
      <c r="C116" s="218">
        <f>ROUND((IF('Ground Base'!C$154&gt;ROUND(((1-GroundCommDiscount31Up-GroundCommIncentive)*'Ground Base'!C111),2),ROUND('Ground Base'!C$154*(1+GroundFuelSurcharge),2),ROUND(((1-GroundCommDiscount31Up-GroundCommIncentive)*'Ground Base'!C111)*(1+GroundFuelSurcharge),2)))*(1+FedEx_Markup),2)</f>
        <v>51.76</v>
      </c>
      <c r="D116" s="218">
        <f>ROUND((IF('Ground Base'!D$154&gt;ROUND(((1-GroundCommDiscount31Up-GroundCommIncentive)*'Ground Base'!D111),2),ROUND('Ground Base'!D$154*(1+GroundFuelSurcharge),2),ROUND(((1-GroundCommDiscount31Up-GroundCommIncentive)*'Ground Base'!D111)*(1+GroundFuelSurcharge),2)))*(1+FedEx_Markup),2)</f>
        <v>55.41</v>
      </c>
      <c r="E116" s="218">
        <f>ROUND((IF('Ground Base'!E$154&gt;ROUND(((1-GroundCommDiscount31Up-GroundCommIncentive)*'Ground Base'!E111),2),ROUND('Ground Base'!E$154*(1+GroundFuelSurcharge),2),ROUND(((1-GroundCommDiscount31Up-GroundCommIncentive)*'Ground Base'!E111)*(1+GroundFuelSurcharge),2)))*(1+FedEx_Markup),2)</f>
        <v>59.31</v>
      </c>
      <c r="F116" s="218">
        <f>ROUND((IF('Ground Base'!F$154&gt;ROUND(((1-GroundCommDiscount31Up-GroundCommIncentive)*'Ground Base'!F111),2),ROUND('Ground Base'!F$154*(1+GroundFuelSurcharge),2),ROUND(((1-GroundCommDiscount31Up-GroundCommIncentive)*'Ground Base'!F111)*(1+GroundFuelSurcharge),2)))*(1+FedEx_Markup),2)</f>
        <v>68.290000000000006</v>
      </c>
      <c r="G116" s="218">
        <f>ROUND((IF('Ground Base'!G$154&gt;ROUND(((1-GroundCommDiscount31Up-GroundCommIncentive)*'Ground Base'!G111),2),ROUND('Ground Base'!G$154*(1+GroundFuelSurcharge),2),ROUND(((1-GroundCommDiscount31Up-GroundCommIncentive)*'Ground Base'!G111)*(1+GroundFuelSurcharge),2)))*(1+FedEx_Markup),2)</f>
        <v>76.069999999999993</v>
      </c>
      <c r="H116" s="218">
        <f>ROUND((IF('Ground Base'!H$154&gt;ROUND(((1-GroundCommDiscount31Up-GroundCommIncentive)*'Ground Base'!H111),2),ROUND('Ground Base'!H$154*(1+GroundFuelSurcharge),2),ROUND(((1-GroundCommDiscount31Up-GroundCommIncentive)*'Ground Base'!H111)*(1+GroundFuelSurcharge),2)))*(1+FedEx_Markup),2)</f>
        <v>83.95</v>
      </c>
      <c r="I116" s="218">
        <f>ROUND((IF('Ground Base'!I$154&gt;ROUND(((1-GroundAKHIDiscount)*'Ground Base'!I111),2),ROUND('Ground Base'!I$154*(1+GroundFuelSurcharge),2),ROUND(((1-GroundAKHIDiscount)*'Ground Base'!I111)*(1+GroundFuelSurcharge),2)))*(1+FedEx_Markup),2)</f>
        <v>512.29</v>
      </c>
      <c r="J116" s="218">
        <f>ROUND((IF('Ground Base'!J$154&gt;ROUND(((1-GroundAKHIDiscount)*'Ground Base'!J111),2),ROUND('Ground Base'!J$154*(1+GroundFuelSurcharge),2),ROUND(((1-GroundAKHIDiscount)*'Ground Base'!J111)*(1+GroundFuelSurcharge),2)))*(1+FedEx_Markup),2)</f>
        <v>512.29</v>
      </c>
      <c r="K116" s="218">
        <f>ROUND((IF('Ground Base'!K$154&gt;ROUND(((1-GroundZone51Discount)*'Ground Base'!K111),2),ROUND('Ground Base'!K$154*(1+GroundFuelSurcharge),2),ROUND(((1-GroundZone51Discount)*'Ground Base'!K111)*(1+GroundFuelSurcharge),2)))*(1+FedEx_Markup),2)</f>
        <v>116.33</v>
      </c>
      <c r="L116" s="218">
        <f>ROUND((IF('Ground Base'!L$154&gt;ROUND(((1-GroundZone54Discount)*'Ground Base'!L111),2),ROUND('Ground Base'!L$154*(1+GroundFuelSurcharge),2),ROUND(((1-GroundZone54Discount)*'Ground Base'!L111)*(1+GroundFuelSurcharge),2)))*(1+FedEx_Markup),2)</f>
        <v>154.94</v>
      </c>
    </row>
    <row r="117" spans="1:26" ht="12.75" customHeight="1">
      <c r="A117" s="217">
        <v>110</v>
      </c>
      <c r="B117" s="218">
        <f>ROUND((IF('Ground Base'!B$154&gt;ROUND(((1-GroundCommDiscount31Up-GroundCommIncentive)*'Ground Base'!B112),2),ROUND('Ground Base'!B$154*(1+GroundFuelSurcharge),2),ROUND(((1-GroundCommDiscount31Up-GroundCommIncentive)*'Ground Base'!B112)*(1+GroundFuelSurcharge),2)))*(1+FedEx_Markup),2)</f>
        <v>52.65</v>
      </c>
      <c r="C117" s="218">
        <f>ROUND((IF('Ground Base'!C$154&gt;ROUND(((1-GroundCommDiscount31Up-GroundCommIncentive)*'Ground Base'!C112),2),ROUND('Ground Base'!C$154*(1+GroundFuelSurcharge),2),ROUND(((1-GroundCommDiscount31Up-GroundCommIncentive)*'Ground Base'!C112)*(1+GroundFuelSurcharge),2)))*(1+FedEx_Markup),2)</f>
        <v>53</v>
      </c>
      <c r="D117" s="218">
        <f>ROUND((IF('Ground Base'!D$154&gt;ROUND(((1-GroundCommDiscount31Up-GroundCommIncentive)*'Ground Base'!D112),2),ROUND('Ground Base'!D$154*(1+GroundFuelSurcharge),2),ROUND(((1-GroundCommDiscount31Up-GroundCommIncentive)*'Ground Base'!D112)*(1+GroundFuelSurcharge),2)))*(1+FedEx_Markup),2)</f>
        <v>56.58</v>
      </c>
      <c r="E117" s="218">
        <f>ROUND((IF('Ground Base'!E$154&gt;ROUND(((1-GroundCommDiscount31Up-GroundCommIncentive)*'Ground Base'!E112),2),ROUND('Ground Base'!E$154*(1+GroundFuelSurcharge),2),ROUND(((1-GroundCommDiscount31Up-GroundCommIncentive)*'Ground Base'!E112)*(1+GroundFuelSurcharge),2)))*(1+FedEx_Markup),2)</f>
        <v>60.46</v>
      </c>
      <c r="F117" s="218">
        <f>ROUND((IF('Ground Base'!F$154&gt;ROUND(((1-GroundCommDiscount31Up-GroundCommIncentive)*'Ground Base'!F112),2),ROUND('Ground Base'!F$154*(1+GroundFuelSurcharge),2),ROUND(((1-GroundCommDiscount31Up-GroundCommIncentive)*'Ground Base'!F112)*(1+GroundFuelSurcharge),2)))*(1+FedEx_Markup),2)</f>
        <v>70.17</v>
      </c>
      <c r="G117" s="218">
        <f>ROUND((IF('Ground Base'!G$154&gt;ROUND(((1-GroundCommDiscount31Up-GroundCommIncentive)*'Ground Base'!G112),2),ROUND('Ground Base'!G$154*(1+GroundFuelSurcharge),2),ROUND(((1-GroundCommDiscount31Up-GroundCommIncentive)*'Ground Base'!G112)*(1+GroundFuelSurcharge),2)))*(1+FedEx_Markup),2)</f>
        <v>77.489999999999995</v>
      </c>
      <c r="H117" s="218">
        <f>ROUND((IF('Ground Base'!H$154&gt;ROUND(((1-GroundCommDiscount31Up-GroundCommIncentive)*'Ground Base'!H112),2),ROUND('Ground Base'!H$154*(1+GroundFuelSurcharge),2),ROUND(((1-GroundCommDiscount31Up-GroundCommIncentive)*'Ground Base'!H112)*(1+GroundFuelSurcharge),2)))*(1+FedEx_Markup),2)</f>
        <v>85.5</v>
      </c>
      <c r="I117" s="218">
        <f>ROUND((IF('Ground Base'!I$154&gt;ROUND(((1-GroundAKHIDiscount)*'Ground Base'!I112),2),ROUND('Ground Base'!I$154*(1+GroundFuelSurcharge),2),ROUND(((1-GroundAKHIDiscount)*'Ground Base'!I112)*(1+GroundFuelSurcharge),2)))*(1+FedEx_Markup),2)</f>
        <v>516.6</v>
      </c>
      <c r="J117" s="218">
        <f>ROUND((IF('Ground Base'!J$154&gt;ROUND(((1-GroundAKHIDiscount)*'Ground Base'!J112),2),ROUND('Ground Base'!J$154*(1+GroundFuelSurcharge),2),ROUND(((1-GroundAKHIDiscount)*'Ground Base'!J112)*(1+GroundFuelSurcharge),2)))*(1+FedEx_Markup),2)</f>
        <v>516.6</v>
      </c>
      <c r="K117" s="218">
        <f>ROUND((IF('Ground Base'!K$154&gt;ROUND(((1-GroundZone51Discount)*'Ground Base'!K112),2),ROUND('Ground Base'!K$154*(1+GroundFuelSurcharge),2),ROUND(((1-GroundZone51Discount)*'Ground Base'!K112)*(1+GroundFuelSurcharge),2)))*(1+FedEx_Markup),2)</f>
        <v>116.36</v>
      </c>
      <c r="L117" s="218">
        <f>ROUND((IF('Ground Base'!L$154&gt;ROUND(((1-GroundZone54Discount)*'Ground Base'!L112),2),ROUND('Ground Base'!L$154*(1+GroundFuelSurcharge),2),ROUND(((1-GroundZone54Discount)*'Ground Base'!L112)*(1+GroundFuelSurcharge),2)))*(1+FedEx_Markup),2)</f>
        <v>154.94999999999999</v>
      </c>
    </row>
    <row r="118" spans="1:26" ht="12.75" customHeight="1">
      <c r="A118" s="217">
        <v>111</v>
      </c>
      <c r="B118" s="218">
        <f>ROUND((IF('Ground Base'!B$154&gt;ROUND(((1-GroundCommDiscount31Up-GroundCommIncentive)*'Ground Base'!B113),2),ROUND('Ground Base'!B$154*(1+GroundFuelSurcharge),2),ROUND(((1-GroundCommDiscount31Up-GroundCommIncentive)*'Ground Base'!B113)*(1+GroundFuelSurcharge),2)))*(1+FedEx_Markup),2)</f>
        <v>52.65</v>
      </c>
      <c r="C118" s="218">
        <f>ROUND((IF('Ground Base'!C$154&gt;ROUND(((1-GroundCommDiscount31Up-GroundCommIncentive)*'Ground Base'!C113),2),ROUND('Ground Base'!C$154*(1+GroundFuelSurcharge),2),ROUND(((1-GroundCommDiscount31Up-GroundCommIncentive)*'Ground Base'!C113)*(1+GroundFuelSurcharge),2)))*(1+FedEx_Markup),2)</f>
        <v>53.08</v>
      </c>
      <c r="D118" s="218">
        <f>ROUND((IF('Ground Base'!D$154&gt;ROUND(((1-GroundCommDiscount31Up-GroundCommIncentive)*'Ground Base'!D113),2),ROUND('Ground Base'!D$154*(1+GroundFuelSurcharge),2),ROUND(((1-GroundCommDiscount31Up-GroundCommIncentive)*'Ground Base'!D113)*(1+GroundFuelSurcharge),2)))*(1+FedEx_Markup),2)</f>
        <v>57.82</v>
      </c>
      <c r="E118" s="218">
        <f>ROUND((IF('Ground Base'!E$154&gt;ROUND(((1-GroundCommDiscount31Up-GroundCommIncentive)*'Ground Base'!E113),2),ROUND('Ground Base'!E$154*(1+GroundFuelSurcharge),2),ROUND(((1-GroundCommDiscount31Up-GroundCommIncentive)*'Ground Base'!E113)*(1+GroundFuelSurcharge),2)))*(1+FedEx_Markup),2)</f>
        <v>61.04</v>
      </c>
      <c r="F118" s="218">
        <f>ROUND((IF('Ground Base'!F$154&gt;ROUND(((1-GroundCommDiscount31Up-GroundCommIncentive)*'Ground Base'!F113),2),ROUND('Ground Base'!F$154*(1+GroundFuelSurcharge),2),ROUND(((1-GroundCommDiscount31Up-GroundCommIncentive)*'Ground Base'!F113)*(1+GroundFuelSurcharge),2)))*(1+FedEx_Markup),2)</f>
        <v>70.180000000000007</v>
      </c>
      <c r="G118" s="218">
        <f>ROUND((IF('Ground Base'!G$154&gt;ROUND(((1-GroundCommDiscount31Up-GroundCommIncentive)*'Ground Base'!G113),2),ROUND('Ground Base'!G$154*(1+GroundFuelSurcharge),2),ROUND(((1-GroundCommDiscount31Up-GroundCommIncentive)*'Ground Base'!G113)*(1+GroundFuelSurcharge),2)))*(1+FedEx_Markup),2)</f>
        <v>78.040000000000006</v>
      </c>
      <c r="H118" s="218">
        <f>ROUND((IF('Ground Base'!H$154&gt;ROUND(((1-GroundCommDiscount31Up-GroundCommIncentive)*'Ground Base'!H113),2),ROUND('Ground Base'!H$154*(1+GroundFuelSurcharge),2),ROUND(((1-GroundCommDiscount31Up-GroundCommIncentive)*'Ground Base'!H113)*(1+GroundFuelSurcharge),2)))*(1+FedEx_Markup),2)</f>
        <v>86.51</v>
      </c>
      <c r="I118" s="218">
        <f>ROUND((IF('Ground Base'!I$154&gt;ROUND(((1-GroundAKHIDiscount)*'Ground Base'!I113),2),ROUND('Ground Base'!I$154*(1+GroundFuelSurcharge),2),ROUND(((1-GroundAKHIDiscount)*'Ground Base'!I113)*(1+GroundFuelSurcharge),2)))*(1+FedEx_Markup),2)</f>
        <v>522.51</v>
      </c>
      <c r="J118" s="218">
        <f>ROUND((IF('Ground Base'!J$154&gt;ROUND(((1-GroundAKHIDiscount)*'Ground Base'!J113),2),ROUND('Ground Base'!J$154*(1+GroundFuelSurcharge),2),ROUND(((1-GroundAKHIDiscount)*'Ground Base'!J113)*(1+GroundFuelSurcharge),2)))*(1+FedEx_Markup),2)</f>
        <v>522.51</v>
      </c>
      <c r="K118" s="218">
        <f>ROUND((IF('Ground Base'!K$154&gt;ROUND(((1-GroundZone51Discount)*'Ground Base'!K113),2),ROUND('Ground Base'!K$154*(1+GroundFuelSurcharge),2),ROUND(((1-GroundZone51Discount)*'Ground Base'!K113)*(1+GroundFuelSurcharge),2)))*(1+FedEx_Markup),2)</f>
        <v>119.82</v>
      </c>
      <c r="L118" s="218">
        <f>ROUND((IF('Ground Base'!L$154&gt;ROUND(((1-GroundZone54Discount)*'Ground Base'!L113),2),ROUND('Ground Base'!L$154*(1+GroundFuelSurcharge),2),ROUND(((1-GroundZone54Discount)*'Ground Base'!L113)*(1+GroundFuelSurcharge),2)))*(1+FedEx_Markup),2)</f>
        <v>161.01</v>
      </c>
    </row>
    <row r="119" spans="1:26" ht="12.75" customHeight="1">
      <c r="A119" s="217">
        <v>112</v>
      </c>
      <c r="B119" s="218">
        <f>ROUND((IF('Ground Base'!B$154&gt;ROUND(((1-GroundCommDiscount31Up-GroundCommIncentive)*'Ground Base'!B114),2),ROUND('Ground Base'!B$154*(1+GroundFuelSurcharge),2),ROUND(((1-GroundCommDiscount31Up-GroundCommIncentive)*'Ground Base'!B114)*(1+GroundFuelSurcharge),2)))*(1+FedEx_Markup),2)</f>
        <v>53.27</v>
      </c>
      <c r="C119" s="218">
        <f>ROUND((IF('Ground Base'!C$154&gt;ROUND(((1-GroundCommDiscount31Up-GroundCommIncentive)*'Ground Base'!C114),2),ROUND('Ground Base'!C$154*(1+GroundFuelSurcharge),2),ROUND(((1-GroundCommDiscount31Up-GroundCommIncentive)*'Ground Base'!C114)*(1+GroundFuelSurcharge),2)))*(1+FedEx_Markup),2)</f>
        <v>54.18</v>
      </c>
      <c r="D119" s="218">
        <f>ROUND((IF('Ground Base'!D$154&gt;ROUND(((1-GroundCommDiscount31Up-GroundCommIncentive)*'Ground Base'!D114),2),ROUND('Ground Base'!D$154*(1+GroundFuelSurcharge),2),ROUND(((1-GroundCommDiscount31Up-GroundCommIncentive)*'Ground Base'!D114)*(1+GroundFuelSurcharge),2)))*(1+FedEx_Markup),2)</f>
        <v>57.83</v>
      </c>
      <c r="E119" s="218">
        <f>ROUND((IF('Ground Base'!E$154&gt;ROUND(((1-GroundCommDiscount31Up-GroundCommIncentive)*'Ground Base'!E114),2),ROUND('Ground Base'!E$154*(1+GroundFuelSurcharge),2),ROUND(((1-GroundCommDiscount31Up-GroundCommIncentive)*'Ground Base'!E114)*(1+GroundFuelSurcharge),2)))*(1+FedEx_Markup),2)</f>
        <v>61.04</v>
      </c>
      <c r="F119" s="218">
        <f>ROUND((IF('Ground Base'!F$154&gt;ROUND(((1-GroundCommDiscount31Up-GroundCommIncentive)*'Ground Base'!F114),2),ROUND('Ground Base'!F$154*(1+GroundFuelSurcharge),2),ROUND(((1-GroundCommDiscount31Up-GroundCommIncentive)*'Ground Base'!F114)*(1+GroundFuelSurcharge),2)))*(1+FedEx_Markup),2)</f>
        <v>70.739999999999995</v>
      </c>
      <c r="G119" s="218">
        <f>ROUND((IF('Ground Base'!G$154&gt;ROUND(((1-GroundCommDiscount31Up-GroundCommIncentive)*'Ground Base'!G114),2),ROUND('Ground Base'!G$154*(1+GroundFuelSurcharge),2),ROUND(((1-GroundCommDiscount31Up-GroundCommIncentive)*'Ground Base'!G114)*(1+GroundFuelSurcharge),2)))*(1+FedEx_Markup),2)</f>
        <v>78.05</v>
      </c>
      <c r="H119" s="218">
        <f>ROUND((IF('Ground Base'!H$154&gt;ROUND(((1-GroundCommDiscount31Up-GroundCommIncentive)*'Ground Base'!H114),2),ROUND('Ground Base'!H$154*(1+GroundFuelSurcharge),2),ROUND(((1-GroundCommDiscount31Up-GroundCommIncentive)*'Ground Base'!H114)*(1+GroundFuelSurcharge),2)))*(1+FedEx_Markup),2)</f>
        <v>86.53</v>
      </c>
      <c r="I119" s="218">
        <f>ROUND((IF('Ground Base'!I$154&gt;ROUND(((1-GroundAKHIDiscount)*'Ground Base'!I114),2),ROUND('Ground Base'!I$154*(1+GroundFuelSurcharge),2),ROUND(((1-GroundAKHIDiscount)*'Ground Base'!I114)*(1+GroundFuelSurcharge),2)))*(1+FedEx_Markup),2)</f>
        <v>528.4</v>
      </c>
      <c r="J119" s="218">
        <f>ROUND((IF('Ground Base'!J$154&gt;ROUND(((1-GroundAKHIDiscount)*'Ground Base'!J114),2),ROUND('Ground Base'!J$154*(1+GroundFuelSurcharge),2),ROUND(((1-GroundAKHIDiscount)*'Ground Base'!J114)*(1+GroundFuelSurcharge),2)))*(1+FedEx_Markup),2)</f>
        <v>528.4</v>
      </c>
      <c r="K119" s="218">
        <f>ROUND((IF('Ground Base'!K$154&gt;ROUND(((1-GroundZone51Discount)*'Ground Base'!K114),2),ROUND('Ground Base'!K$154*(1+GroundFuelSurcharge),2),ROUND(((1-GroundZone51Discount)*'Ground Base'!K114)*(1+GroundFuelSurcharge),2)))*(1+FedEx_Markup),2)</f>
        <v>119.82</v>
      </c>
      <c r="L119" s="218">
        <f>ROUND((IF('Ground Base'!L$154&gt;ROUND(((1-GroundZone54Discount)*'Ground Base'!L114),2),ROUND('Ground Base'!L$154*(1+GroundFuelSurcharge),2),ROUND(((1-GroundZone54Discount)*'Ground Base'!L114)*(1+GroundFuelSurcharge),2)))*(1+FedEx_Markup),2)</f>
        <v>161.02000000000001</v>
      </c>
    </row>
    <row r="120" spans="1:26" ht="12.75" customHeight="1">
      <c r="A120" s="217">
        <v>113</v>
      </c>
      <c r="B120" s="218">
        <f>ROUND((IF('Ground Base'!B$154&gt;ROUND(((1-GroundCommDiscount31Up-GroundCommIncentive)*'Ground Base'!B115),2),ROUND('Ground Base'!B$154*(1+GroundFuelSurcharge),2),ROUND(((1-GroundCommDiscount31Up-GroundCommIncentive)*'Ground Base'!B115)*(1+GroundFuelSurcharge),2)))*(1+FedEx_Markup),2)</f>
        <v>53.28</v>
      </c>
      <c r="C120" s="218">
        <f>ROUND((IF('Ground Base'!C$154&gt;ROUND(((1-GroundCommDiscount31Up-GroundCommIncentive)*'Ground Base'!C115),2),ROUND('Ground Base'!C$154*(1+GroundFuelSurcharge),2),ROUND(((1-GroundCommDiscount31Up-GroundCommIncentive)*'Ground Base'!C115)*(1+GroundFuelSurcharge),2)))*(1+FedEx_Markup),2)</f>
        <v>54.19</v>
      </c>
      <c r="D120" s="218">
        <f>ROUND((IF('Ground Base'!D$154&gt;ROUND(((1-GroundCommDiscount31Up-GroundCommIncentive)*'Ground Base'!D115),2),ROUND('Ground Base'!D$154*(1+GroundFuelSurcharge),2),ROUND(((1-GroundCommDiscount31Up-GroundCommIncentive)*'Ground Base'!D115)*(1+GroundFuelSurcharge),2)))*(1+FedEx_Markup),2)</f>
        <v>58.47</v>
      </c>
      <c r="E120" s="218">
        <f>ROUND((IF('Ground Base'!E$154&gt;ROUND(((1-GroundCommDiscount31Up-GroundCommIncentive)*'Ground Base'!E115),2),ROUND('Ground Base'!E$154*(1+GroundFuelSurcharge),2),ROUND(((1-GroundCommDiscount31Up-GroundCommIncentive)*'Ground Base'!E115)*(1+GroundFuelSurcharge),2)))*(1+FedEx_Markup),2)</f>
        <v>61.61</v>
      </c>
      <c r="F120" s="218">
        <f>ROUND((IF('Ground Base'!F$154&gt;ROUND(((1-GroundCommDiscount31Up-GroundCommIncentive)*'Ground Base'!F115),2),ROUND('Ground Base'!F$154*(1+GroundFuelSurcharge),2),ROUND(((1-GroundCommDiscount31Up-GroundCommIncentive)*'Ground Base'!F115)*(1+GroundFuelSurcharge),2)))*(1+FedEx_Markup),2)</f>
        <v>70.75</v>
      </c>
      <c r="G120" s="218">
        <f>ROUND((IF('Ground Base'!G$154&gt;ROUND(((1-GroundCommDiscount31Up-GroundCommIncentive)*'Ground Base'!G115),2),ROUND('Ground Base'!G$154*(1+GroundFuelSurcharge),2),ROUND(((1-GroundCommDiscount31Up-GroundCommIncentive)*'Ground Base'!G115)*(1+GroundFuelSurcharge),2)))*(1+FedEx_Markup),2)</f>
        <v>78.06</v>
      </c>
      <c r="H120" s="218">
        <f>ROUND((IF('Ground Base'!H$154&gt;ROUND(((1-GroundCommDiscount31Up-GroundCommIncentive)*'Ground Base'!H115),2),ROUND('Ground Base'!H$154*(1+GroundFuelSurcharge),2),ROUND(((1-GroundCommDiscount31Up-GroundCommIncentive)*'Ground Base'!H115)*(1+GroundFuelSurcharge),2)))*(1+FedEx_Markup),2)</f>
        <v>87.27</v>
      </c>
      <c r="I120" s="218">
        <f>ROUND((IF('Ground Base'!I$154&gt;ROUND(((1-GroundAKHIDiscount)*'Ground Base'!I115),2),ROUND('Ground Base'!I$154*(1+GroundFuelSurcharge),2),ROUND(((1-GroundAKHIDiscount)*'Ground Base'!I115)*(1+GroundFuelSurcharge),2)))*(1+FedEx_Markup),2)</f>
        <v>532.98</v>
      </c>
      <c r="J120" s="218">
        <f>ROUND((IF('Ground Base'!J$154&gt;ROUND(((1-GroundAKHIDiscount)*'Ground Base'!J115),2),ROUND('Ground Base'!J$154*(1+GroundFuelSurcharge),2),ROUND(((1-GroundAKHIDiscount)*'Ground Base'!J115)*(1+GroundFuelSurcharge),2)))*(1+FedEx_Markup),2)</f>
        <v>532.98</v>
      </c>
      <c r="K120" s="218">
        <f>ROUND((IF('Ground Base'!K$154&gt;ROUND(((1-GroundZone51Discount)*'Ground Base'!K115),2),ROUND('Ground Base'!K$154*(1+GroundFuelSurcharge),2),ROUND(((1-GroundZone51Discount)*'Ground Base'!K115)*(1+GroundFuelSurcharge),2)))*(1+FedEx_Markup),2)</f>
        <v>119.83</v>
      </c>
      <c r="L120" s="218">
        <f>ROUND((IF('Ground Base'!L$154&gt;ROUND(((1-GroundZone54Discount)*'Ground Base'!L115),2),ROUND('Ground Base'!L$154*(1+GroundFuelSurcharge),2),ROUND(((1-GroundZone54Discount)*'Ground Base'!L115)*(1+GroundFuelSurcharge),2)))*(1+FedEx_Markup),2)</f>
        <v>161.05000000000001</v>
      </c>
    </row>
    <row r="121" spans="1:26" ht="12.75" customHeight="1">
      <c r="A121" s="217">
        <v>114</v>
      </c>
      <c r="B121" s="218">
        <f>ROUND((IF('Ground Base'!B$154&gt;ROUND(((1-GroundCommDiscount31Up-GroundCommIncentive)*'Ground Base'!B116),2),ROUND('Ground Base'!B$154*(1+GroundFuelSurcharge),2),ROUND(((1-GroundCommDiscount31Up-GroundCommIncentive)*'Ground Base'!B116)*(1+GroundFuelSurcharge),2)))*(1+FedEx_Markup),2)</f>
        <v>53.83</v>
      </c>
      <c r="C121" s="218">
        <f>ROUND((IF('Ground Base'!C$154&gt;ROUND(((1-GroundCommDiscount31Up-GroundCommIncentive)*'Ground Base'!C116),2),ROUND('Ground Base'!C$154*(1+GroundFuelSurcharge),2),ROUND(((1-GroundCommDiscount31Up-GroundCommIncentive)*'Ground Base'!C116)*(1+GroundFuelSurcharge),2)))*(1+FedEx_Markup),2)</f>
        <v>55.35</v>
      </c>
      <c r="D121" s="218">
        <f>ROUND((IF('Ground Base'!D$154&gt;ROUND(((1-GroundCommDiscount31Up-GroundCommIncentive)*'Ground Base'!D116),2),ROUND('Ground Base'!D$154*(1+GroundFuelSurcharge),2),ROUND(((1-GroundCommDiscount31Up-GroundCommIncentive)*'Ground Base'!D116)*(1+GroundFuelSurcharge),2)))*(1+FedEx_Markup),2)</f>
        <v>59.69</v>
      </c>
      <c r="E121" s="218">
        <f>ROUND((IF('Ground Base'!E$154&gt;ROUND(((1-GroundCommDiscount31Up-GroundCommIncentive)*'Ground Base'!E116),2),ROUND('Ground Base'!E$154*(1+GroundFuelSurcharge),2),ROUND(((1-GroundCommDiscount31Up-GroundCommIncentive)*'Ground Base'!E116)*(1+GroundFuelSurcharge),2)))*(1+FedEx_Markup),2)</f>
        <v>62.81</v>
      </c>
      <c r="F121" s="218">
        <f>ROUND((IF('Ground Base'!F$154&gt;ROUND(((1-GroundCommDiscount31Up-GroundCommIncentive)*'Ground Base'!F116),2),ROUND('Ground Base'!F$154*(1+GroundFuelSurcharge),2),ROUND(((1-GroundCommDiscount31Up-GroundCommIncentive)*'Ground Base'!F116)*(1+GroundFuelSurcharge),2)))*(1+FedEx_Markup),2)</f>
        <v>72.62</v>
      </c>
      <c r="G121" s="218">
        <f>ROUND((IF('Ground Base'!G$154&gt;ROUND(((1-GroundCommDiscount31Up-GroundCommIncentive)*'Ground Base'!G116),2),ROUND('Ground Base'!G$154*(1+GroundFuelSurcharge),2),ROUND(((1-GroundCommDiscount31Up-GroundCommIncentive)*'Ground Base'!G116)*(1+GroundFuelSurcharge),2)))*(1+FedEx_Markup),2)</f>
        <v>80.010000000000005</v>
      </c>
      <c r="H121" s="218">
        <f>ROUND((IF('Ground Base'!H$154&gt;ROUND(((1-GroundCommDiscount31Up-GroundCommIncentive)*'Ground Base'!H116),2),ROUND('Ground Base'!H$154*(1+GroundFuelSurcharge),2),ROUND(((1-GroundCommDiscount31Up-GroundCommIncentive)*'Ground Base'!H116)*(1+GroundFuelSurcharge),2)))*(1+FedEx_Markup),2)</f>
        <v>88.67</v>
      </c>
      <c r="I121" s="218">
        <f>ROUND((IF('Ground Base'!I$154&gt;ROUND(((1-GroundAKHIDiscount)*'Ground Base'!I116),2),ROUND('Ground Base'!I$154*(1+GroundFuelSurcharge),2),ROUND(((1-GroundAKHIDiscount)*'Ground Base'!I116)*(1+GroundFuelSurcharge),2)))*(1+FedEx_Markup),2)</f>
        <v>537.61</v>
      </c>
      <c r="J121" s="218">
        <f>ROUND((IF('Ground Base'!J$154&gt;ROUND(((1-GroundAKHIDiscount)*'Ground Base'!J116),2),ROUND('Ground Base'!J$154*(1+GroundFuelSurcharge),2),ROUND(((1-GroundAKHIDiscount)*'Ground Base'!J116)*(1+GroundFuelSurcharge),2)))*(1+FedEx_Markup),2)</f>
        <v>537.61</v>
      </c>
      <c r="K121" s="218">
        <f>ROUND((IF('Ground Base'!K$154&gt;ROUND(((1-GroundZone51Discount)*'Ground Base'!K116),2),ROUND('Ground Base'!K$154*(1+GroundFuelSurcharge),2),ROUND(((1-GroundZone51Discount)*'Ground Base'!K116)*(1+GroundFuelSurcharge),2)))*(1+FedEx_Markup),2)</f>
        <v>119.84</v>
      </c>
      <c r="L121" s="218">
        <f>ROUND((IF('Ground Base'!L$154&gt;ROUND(((1-GroundZone54Discount)*'Ground Base'!L116),2),ROUND('Ground Base'!L$154*(1+GroundFuelSurcharge),2),ROUND(((1-GroundZone54Discount)*'Ground Base'!L116)*(1+GroundFuelSurcharge),2)))*(1+FedEx_Markup),2)</f>
        <v>161.06</v>
      </c>
    </row>
    <row r="122" spans="1:26" ht="12.75" customHeight="1">
      <c r="A122" s="217">
        <v>115</v>
      </c>
      <c r="B122" s="218">
        <f>ROUND((IF('Ground Base'!B$154&gt;ROUND(((1-GroundCommDiscount31Up-GroundCommIncentive)*'Ground Base'!B117),2),ROUND('Ground Base'!B$154*(1+GroundFuelSurcharge),2),ROUND(((1-GroundCommDiscount31Up-GroundCommIncentive)*'Ground Base'!B117)*(1+GroundFuelSurcharge),2)))*(1+FedEx_Markup),2)</f>
        <v>55.46</v>
      </c>
      <c r="C122" s="218">
        <f>ROUND((IF('Ground Base'!C$154&gt;ROUND(((1-GroundCommDiscount31Up-GroundCommIncentive)*'Ground Base'!C117),2),ROUND('Ground Base'!C$154*(1+GroundFuelSurcharge),2),ROUND(((1-GroundCommDiscount31Up-GroundCommIncentive)*'Ground Base'!C117)*(1+GroundFuelSurcharge),2)))*(1+FedEx_Markup),2)</f>
        <v>56.18</v>
      </c>
      <c r="D122" s="218">
        <f>ROUND((IF('Ground Base'!D$154&gt;ROUND(((1-GroundCommDiscount31Up-GroundCommIncentive)*'Ground Base'!D117),2),ROUND('Ground Base'!D$154*(1+GroundFuelSurcharge),2),ROUND(((1-GroundCommDiscount31Up-GroundCommIncentive)*'Ground Base'!D117)*(1+GroundFuelSurcharge),2)))*(1+FedEx_Markup),2)</f>
        <v>59.71</v>
      </c>
      <c r="E122" s="218">
        <f>ROUND((IF('Ground Base'!E$154&gt;ROUND(((1-GroundCommDiscount31Up-GroundCommIncentive)*'Ground Base'!E117),2),ROUND('Ground Base'!E$154*(1+GroundFuelSurcharge),2),ROUND(((1-GroundCommDiscount31Up-GroundCommIncentive)*'Ground Base'!E117)*(1+GroundFuelSurcharge),2)))*(1+FedEx_Markup),2)</f>
        <v>63.57</v>
      </c>
      <c r="F122" s="218">
        <f>ROUND((IF('Ground Base'!F$154&gt;ROUND(((1-GroundCommDiscount31Up-GroundCommIncentive)*'Ground Base'!F117),2),ROUND('Ground Base'!F$154*(1+GroundFuelSurcharge),2),ROUND(((1-GroundCommDiscount31Up-GroundCommIncentive)*'Ground Base'!F117)*(1+GroundFuelSurcharge),2)))*(1+FedEx_Markup),2)</f>
        <v>72.63</v>
      </c>
      <c r="G122" s="218">
        <f>ROUND((IF('Ground Base'!G$154&gt;ROUND(((1-GroundCommDiscount31Up-GroundCommIncentive)*'Ground Base'!G117),2),ROUND('Ground Base'!G$154*(1+GroundFuelSurcharge),2),ROUND(((1-GroundCommDiscount31Up-GroundCommIncentive)*'Ground Base'!G117)*(1+GroundFuelSurcharge),2)))*(1+FedEx_Markup),2)</f>
        <v>80.78</v>
      </c>
      <c r="H122" s="218">
        <f>ROUND((IF('Ground Base'!H$154&gt;ROUND(((1-GroundCommDiscount31Up-GroundCommIncentive)*'Ground Base'!H117),2),ROUND('Ground Base'!H$154*(1+GroundFuelSurcharge),2),ROUND(((1-GroundCommDiscount31Up-GroundCommIncentive)*'Ground Base'!H117)*(1+GroundFuelSurcharge),2)))*(1+FedEx_Markup),2)</f>
        <v>88.7</v>
      </c>
      <c r="I122" s="218">
        <f>ROUND((IF('Ground Base'!I$154&gt;ROUND(((1-GroundAKHIDiscount)*'Ground Base'!I117),2),ROUND('Ground Base'!I$154*(1+GroundFuelSurcharge),2),ROUND(((1-GroundAKHIDiscount)*'Ground Base'!I117)*(1+GroundFuelSurcharge),2)))*(1+FedEx_Markup),2)</f>
        <v>542.19000000000005</v>
      </c>
      <c r="J122" s="218">
        <f>ROUND((IF('Ground Base'!J$154&gt;ROUND(((1-GroundAKHIDiscount)*'Ground Base'!J117),2),ROUND('Ground Base'!J$154*(1+GroundFuelSurcharge),2),ROUND(((1-GroundAKHIDiscount)*'Ground Base'!J117)*(1+GroundFuelSurcharge),2)))*(1+FedEx_Markup),2)</f>
        <v>542.19000000000005</v>
      </c>
      <c r="K122" s="218">
        <f>ROUND((IF('Ground Base'!K$154&gt;ROUND(((1-GroundZone51Discount)*'Ground Base'!K117),2),ROUND('Ground Base'!K$154*(1+GroundFuelSurcharge),2),ROUND(((1-GroundZone51Discount)*'Ground Base'!K117)*(1+GroundFuelSurcharge),2)))*(1+FedEx_Markup),2)</f>
        <v>119.86</v>
      </c>
      <c r="L122" s="218">
        <f>ROUND((IF('Ground Base'!L$154&gt;ROUND(((1-GroundZone54Discount)*'Ground Base'!L117),2),ROUND('Ground Base'!L$154*(1+GroundFuelSurcharge),2),ROUND(((1-GroundZone54Discount)*'Ground Base'!L117)*(1+GroundFuelSurcharge),2)))*(1+FedEx_Markup),2)</f>
        <v>161.07</v>
      </c>
    </row>
    <row r="123" spans="1:26" ht="12.75" customHeight="1">
      <c r="A123" s="217">
        <v>116</v>
      </c>
      <c r="B123" s="218">
        <f>ROUND((IF('Ground Base'!B$154&gt;ROUND(((1-GroundCommDiscount31Up-GroundCommIncentive)*'Ground Base'!B118),2),ROUND('Ground Base'!B$154*(1+GroundFuelSurcharge),2),ROUND(((1-GroundCommDiscount31Up-GroundCommIncentive)*'Ground Base'!B118)*(1+GroundFuelSurcharge),2)))*(1+FedEx_Markup),2)</f>
        <v>55.48</v>
      </c>
      <c r="C123" s="218">
        <f>ROUND((IF('Ground Base'!C$154&gt;ROUND(((1-GroundCommDiscount31Up-GroundCommIncentive)*'Ground Base'!C118),2),ROUND('Ground Base'!C$154*(1+GroundFuelSurcharge),2),ROUND(((1-GroundCommDiscount31Up-GroundCommIncentive)*'Ground Base'!C118)*(1+GroundFuelSurcharge),2)))*(1+FedEx_Markup),2)</f>
        <v>56.18</v>
      </c>
      <c r="D123" s="218">
        <f>ROUND((IF('Ground Base'!D$154&gt;ROUND(((1-GroundCommDiscount31Up-GroundCommIncentive)*'Ground Base'!D118),2),ROUND('Ground Base'!D$154*(1+GroundFuelSurcharge),2),ROUND(((1-GroundCommDiscount31Up-GroundCommIncentive)*'Ground Base'!D118)*(1+GroundFuelSurcharge),2)))*(1+FedEx_Markup),2)</f>
        <v>60.43</v>
      </c>
      <c r="E123" s="218">
        <f>ROUND((IF('Ground Base'!E$154&gt;ROUND(((1-GroundCommDiscount31Up-GroundCommIncentive)*'Ground Base'!E118),2),ROUND('Ground Base'!E$154*(1+GroundFuelSurcharge),2),ROUND(((1-GroundCommDiscount31Up-GroundCommIncentive)*'Ground Base'!E118)*(1+GroundFuelSurcharge),2)))*(1+FedEx_Markup),2)</f>
        <v>63.58</v>
      </c>
      <c r="F123" s="218">
        <f>ROUND((IF('Ground Base'!F$154&gt;ROUND(((1-GroundCommDiscount31Up-GroundCommIncentive)*'Ground Base'!F118),2),ROUND('Ground Base'!F$154*(1+GroundFuelSurcharge),2),ROUND(((1-GroundCommDiscount31Up-GroundCommIncentive)*'Ground Base'!F118)*(1+GroundFuelSurcharge),2)))*(1+FedEx_Markup),2)</f>
        <v>73.7</v>
      </c>
      <c r="G123" s="218">
        <f>ROUND((IF('Ground Base'!G$154&gt;ROUND(((1-GroundCommDiscount31Up-GroundCommIncentive)*'Ground Base'!G118),2),ROUND('Ground Base'!G$154*(1+GroundFuelSurcharge),2),ROUND(((1-GroundCommDiscount31Up-GroundCommIncentive)*'Ground Base'!G118)*(1+GroundFuelSurcharge),2)))*(1+FedEx_Markup),2)</f>
        <v>81.790000000000006</v>
      </c>
      <c r="H123" s="218">
        <f>ROUND((IF('Ground Base'!H$154&gt;ROUND(((1-GroundCommDiscount31Up-GroundCommIncentive)*'Ground Base'!H118),2),ROUND('Ground Base'!H$154*(1+GroundFuelSurcharge),2),ROUND(((1-GroundCommDiscount31Up-GroundCommIncentive)*'Ground Base'!H118)*(1+GroundFuelSurcharge),2)))*(1+FedEx_Markup),2)</f>
        <v>90.08</v>
      </c>
      <c r="I123" s="218">
        <f>ROUND((IF('Ground Base'!I$154&gt;ROUND(((1-GroundAKHIDiscount)*'Ground Base'!I118),2),ROUND('Ground Base'!I$154*(1+GroundFuelSurcharge),2),ROUND(((1-GroundAKHIDiscount)*'Ground Base'!I118)*(1+GroundFuelSurcharge),2)))*(1+FedEx_Markup),2)</f>
        <v>542.20000000000005</v>
      </c>
      <c r="J123" s="218">
        <f>ROUND((IF('Ground Base'!J$154&gt;ROUND(((1-GroundAKHIDiscount)*'Ground Base'!J118),2),ROUND('Ground Base'!J$154*(1+GroundFuelSurcharge),2),ROUND(((1-GroundAKHIDiscount)*'Ground Base'!J118)*(1+GroundFuelSurcharge),2)))*(1+FedEx_Markup),2)</f>
        <v>542.20000000000005</v>
      </c>
      <c r="K123" s="218">
        <f>ROUND((IF('Ground Base'!K$154&gt;ROUND(((1-GroundZone51Discount)*'Ground Base'!K118),2),ROUND('Ground Base'!K$154*(1+GroundFuelSurcharge),2),ROUND(((1-GroundZone51Discount)*'Ground Base'!K118)*(1+GroundFuelSurcharge),2)))*(1+FedEx_Markup),2)</f>
        <v>122.99</v>
      </c>
      <c r="L123" s="218">
        <f>ROUND((IF('Ground Base'!L$154&gt;ROUND(((1-GroundZone54Discount)*'Ground Base'!L118),2),ROUND('Ground Base'!L$154*(1+GroundFuelSurcharge),2),ROUND(((1-GroundZone54Discount)*'Ground Base'!L118)*(1+GroundFuelSurcharge),2)))*(1+FedEx_Markup),2)</f>
        <v>167.13</v>
      </c>
    </row>
    <row r="124" spans="1:26" ht="12.75" customHeight="1">
      <c r="A124" s="217">
        <v>117</v>
      </c>
      <c r="B124" s="218">
        <f>ROUND((IF('Ground Base'!B$154&gt;ROUND(((1-GroundCommDiscount31Up-GroundCommIncentive)*'Ground Base'!B119),2),ROUND('Ground Base'!B$154*(1+GroundFuelSurcharge),2),ROUND(((1-GroundCommDiscount31Up-GroundCommIncentive)*'Ground Base'!B119)*(1+GroundFuelSurcharge),2)))*(1+FedEx_Markup),2)</f>
        <v>55.53</v>
      </c>
      <c r="C124" s="218">
        <f>ROUND((IF('Ground Base'!C$154&gt;ROUND(((1-GroundCommDiscount31Up-GroundCommIncentive)*'Ground Base'!C119),2),ROUND('Ground Base'!C$154*(1+GroundFuelSurcharge),2),ROUND(((1-GroundCommDiscount31Up-GroundCommIncentive)*'Ground Base'!C119)*(1+GroundFuelSurcharge),2)))*(1+FedEx_Markup),2)</f>
        <v>56.72</v>
      </c>
      <c r="D124" s="218">
        <f>ROUND((IF('Ground Base'!D$154&gt;ROUND(((1-GroundCommDiscount31Up-GroundCommIncentive)*'Ground Base'!D119),2),ROUND('Ground Base'!D$154*(1+GroundFuelSurcharge),2),ROUND(((1-GroundCommDiscount31Up-GroundCommIncentive)*'Ground Base'!D119)*(1+GroundFuelSurcharge),2)))*(1+FedEx_Markup),2)</f>
        <v>61.01</v>
      </c>
      <c r="E124" s="218">
        <f>ROUND((IF('Ground Base'!E$154&gt;ROUND(((1-GroundCommDiscount31Up-GroundCommIncentive)*'Ground Base'!E119),2),ROUND('Ground Base'!E$154*(1+GroundFuelSurcharge),2),ROUND(((1-GroundCommDiscount31Up-GroundCommIncentive)*'Ground Base'!E119)*(1+GroundFuelSurcharge),2)))*(1+FedEx_Markup),2)</f>
        <v>64.430000000000007</v>
      </c>
      <c r="F124" s="218">
        <f>ROUND((IF('Ground Base'!F$154&gt;ROUND(((1-GroundCommDiscount31Up-GroundCommIncentive)*'Ground Base'!F119),2),ROUND('Ground Base'!F$154*(1+GroundFuelSurcharge),2),ROUND(((1-GroundCommDiscount31Up-GroundCommIncentive)*'Ground Base'!F119)*(1+GroundFuelSurcharge),2)))*(1+FedEx_Markup),2)</f>
        <v>73.7</v>
      </c>
      <c r="G124" s="218">
        <f>ROUND((IF('Ground Base'!G$154&gt;ROUND(((1-GroundCommDiscount31Up-GroundCommIncentive)*'Ground Base'!G119),2),ROUND('Ground Base'!G$154*(1+GroundFuelSurcharge),2),ROUND(((1-GroundCommDiscount31Up-GroundCommIncentive)*'Ground Base'!G119)*(1+GroundFuelSurcharge),2)))*(1+FedEx_Markup),2)</f>
        <v>81.790000000000006</v>
      </c>
      <c r="H124" s="218">
        <f>ROUND((IF('Ground Base'!H$154&gt;ROUND(((1-GroundCommDiscount31Up-GroundCommIncentive)*'Ground Base'!H119),2),ROUND('Ground Base'!H$154*(1+GroundFuelSurcharge),2),ROUND(((1-GroundCommDiscount31Up-GroundCommIncentive)*'Ground Base'!H119)*(1+GroundFuelSurcharge),2)))*(1+FedEx_Markup),2)</f>
        <v>90.67</v>
      </c>
      <c r="I124" s="218">
        <f>ROUND((IF('Ground Base'!I$154&gt;ROUND(((1-GroundAKHIDiscount)*'Ground Base'!I119),2),ROUND('Ground Base'!I$154*(1+GroundFuelSurcharge),2),ROUND(((1-GroundAKHIDiscount)*'Ground Base'!I119)*(1+GroundFuelSurcharge),2)))*(1+FedEx_Markup),2)</f>
        <v>544.79</v>
      </c>
      <c r="J124" s="218">
        <f>ROUND((IF('Ground Base'!J$154&gt;ROUND(((1-GroundAKHIDiscount)*'Ground Base'!J119),2),ROUND('Ground Base'!J$154*(1+GroundFuelSurcharge),2),ROUND(((1-GroundAKHIDiscount)*'Ground Base'!J119)*(1+GroundFuelSurcharge),2)))*(1+FedEx_Markup),2)</f>
        <v>544.79</v>
      </c>
      <c r="K124" s="218">
        <f>ROUND((IF('Ground Base'!K$154&gt;ROUND(((1-GroundZone51Discount)*'Ground Base'!K119),2),ROUND('Ground Base'!K$154*(1+GroundFuelSurcharge),2),ROUND(((1-GroundZone51Discount)*'Ground Base'!K119)*(1+GroundFuelSurcharge),2)))*(1+FedEx_Markup),2)</f>
        <v>123.02</v>
      </c>
      <c r="L124" s="218">
        <f>ROUND((IF('Ground Base'!L$154&gt;ROUND(((1-GroundZone54Discount)*'Ground Base'!L119),2),ROUND('Ground Base'!L$154*(1+GroundFuelSurcharge),2),ROUND(((1-GroundZone54Discount)*'Ground Base'!L119)*(1+GroundFuelSurcharge),2)))*(1+FedEx_Markup),2)</f>
        <v>167.14</v>
      </c>
    </row>
    <row r="125" spans="1:26" ht="12.75" customHeight="1">
      <c r="A125" s="217">
        <v>118</v>
      </c>
      <c r="B125" s="218">
        <f>ROUND((IF('Ground Base'!B$154&gt;ROUND(((1-GroundCommDiscount31Up-GroundCommIncentive)*'Ground Base'!B120),2),ROUND('Ground Base'!B$154*(1+GroundFuelSurcharge),2),ROUND(((1-GroundCommDiscount31Up-GroundCommIncentive)*'Ground Base'!B120)*(1+GroundFuelSurcharge),2)))*(1+FedEx_Markup),2)</f>
        <v>56.13</v>
      </c>
      <c r="C125" s="218">
        <f>ROUND((IF('Ground Base'!C$154&gt;ROUND(((1-GroundCommDiscount31Up-GroundCommIncentive)*'Ground Base'!C120),2),ROUND('Ground Base'!C$154*(1+GroundFuelSurcharge),2),ROUND(((1-GroundCommDiscount31Up-GroundCommIncentive)*'Ground Base'!C120)*(1+GroundFuelSurcharge),2)))*(1+FedEx_Markup),2)</f>
        <v>57.4</v>
      </c>
      <c r="D125" s="218">
        <f>ROUND((IF('Ground Base'!D$154&gt;ROUND(((1-GroundCommDiscount31Up-GroundCommIncentive)*'Ground Base'!D120),2),ROUND('Ground Base'!D$154*(1+GroundFuelSurcharge),2),ROUND(((1-GroundCommDiscount31Up-GroundCommIncentive)*'Ground Base'!D120)*(1+GroundFuelSurcharge),2)))*(1+FedEx_Markup),2)</f>
        <v>61.07</v>
      </c>
      <c r="E125" s="218">
        <f>ROUND((IF('Ground Base'!E$154&gt;ROUND(((1-GroundCommDiscount31Up-GroundCommIncentive)*'Ground Base'!E120),2),ROUND('Ground Base'!E$154*(1+GroundFuelSurcharge),2),ROUND(((1-GroundCommDiscount31Up-GroundCommIncentive)*'Ground Base'!E120)*(1+GroundFuelSurcharge),2)))*(1+FedEx_Markup),2)</f>
        <v>64.62</v>
      </c>
      <c r="F125" s="218">
        <f>ROUND((IF('Ground Base'!F$154&gt;ROUND(((1-GroundCommDiscount31Up-GroundCommIncentive)*'Ground Base'!F120),2),ROUND('Ground Base'!F$154*(1+GroundFuelSurcharge),2),ROUND(((1-GroundCommDiscount31Up-GroundCommIncentive)*'Ground Base'!F120)*(1+GroundFuelSurcharge),2)))*(1+FedEx_Markup),2)</f>
        <v>74.239999999999995</v>
      </c>
      <c r="G125" s="218">
        <f>ROUND((IF('Ground Base'!G$154&gt;ROUND(((1-GroundCommDiscount31Up-GroundCommIncentive)*'Ground Base'!G120),2),ROUND('Ground Base'!G$154*(1+GroundFuelSurcharge),2),ROUND(((1-GroundCommDiscount31Up-GroundCommIncentive)*'Ground Base'!G120)*(1+GroundFuelSurcharge),2)))*(1+FedEx_Markup),2)</f>
        <v>81.8</v>
      </c>
      <c r="H125" s="218">
        <f>ROUND((IF('Ground Base'!H$154&gt;ROUND(((1-GroundCommDiscount31Up-GroundCommIncentive)*'Ground Base'!H120),2),ROUND('Ground Base'!H$154*(1+GroundFuelSurcharge),2),ROUND(((1-GroundCommDiscount31Up-GroundCommIncentive)*'Ground Base'!H120)*(1+GroundFuelSurcharge),2)))*(1+FedEx_Markup),2)</f>
        <v>92.22</v>
      </c>
      <c r="I125" s="218">
        <f>ROUND((IF('Ground Base'!I$154&gt;ROUND(((1-GroundAKHIDiscount)*'Ground Base'!I120),2),ROUND('Ground Base'!I$154*(1+GroundFuelSurcharge),2),ROUND(((1-GroundAKHIDiscount)*'Ground Base'!I120)*(1+GroundFuelSurcharge),2)))*(1+FedEx_Markup),2)</f>
        <v>549.09</v>
      </c>
      <c r="J125" s="218">
        <f>ROUND((IF('Ground Base'!J$154&gt;ROUND(((1-GroundAKHIDiscount)*'Ground Base'!J120),2),ROUND('Ground Base'!J$154*(1+GroundFuelSurcharge),2),ROUND(((1-GroundAKHIDiscount)*'Ground Base'!J120)*(1+GroundFuelSurcharge),2)))*(1+FedEx_Markup),2)</f>
        <v>549.09</v>
      </c>
      <c r="K125" s="218">
        <f>ROUND((IF('Ground Base'!K$154&gt;ROUND(((1-GroundZone51Discount)*'Ground Base'!K120),2),ROUND('Ground Base'!K$154*(1+GroundFuelSurcharge),2),ROUND(((1-GroundZone51Discount)*'Ground Base'!K120)*(1+GroundFuelSurcharge),2)))*(1+FedEx_Markup),2)</f>
        <v>123.02</v>
      </c>
      <c r="L125" s="218">
        <f>ROUND((IF('Ground Base'!L$154&gt;ROUND(((1-GroundZone54Discount)*'Ground Base'!L120),2),ROUND('Ground Base'!L$154*(1+GroundFuelSurcharge),2),ROUND(((1-GroundZone54Discount)*'Ground Base'!L120)*(1+GroundFuelSurcharge),2)))*(1+FedEx_Markup),2)</f>
        <v>167.14</v>
      </c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2.75" customHeight="1">
      <c r="A126" s="217">
        <v>119</v>
      </c>
      <c r="B126" s="218">
        <f>ROUND((IF('Ground Base'!B$154&gt;ROUND(((1-GroundCommDiscount31Up-GroundCommIncentive)*'Ground Base'!B121),2),ROUND('Ground Base'!B$154*(1+GroundFuelSurcharge),2),ROUND(((1-GroundCommDiscount31Up-GroundCommIncentive)*'Ground Base'!B121)*(1+GroundFuelSurcharge),2)))*(1+FedEx_Markup),2)</f>
        <v>57.79</v>
      </c>
      <c r="C126" s="218">
        <f>ROUND((IF('Ground Base'!C$154&gt;ROUND(((1-GroundCommDiscount31Up-GroundCommIncentive)*'Ground Base'!C121),2),ROUND('Ground Base'!C$154*(1+GroundFuelSurcharge),2),ROUND(((1-GroundCommDiscount31Up-GroundCommIncentive)*'Ground Base'!C121)*(1+GroundFuelSurcharge),2)))*(1+FedEx_Markup),2)</f>
        <v>58.57</v>
      </c>
      <c r="D126" s="218">
        <f>ROUND((IF('Ground Base'!D$154&gt;ROUND(((1-GroundCommDiscount31Up-GroundCommIncentive)*'Ground Base'!D121),2),ROUND('Ground Base'!D$154*(1+GroundFuelSurcharge),2),ROUND(((1-GroundCommDiscount31Up-GroundCommIncentive)*'Ground Base'!D121)*(1+GroundFuelSurcharge),2)))*(1+FedEx_Markup),2)</f>
        <v>62.88</v>
      </c>
      <c r="E126" s="218">
        <f>ROUND((IF('Ground Base'!E$154&gt;ROUND(((1-GroundCommDiscount31Up-GroundCommIncentive)*'Ground Base'!E121),2),ROUND('Ground Base'!E$154*(1+GroundFuelSurcharge),2),ROUND(((1-GroundCommDiscount31Up-GroundCommIncentive)*'Ground Base'!E121)*(1+GroundFuelSurcharge),2)))*(1+FedEx_Markup),2)</f>
        <v>65.599999999999994</v>
      </c>
      <c r="F126" s="218">
        <f>ROUND((IF('Ground Base'!F$154&gt;ROUND(((1-GroundCommDiscount31Up-GroundCommIncentive)*'Ground Base'!F121),2),ROUND('Ground Base'!F$154*(1+GroundFuelSurcharge),2),ROUND(((1-GroundCommDiscount31Up-GroundCommIncentive)*'Ground Base'!F121)*(1+GroundFuelSurcharge),2)))*(1+FedEx_Markup),2)</f>
        <v>74.260000000000005</v>
      </c>
      <c r="G126" s="218">
        <f>ROUND((IF('Ground Base'!G$154&gt;ROUND(((1-GroundCommDiscount31Up-GroundCommIncentive)*'Ground Base'!G121),2),ROUND('Ground Base'!G$154*(1+GroundFuelSurcharge),2),ROUND(((1-GroundCommDiscount31Up-GroundCommIncentive)*'Ground Base'!G121)*(1+GroundFuelSurcharge),2)))*(1+FedEx_Markup),2)</f>
        <v>82.44</v>
      </c>
      <c r="H126" s="218">
        <f>ROUND((IF('Ground Base'!H$154&gt;ROUND(((1-GroundCommDiscount31Up-GroundCommIncentive)*'Ground Base'!H121),2),ROUND('Ground Base'!H$154*(1+GroundFuelSurcharge),2),ROUND(((1-GroundCommDiscount31Up-GroundCommIncentive)*'Ground Base'!H121)*(1+GroundFuelSurcharge),2)))*(1+FedEx_Markup),2)</f>
        <v>92.22</v>
      </c>
      <c r="I126" s="218">
        <f>ROUND((IF('Ground Base'!I$154&gt;ROUND(((1-GroundAKHIDiscount)*'Ground Base'!I121),2),ROUND('Ground Base'!I$154*(1+GroundFuelSurcharge),2),ROUND(((1-GroundAKHIDiscount)*'Ground Base'!I121)*(1+GroundFuelSurcharge),2)))*(1+FedEx_Markup),2)</f>
        <v>562.29</v>
      </c>
      <c r="J126" s="218">
        <f>ROUND((IF('Ground Base'!J$154&gt;ROUND(((1-GroundAKHIDiscount)*'Ground Base'!J121),2),ROUND('Ground Base'!J$154*(1+GroundFuelSurcharge),2),ROUND(((1-GroundAKHIDiscount)*'Ground Base'!J121)*(1+GroundFuelSurcharge),2)))*(1+FedEx_Markup),2)</f>
        <v>562.29</v>
      </c>
      <c r="K126" s="218">
        <f>ROUND((IF('Ground Base'!K$154&gt;ROUND(((1-GroundZone51Discount)*'Ground Base'!K121),2),ROUND('Ground Base'!K$154*(1+GroundFuelSurcharge),2),ROUND(((1-GroundZone51Discount)*'Ground Base'!K121)*(1+GroundFuelSurcharge),2)))*(1+FedEx_Markup),2)</f>
        <v>123.04</v>
      </c>
      <c r="L126" s="218">
        <f>ROUND((IF('Ground Base'!L$154&gt;ROUND(((1-GroundZone54Discount)*'Ground Base'!L121),2),ROUND('Ground Base'!L$154*(1+GroundFuelSurcharge),2),ROUND(((1-GroundZone54Discount)*'Ground Base'!L121)*(1+GroundFuelSurcharge),2)))*(1+FedEx_Markup),2)</f>
        <v>167.15</v>
      </c>
    </row>
    <row r="127" spans="1:26" ht="12.75" customHeight="1">
      <c r="A127" s="217">
        <v>120</v>
      </c>
      <c r="B127" s="218">
        <f>ROUND((IF('Ground Base'!B$154&gt;ROUND(((1-GroundCommDiscount31Up-GroundCommIncentive)*'Ground Base'!B122),2),ROUND('Ground Base'!B$154*(1+GroundFuelSurcharge),2),ROUND(((1-GroundCommDiscount31Up-GroundCommIncentive)*'Ground Base'!B122)*(1+GroundFuelSurcharge),2)))*(1+FedEx_Markup),2)</f>
        <v>59.36</v>
      </c>
      <c r="C127" s="218">
        <f>ROUND((IF('Ground Base'!C$154&gt;ROUND(((1-GroundCommDiscount31Up-GroundCommIncentive)*'Ground Base'!C122),2),ROUND('Ground Base'!C$154*(1+GroundFuelSurcharge),2),ROUND(((1-GroundCommDiscount31Up-GroundCommIncentive)*'Ground Base'!C122)*(1+GroundFuelSurcharge),2)))*(1+FedEx_Markup),2)</f>
        <v>59.41</v>
      </c>
      <c r="D127" s="218">
        <f>ROUND((IF('Ground Base'!D$154&gt;ROUND(((1-GroundCommDiscount31Up-GroundCommIncentive)*'Ground Base'!D122),2),ROUND('Ground Base'!D$154*(1+GroundFuelSurcharge),2),ROUND(((1-GroundCommDiscount31Up-GroundCommIncentive)*'Ground Base'!D122)*(1+GroundFuelSurcharge),2)))*(1+FedEx_Markup),2)</f>
        <v>62.97</v>
      </c>
      <c r="E127" s="218">
        <f>ROUND((IF('Ground Base'!E$154&gt;ROUND(((1-GroundCommDiscount31Up-GroundCommIncentive)*'Ground Base'!E122),2),ROUND('Ground Base'!E$154*(1+GroundFuelSurcharge),2),ROUND(((1-GroundCommDiscount31Up-GroundCommIncentive)*'Ground Base'!E122)*(1+GroundFuelSurcharge),2)))*(1+FedEx_Markup),2)</f>
        <v>66.040000000000006</v>
      </c>
      <c r="F127" s="218">
        <f>ROUND((IF('Ground Base'!F$154&gt;ROUND(((1-GroundCommDiscount31Up-GroundCommIncentive)*'Ground Base'!F122),2),ROUND('Ground Base'!F$154*(1+GroundFuelSurcharge),2),ROUND(((1-GroundCommDiscount31Up-GroundCommIncentive)*'Ground Base'!F122)*(1+GroundFuelSurcharge),2)))*(1+FedEx_Markup),2)</f>
        <v>75.540000000000006</v>
      </c>
      <c r="G127" s="218">
        <f>ROUND((IF('Ground Base'!G$154&gt;ROUND(((1-GroundCommDiscount31Up-GroundCommIncentive)*'Ground Base'!G122),2),ROUND('Ground Base'!G$154*(1+GroundFuelSurcharge),2),ROUND(((1-GroundCommDiscount31Up-GroundCommIncentive)*'Ground Base'!G122)*(1+GroundFuelSurcharge),2)))*(1+FedEx_Markup),2)</f>
        <v>83.52</v>
      </c>
      <c r="H127" s="218">
        <f>ROUND((IF('Ground Base'!H$154&gt;ROUND(((1-GroundCommDiscount31Up-GroundCommIncentive)*'Ground Base'!H122),2),ROUND('Ground Base'!H$154*(1+GroundFuelSurcharge),2),ROUND(((1-GroundCommDiscount31Up-GroundCommIncentive)*'Ground Base'!H122)*(1+GroundFuelSurcharge),2)))*(1+FedEx_Markup),2)</f>
        <v>92.23</v>
      </c>
      <c r="I127" s="218">
        <f>ROUND((IF('Ground Base'!I$154&gt;ROUND(((1-GroundAKHIDiscount)*'Ground Base'!I122),2),ROUND('Ground Base'!I$154*(1+GroundFuelSurcharge),2),ROUND(((1-GroundAKHIDiscount)*'Ground Base'!I122)*(1+GroundFuelSurcharge),2)))*(1+FedEx_Markup),2)</f>
        <v>566.89</v>
      </c>
      <c r="J127" s="218">
        <f>ROUND((IF('Ground Base'!J$154&gt;ROUND(((1-GroundAKHIDiscount)*'Ground Base'!J122),2),ROUND('Ground Base'!J$154*(1+GroundFuelSurcharge),2),ROUND(((1-GroundAKHIDiscount)*'Ground Base'!J122)*(1+GroundFuelSurcharge),2)))*(1+FedEx_Markup),2)</f>
        <v>566.89</v>
      </c>
      <c r="K127" s="218">
        <f>ROUND((IF('Ground Base'!K$154&gt;ROUND(((1-GroundZone51Discount)*'Ground Base'!K122),2),ROUND('Ground Base'!K$154*(1+GroundFuelSurcharge),2),ROUND(((1-GroundZone51Discount)*'Ground Base'!K122)*(1+GroundFuelSurcharge),2)))*(1+FedEx_Markup),2)</f>
        <v>123.04</v>
      </c>
      <c r="L127" s="218">
        <f>ROUND((IF('Ground Base'!L$154&gt;ROUND(((1-GroundZone54Discount)*'Ground Base'!L122),2),ROUND('Ground Base'!L$154*(1+GroundFuelSurcharge),2),ROUND(((1-GroundZone54Discount)*'Ground Base'!L122)*(1+GroundFuelSurcharge),2)))*(1+FedEx_Markup),2)</f>
        <v>167.15</v>
      </c>
    </row>
    <row r="128" spans="1:26" ht="12.75" customHeight="1">
      <c r="A128" s="217">
        <v>121</v>
      </c>
      <c r="B128" s="218">
        <f>ROUND((IF('Ground Base'!B$154&gt;ROUND(((1-GroundCommDiscount31Up-GroundCommIncentive)*'Ground Base'!B123),2),ROUND('Ground Base'!B$154*(1+GroundFuelSurcharge),2),ROUND(((1-GroundCommDiscount31Up-GroundCommIncentive)*'Ground Base'!B123)*(1+GroundFuelSurcharge),2)))*(1+FedEx_Markup),2)</f>
        <v>59.37</v>
      </c>
      <c r="C128" s="218">
        <f>ROUND((IF('Ground Base'!C$154&gt;ROUND(((1-GroundCommDiscount31Up-GroundCommIncentive)*'Ground Base'!C123),2),ROUND('Ground Base'!C$154*(1+GroundFuelSurcharge),2),ROUND(((1-GroundCommDiscount31Up-GroundCommIncentive)*'Ground Base'!C123)*(1+GroundFuelSurcharge),2)))*(1+FedEx_Markup),2)</f>
        <v>59.42</v>
      </c>
      <c r="D128" s="218">
        <f>ROUND((IF('Ground Base'!D$154&gt;ROUND(((1-GroundCommDiscount31Up-GroundCommIncentive)*'Ground Base'!D123),2),ROUND('Ground Base'!D$154*(1+GroundFuelSurcharge),2),ROUND(((1-GroundCommDiscount31Up-GroundCommIncentive)*'Ground Base'!D123)*(1+GroundFuelSurcharge),2)))*(1+FedEx_Markup),2)</f>
        <v>62.99</v>
      </c>
      <c r="E128" s="218">
        <f>ROUND((IF('Ground Base'!E$154&gt;ROUND(((1-GroundCommDiscount31Up-GroundCommIncentive)*'Ground Base'!E123),2),ROUND('Ground Base'!E$154*(1+GroundFuelSurcharge),2),ROUND(((1-GroundCommDiscount31Up-GroundCommIncentive)*'Ground Base'!E123)*(1+GroundFuelSurcharge),2)))*(1+FedEx_Markup),2)</f>
        <v>66.06</v>
      </c>
      <c r="F128" s="218">
        <f>ROUND((IF('Ground Base'!F$154&gt;ROUND(((1-GroundCommDiscount31Up-GroundCommIncentive)*'Ground Base'!F123),2),ROUND('Ground Base'!F$154*(1+GroundFuelSurcharge),2),ROUND(((1-GroundCommDiscount31Up-GroundCommIncentive)*'Ground Base'!F123)*(1+GroundFuelSurcharge),2)))*(1+FedEx_Markup),2)</f>
        <v>76.03</v>
      </c>
      <c r="G128" s="218">
        <f>ROUND((IF('Ground Base'!G$154&gt;ROUND(((1-GroundCommDiscount31Up-GroundCommIncentive)*'Ground Base'!G123),2),ROUND('Ground Base'!G$154*(1+GroundFuelSurcharge),2),ROUND(((1-GroundCommDiscount31Up-GroundCommIncentive)*'Ground Base'!G123)*(1+GroundFuelSurcharge),2)))*(1+FedEx_Markup),2)</f>
        <v>83.54</v>
      </c>
      <c r="H128" s="218">
        <f>ROUND((IF('Ground Base'!H$154&gt;ROUND(((1-GroundCommDiscount31Up-GroundCommIncentive)*'Ground Base'!H123),2),ROUND('Ground Base'!H$154*(1+GroundFuelSurcharge),2),ROUND(((1-GroundCommDiscount31Up-GroundCommIncentive)*'Ground Base'!H123)*(1+GroundFuelSurcharge),2)))*(1+FedEx_Markup),2)</f>
        <v>92.23</v>
      </c>
      <c r="I128" s="218">
        <f>ROUND((IF('Ground Base'!I$154&gt;ROUND(((1-GroundAKHIDiscount)*'Ground Base'!I123),2),ROUND('Ground Base'!I$154*(1+GroundFuelSurcharge),2),ROUND(((1-GroundAKHIDiscount)*'Ground Base'!I123)*(1+GroundFuelSurcharge),2)))*(1+FedEx_Markup),2)</f>
        <v>570.69000000000005</v>
      </c>
      <c r="J128" s="218">
        <f>ROUND((IF('Ground Base'!J$154&gt;ROUND(((1-GroundAKHIDiscount)*'Ground Base'!J123),2),ROUND('Ground Base'!J$154*(1+GroundFuelSurcharge),2),ROUND(((1-GroundAKHIDiscount)*'Ground Base'!J123)*(1+GroundFuelSurcharge),2)))*(1+FedEx_Markup),2)</f>
        <v>570.69000000000005</v>
      </c>
      <c r="K128" s="218">
        <f>ROUND((IF('Ground Base'!K$154&gt;ROUND(((1-GroundZone51Discount)*'Ground Base'!K123),2),ROUND('Ground Base'!K$154*(1+GroundFuelSurcharge),2),ROUND(((1-GroundZone51Discount)*'Ground Base'!K123)*(1+GroundFuelSurcharge),2)))*(1+FedEx_Markup),2)</f>
        <v>125.87</v>
      </c>
      <c r="L128" s="218">
        <f>ROUND((IF('Ground Base'!L$154&gt;ROUND(((1-GroundZone54Discount)*'Ground Base'!L123),2),ROUND('Ground Base'!L$154*(1+GroundFuelSurcharge),2),ROUND(((1-GroundZone54Discount)*'Ground Base'!L123)*(1+GroundFuelSurcharge),2)))*(1+FedEx_Markup),2)</f>
        <v>173.2</v>
      </c>
    </row>
    <row r="129" spans="1:12" ht="12.75" customHeight="1">
      <c r="A129" s="217">
        <v>122</v>
      </c>
      <c r="B129" s="218">
        <f>ROUND((IF('Ground Base'!B$154&gt;ROUND(((1-GroundCommDiscount31Up-GroundCommIncentive)*'Ground Base'!B124),2),ROUND('Ground Base'!B$154*(1+GroundFuelSurcharge),2),ROUND(((1-GroundCommDiscount31Up-GroundCommIncentive)*'Ground Base'!B124)*(1+GroundFuelSurcharge),2)))*(1+FedEx_Markup),2)</f>
        <v>59.37</v>
      </c>
      <c r="C129" s="218">
        <f>ROUND((IF('Ground Base'!C$154&gt;ROUND(((1-GroundCommDiscount31Up-GroundCommIncentive)*'Ground Base'!C124),2),ROUND('Ground Base'!C$154*(1+GroundFuelSurcharge),2),ROUND(((1-GroundCommDiscount31Up-GroundCommIncentive)*'Ground Base'!C124)*(1+GroundFuelSurcharge),2)))*(1+FedEx_Markup),2)</f>
        <v>60.56</v>
      </c>
      <c r="D129" s="218">
        <f>ROUND((IF('Ground Base'!D$154&gt;ROUND(((1-GroundCommDiscount31Up-GroundCommIncentive)*'Ground Base'!D124),2),ROUND('Ground Base'!D$154*(1+GroundFuelSurcharge),2),ROUND(((1-GroundCommDiscount31Up-GroundCommIncentive)*'Ground Base'!D124)*(1+GroundFuelSurcharge),2)))*(1+FedEx_Markup),2)</f>
        <v>63.6</v>
      </c>
      <c r="E129" s="218">
        <f>ROUND((IF('Ground Base'!E$154&gt;ROUND(((1-GroundCommDiscount31Up-GroundCommIncentive)*'Ground Base'!E124),2),ROUND('Ground Base'!E$154*(1+GroundFuelSurcharge),2),ROUND(((1-GroundCommDiscount31Up-GroundCommIncentive)*'Ground Base'!E124)*(1+GroundFuelSurcharge),2)))*(1+FedEx_Markup),2)</f>
        <v>66.650000000000006</v>
      </c>
      <c r="F129" s="218">
        <f>ROUND((IF('Ground Base'!F$154&gt;ROUND(((1-GroundCommDiscount31Up-GroundCommIncentive)*'Ground Base'!F124),2),ROUND('Ground Base'!F$154*(1+GroundFuelSurcharge),2),ROUND(((1-GroundCommDiscount31Up-GroundCommIncentive)*'Ground Base'!F124)*(1+GroundFuelSurcharge),2)))*(1+FedEx_Markup),2)</f>
        <v>76.62</v>
      </c>
      <c r="G129" s="218">
        <f>ROUND((IF('Ground Base'!G$154&gt;ROUND(((1-GroundCommDiscount31Up-GroundCommIncentive)*'Ground Base'!G124),2),ROUND('Ground Base'!G$154*(1+GroundFuelSurcharge),2),ROUND(((1-GroundCommDiscount31Up-GroundCommIncentive)*'Ground Base'!G124)*(1+GroundFuelSurcharge),2)))*(1+FedEx_Markup),2)</f>
        <v>84.85</v>
      </c>
      <c r="H129" s="218">
        <f>ROUND((IF('Ground Base'!H$154&gt;ROUND(((1-GroundCommDiscount31Up-GroundCommIncentive)*'Ground Base'!H124),2),ROUND('Ground Base'!H$154*(1+GroundFuelSurcharge),2),ROUND(((1-GroundCommDiscount31Up-GroundCommIncentive)*'Ground Base'!H124)*(1+GroundFuelSurcharge),2)))*(1+FedEx_Markup),2)</f>
        <v>93.85</v>
      </c>
      <c r="I129" s="218">
        <f>ROUND((IF('Ground Base'!I$154&gt;ROUND(((1-GroundAKHIDiscount)*'Ground Base'!I124),2),ROUND('Ground Base'!I$154*(1+GroundFuelSurcharge),2),ROUND(((1-GroundAKHIDiscount)*'Ground Base'!I124)*(1+GroundFuelSurcharge),2)))*(1+FedEx_Markup),2)</f>
        <v>575.52</v>
      </c>
      <c r="J129" s="218">
        <f>ROUND((IF('Ground Base'!J$154&gt;ROUND(((1-GroundAKHIDiscount)*'Ground Base'!J124),2),ROUND('Ground Base'!J$154*(1+GroundFuelSurcharge),2),ROUND(((1-GroundAKHIDiscount)*'Ground Base'!J124)*(1+GroundFuelSurcharge),2)))*(1+FedEx_Markup),2)</f>
        <v>575.52</v>
      </c>
      <c r="K129" s="218">
        <f>ROUND((IF('Ground Base'!K$154&gt;ROUND(((1-GroundZone51Discount)*'Ground Base'!K124),2),ROUND('Ground Base'!K$154*(1+GroundFuelSurcharge),2),ROUND(((1-GroundZone51Discount)*'Ground Base'!K124)*(1+GroundFuelSurcharge),2)))*(1+FedEx_Markup),2)</f>
        <v>125.89</v>
      </c>
      <c r="L129" s="218">
        <f>ROUND((IF('Ground Base'!L$154&gt;ROUND(((1-GroundZone54Discount)*'Ground Base'!L124),2),ROUND('Ground Base'!L$154*(1+GroundFuelSurcharge),2),ROUND(((1-GroundZone54Discount)*'Ground Base'!L124)*(1+GroundFuelSurcharge),2)))*(1+FedEx_Markup),2)</f>
        <v>173.21</v>
      </c>
    </row>
    <row r="130" spans="1:12" ht="12.75" customHeight="1">
      <c r="A130" s="217">
        <v>123</v>
      </c>
      <c r="B130" s="218">
        <f>ROUND((IF('Ground Base'!B$154&gt;ROUND(((1-GroundCommDiscount31Up-GroundCommIncentive)*'Ground Base'!B125),2),ROUND('Ground Base'!B$154*(1+GroundFuelSurcharge),2),ROUND(((1-GroundCommDiscount31Up-GroundCommIncentive)*'Ground Base'!B125)*(1+GroundFuelSurcharge),2)))*(1+FedEx_Markup),2)</f>
        <v>59.92</v>
      </c>
      <c r="C130" s="218">
        <f>ROUND((IF('Ground Base'!C$154&gt;ROUND(((1-GroundCommDiscount31Up-GroundCommIncentive)*'Ground Base'!C125),2),ROUND('Ground Base'!C$154*(1+GroundFuelSurcharge),2),ROUND(((1-GroundCommDiscount31Up-GroundCommIncentive)*'Ground Base'!C125)*(1+GroundFuelSurcharge),2)))*(1+FedEx_Markup),2)</f>
        <v>60.62</v>
      </c>
      <c r="D130" s="218">
        <f>ROUND((IF('Ground Base'!D$154&gt;ROUND(((1-GroundCommDiscount31Up-GroundCommIncentive)*'Ground Base'!D125),2),ROUND('Ground Base'!D$154*(1+GroundFuelSurcharge),2),ROUND(((1-GroundCommDiscount31Up-GroundCommIncentive)*'Ground Base'!D125)*(1+GroundFuelSurcharge),2)))*(1+FedEx_Markup),2)</f>
        <v>65.5</v>
      </c>
      <c r="E130" s="218">
        <f>ROUND((IF('Ground Base'!E$154&gt;ROUND(((1-GroundCommDiscount31Up-GroundCommIncentive)*'Ground Base'!E125),2),ROUND('Ground Base'!E$154*(1+GroundFuelSurcharge),2),ROUND(((1-GroundCommDiscount31Up-GroundCommIncentive)*'Ground Base'!E125)*(1+GroundFuelSurcharge),2)))*(1+FedEx_Markup),2)</f>
        <v>68.47</v>
      </c>
      <c r="F130" s="218">
        <f>ROUND((IF('Ground Base'!F$154&gt;ROUND(((1-GroundCommDiscount31Up-GroundCommIncentive)*'Ground Base'!F125),2),ROUND('Ground Base'!F$154*(1+GroundFuelSurcharge),2),ROUND(((1-GroundCommDiscount31Up-GroundCommIncentive)*'Ground Base'!F125)*(1+GroundFuelSurcharge),2)))*(1+FedEx_Markup),2)</f>
        <v>77.22</v>
      </c>
      <c r="G130" s="218">
        <f>ROUND((IF('Ground Base'!G$154&gt;ROUND(((1-GroundCommDiscount31Up-GroundCommIncentive)*'Ground Base'!G125),2),ROUND('Ground Base'!G$154*(1+GroundFuelSurcharge),2),ROUND(((1-GroundCommDiscount31Up-GroundCommIncentive)*'Ground Base'!G125)*(1+GroundFuelSurcharge),2)))*(1+FedEx_Markup),2)</f>
        <v>86.41</v>
      </c>
      <c r="H130" s="218">
        <f>ROUND((IF('Ground Base'!H$154&gt;ROUND(((1-GroundCommDiscount31Up-GroundCommIncentive)*'Ground Base'!H125),2),ROUND('Ground Base'!H$154*(1+GroundFuelSurcharge),2),ROUND(((1-GroundCommDiscount31Up-GroundCommIncentive)*'Ground Base'!H125)*(1+GroundFuelSurcharge),2)))*(1+FedEx_Markup),2)</f>
        <v>95.14</v>
      </c>
      <c r="I130" s="218">
        <f>ROUND((IF('Ground Base'!I$154&gt;ROUND(((1-GroundAKHIDiscount)*'Ground Base'!I125),2),ROUND('Ground Base'!I$154*(1+GroundFuelSurcharge),2),ROUND(((1-GroundAKHIDiscount)*'Ground Base'!I125)*(1+GroundFuelSurcharge),2)))*(1+FedEx_Markup),2)</f>
        <v>575.53</v>
      </c>
      <c r="J130" s="218">
        <f>ROUND((IF('Ground Base'!J$154&gt;ROUND(((1-GroundAKHIDiscount)*'Ground Base'!J125),2),ROUND('Ground Base'!J$154*(1+GroundFuelSurcharge),2),ROUND(((1-GroundAKHIDiscount)*'Ground Base'!J125)*(1+GroundFuelSurcharge),2)))*(1+FedEx_Markup),2)</f>
        <v>575.53</v>
      </c>
      <c r="K130" s="218">
        <f>ROUND((IF('Ground Base'!K$154&gt;ROUND(((1-GroundZone51Discount)*'Ground Base'!K125),2),ROUND('Ground Base'!K$154*(1+GroundFuelSurcharge),2),ROUND(((1-GroundZone51Discount)*'Ground Base'!K125)*(1+GroundFuelSurcharge),2)))*(1+FedEx_Markup),2)</f>
        <v>125.89</v>
      </c>
      <c r="L130" s="218">
        <f>ROUND((IF('Ground Base'!L$154&gt;ROUND(((1-GroundZone54Discount)*'Ground Base'!L125),2),ROUND('Ground Base'!L$154*(1+GroundFuelSurcharge),2),ROUND(((1-GroundZone54Discount)*'Ground Base'!L125)*(1+GroundFuelSurcharge),2)))*(1+FedEx_Markup),2)</f>
        <v>173.21</v>
      </c>
    </row>
    <row r="131" spans="1:12" ht="12.75" customHeight="1">
      <c r="A131" s="217">
        <v>124</v>
      </c>
      <c r="B131" s="218">
        <f>ROUND((IF('Ground Base'!B$154&gt;ROUND(((1-GroundCommDiscount31Up-GroundCommIncentive)*'Ground Base'!B126),2),ROUND('Ground Base'!B$154*(1+GroundFuelSurcharge),2),ROUND(((1-GroundCommDiscount31Up-GroundCommIncentive)*'Ground Base'!B126)*(1+GroundFuelSurcharge),2)))*(1+FedEx_Markup),2)</f>
        <v>59.92</v>
      </c>
      <c r="C131" s="218">
        <f>ROUND((IF('Ground Base'!C$154&gt;ROUND(((1-GroundCommDiscount31Up-GroundCommIncentive)*'Ground Base'!C126),2),ROUND('Ground Base'!C$154*(1+GroundFuelSurcharge),2),ROUND(((1-GroundCommDiscount31Up-GroundCommIncentive)*'Ground Base'!C126)*(1+GroundFuelSurcharge),2)))*(1+FedEx_Markup),2)</f>
        <v>61.23</v>
      </c>
      <c r="D131" s="218">
        <f>ROUND((IF('Ground Base'!D$154&gt;ROUND(((1-GroundCommDiscount31Up-GroundCommIncentive)*'Ground Base'!D126),2),ROUND('Ground Base'!D$154*(1+GroundFuelSurcharge),2),ROUND(((1-GroundCommDiscount31Up-GroundCommIncentive)*'Ground Base'!D126)*(1+GroundFuelSurcharge),2)))*(1+FedEx_Markup),2)</f>
        <v>66.19</v>
      </c>
      <c r="E131" s="218">
        <f>ROUND((IF('Ground Base'!E$154&gt;ROUND(((1-GroundCommDiscount31Up-GroundCommIncentive)*'Ground Base'!E126),2),ROUND('Ground Base'!E$154*(1+GroundFuelSurcharge),2),ROUND(((1-GroundCommDiscount31Up-GroundCommIncentive)*'Ground Base'!E126)*(1+GroundFuelSurcharge),2)))*(1+FedEx_Markup),2)</f>
        <v>68.48</v>
      </c>
      <c r="F131" s="218">
        <f>ROUND((IF('Ground Base'!F$154&gt;ROUND(((1-GroundCommDiscount31Up-GroundCommIncentive)*'Ground Base'!F126),2),ROUND('Ground Base'!F$154*(1+GroundFuelSurcharge),2),ROUND(((1-GroundCommDiscount31Up-GroundCommIncentive)*'Ground Base'!F126)*(1+GroundFuelSurcharge),2)))*(1+FedEx_Markup),2)</f>
        <v>77.73</v>
      </c>
      <c r="G131" s="218">
        <f>ROUND((IF('Ground Base'!G$154&gt;ROUND(((1-GroundCommDiscount31Up-GroundCommIncentive)*'Ground Base'!G126),2),ROUND('Ground Base'!G$154*(1+GroundFuelSurcharge),2),ROUND(((1-GroundCommDiscount31Up-GroundCommIncentive)*'Ground Base'!G126)*(1+GroundFuelSurcharge),2)))*(1+FedEx_Markup),2)</f>
        <v>86.41</v>
      </c>
      <c r="H131" s="218">
        <f>ROUND((IF('Ground Base'!H$154&gt;ROUND(((1-GroundCommDiscount31Up-GroundCommIncentive)*'Ground Base'!H126),2),ROUND('Ground Base'!H$154*(1+GroundFuelSurcharge),2),ROUND(((1-GroundCommDiscount31Up-GroundCommIncentive)*'Ground Base'!H126)*(1+GroundFuelSurcharge),2)))*(1+FedEx_Markup),2)</f>
        <v>95.14</v>
      </c>
      <c r="I131" s="218">
        <f>ROUND((IF('Ground Base'!I$154&gt;ROUND(((1-GroundAKHIDiscount)*'Ground Base'!I126),2),ROUND('Ground Base'!I$154*(1+GroundFuelSurcharge),2),ROUND(((1-GroundAKHIDiscount)*'Ground Base'!I126)*(1+GroundFuelSurcharge),2)))*(1+FedEx_Markup),2)</f>
        <v>585.25</v>
      </c>
      <c r="J131" s="218">
        <f>ROUND((IF('Ground Base'!J$154&gt;ROUND(((1-GroundAKHIDiscount)*'Ground Base'!J126),2),ROUND('Ground Base'!J$154*(1+GroundFuelSurcharge),2),ROUND(((1-GroundAKHIDiscount)*'Ground Base'!J126)*(1+GroundFuelSurcharge),2)))*(1+FedEx_Markup),2)</f>
        <v>585.25</v>
      </c>
      <c r="K131" s="218">
        <f>ROUND((IF('Ground Base'!K$154&gt;ROUND(((1-GroundZone51Discount)*'Ground Base'!K126),2),ROUND('Ground Base'!K$154*(1+GroundFuelSurcharge),2),ROUND(((1-GroundZone51Discount)*'Ground Base'!K126)*(1+GroundFuelSurcharge),2)))*(1+FedEx_Markup),2)</f>
        <v>125.9</v>
      </c>
      <c r="L131" s="218">
        <f>ROUND((IF('Ground Base'!L$154&gt;ROUND(((1-GroundZone54Discount)*'Ground Base'!L126),2),ROUND('Ground Base'!L$154*(1+GroundFuelSurcharge),2),ROUND(((1-GroundZone54Discount)*'Ground Base'!L126)*(1+GroundFuelSurcharge),2)))*(1+FedEx_Markup),2)</f>
        <v>173.25</v>
      </c>
    </row>
    <row r="132" spans="1:12" ht="12.75" customHeight="1">
      <c r="A132" s="217">
        <v>125</v>
      </c>
      <c r="B132" s="218">
        <f>ROUND((IF('Ground Base'!B$154&gt;ROUND(((1-GroundCommDiscount31Up-GroundCommIncentive)*'Ground Base'!B127),2),ROUND('Ground Base'!B$154*(1+GroundFuelSurcharge),2),ROUND(((1-GroundCommDiscount31Up-GroundCommIncentive)*'Ground Base'!B127)*(1+GroundFuelSurcharge),2)))*(1+FedEx_Markup),2)</f>
        <v>60.49</v>
      </c>
      <c r="C132" s="218">
        <f>ROUND((IF('Ground Base'!C$154&gt;ROUND(((1-GroundCommDiscount31Up-GroundCommIncentive)*'Ground Base'!C127),2),ROUND('Ground Base'!C$154*(1+GroundFuelSurcharge),2),ROUND(((1-GroundCommDiscount31Up-GroundCommIncentive)*'Ground Base'!C127)*(1+GroundFuelSurcharge),2)))*(1+FedEx_Markup),2)</f>
        <v>61.23</v>
      </c>
      <c r="D132" s="218">
        <f>ROUND((IF('Ground Base'!D$154&gt;ROUND(((1-GroundCommDiscount31Up-GroundCommIncentive)*'Ground Base'!D127),2),ROUND('Ground Base'!D$154*(1+GroundFuelSurcharge),2),ROUND(((1-GroundCommDiscount31Up-GroundCommIncentive)*'Ground Base'!D127)*(1+GroundFuelSurcharge),2)))*(1+FedEx_Markup),2)</f>
        <v>66.209999999999994</v>
      </c>
      <c r="E132" s="218">
        <f>ROUND((IF('Ground Base'!E$154&gt;ROUND(((1-GroundCommDiscount31Up-GroundCommIncentive)*'Ground Base'!E127),2),ROUND('Ground Base'!E$154*(1+GroundFuelSurcharge),2),ROUND(((1-GroundCommDiscount31Up-GroundCommIncentive)*'Ground Base'!E127)*(1+GroundFuelSurcharge),2)))*(1+FedEx_Markup),2)</f>
        <v>68.48</v>
      </c>
      <c r="F132" s="218">
        <f>ROUND((IF('Ground Base'!F$154&gt;ROUND(((1-GroundCommDiscount31Up-GroundCommIncentive)*'Ground Base'!F127),2),ROUND('Ground Base'!F$154*(1+GroundFuelSurcharge),2),ROUND(((1-GroundCommDiscount31Up-GroundCommIncentive)*'Ground Base'!F127)*(1+GroundFuelSurcharge),2)))*(1+FedEx_Markup),2)</f>
        <v>77.739999999999995</v>
      </c>
      <c r="G132" s="218">
        <f>ROUND((IF('Ground Base'!G$154&gt;ROUND(((1-GroundCommDiscount31Up-GroundCommIncentive)*'Ground Base'!G127),2),ROUND('Ground Base'!G$154*(1+GroundFuelSurcharge),2),ROUND(((1-GroundCommDiscount31Up-GroundCommIncentive)*'Ground Base'!G127)*(1+GroundFuelSurcharge),2)))*(1+FedEx_Markup),2)</f>
        <v>86.42</v>
      </c>
      <c r="H132" s="218">
        <f>ROUND((IF('Ground Base'!H$154&gt;ROUND(((1-GroundCommDiscount31Up-GroundCommIncentive)*'Ground Base'!H127),2),ROUND('Ground Base'!H$154*(1+GroundFuelSurcharge),2),ROUND(((1-GroundCommDiscount31Up-GroundCommIncentive)*'Ground Base'!H127)*(1+GroundFuelSurcharge),2)))*(1+FedEx_Markup),2)</f>
        <v>95.15</v>
      </c>
      <c r="I132" s="218">
        <f>ROUND((IF('Ground Base'!I$154&gt;ROUND(((1-GroundAKHIDiscount)*'Ground Base'!I127),2),ROUND('Ground Base'!I$154*(1+GroundFuelSurcharge),2),ROUND(((1-GroundAKHIDiscount)*'Ground Base'!I127)*(1+GroundFuelSurcharge),2)))*(1+FedEx_Markup),2)</f>
        <v>590.15</v>
      </c>
      <c r="J132" s="218">
        <f>ROUND((IF('Ground Base'!J$154&gt;ROUND(((1-GroundAKHIDiscount)*'Ground Base'!J127),2),ROUND('Ground Base'!J$154*(1+GroundFuelSurcharge),2),ROUND(((1-GroundAKHIDiscount)*'Ground Base'!J127)*(1+GroundFuelSurcharge),2)))*(1+FedEx_Markup),2)</f>
        <v>590.15</v>
      </c>
      <c r="K132" s="218">
        <f>ROUND((IF('Ground Base'!K$154&gt;ROUND(((1-GroundZone51Discount)*'Ground Base'!K127),2),ROUND('Ground Base'!K$154*(1+GroundFuelSurcharge),2),ROUND(((1-GroundZone51Discount)*'Ground Base'!K127)*(1+GroundFuelSurcharge),2)))*(1+FedEx_Markup),2)</f>
        <v>125.91</v>
      </c>
      <c r="L132" s="218">
        <f>ROUND((IF('Ground Base'!L$154&gt;ROUND(((1-GroundZone54Discount)*'Ground Base'!L127),2),ROUND('Ground Base'!L$154*(1+GroundFuelSurcharge),2),ROUND(((1-GroundZone54Discount)*'Ground Base'!L127)*(1+GroundFuelSurcharge),2)))*(1+FedEx_Markup),2)</f>
        <v>173.26</v>
      </c>
    </row>
    <row r="133" spans="1:12" ht="12.75" customHeight="1">
      <c r="A133" s="217">
        <v>126</v>
      </c>
      <c r="B133" s="218">
        <f>ROUND((IF('Ground Base'!B$154&gt;ROUND(((1-GroundCommDiscount31Up-GroundCommIncentive)*'Ground Base'!B128),2),ROUND('Ground Base'!B$154*(1+GroundFuelSurcharge),2),ROUND(((1-GroundCommDiscount31Up-GroundCommIncentive)*'Ground Base'!B128)*(1+GroundFuelSurcharge),2)))*(1+FedEx_Markup),2)</f>
        <v>61.7</v>
      </c>
      <c r="C133" s="218">
        <f>ROUND((IF('Ground Base'!C$154&gt;ROUND(((1-GroundCommDiscount31Up-GroundCommIncentive)*'Ground Base'!C128),2),ROUND('Ground Base'!C$154*(1+GroundFuelSurcharge),2),ROUND(((1-GroundCommDiscount31Up-GroundCommIncentive)*'Ground Base'!C128)*(1+GroundFuelSurcharge),2)))*(1+FedEx_Markup),2)</f>
        <v>61.82</v>
      </c>
      <c r="D133" s="218">
        <f>ROUND((IF('Ground Base'!D$154&gt;ROUND(((1-GroundCommDiscount31Up-GroundCommIncentive)*'Ground Base'!D128),2),ROUND('Ground Base'!D$154*(1+GroundFuelSurcharge),2),ROUND(((1-GroundCommDiscount31Up-GroundCommIncentive)*'Ground Base'!D128)*(1+GroundFuelSurcharge),2)))*(1+FedEx_Markup),2)</f>
        <v>66.87</v>
      </c>
      <c r="E133" s="218">
        <f>ROUND((IF('Ground Base'!E$154&gt;ROUND(((1-GroundCommDiscount31Up-GroundCommIncentive)*'Ground Base'!E128),2),ROUND('Ground Base'!E$154*(1+GroundFuelSurcharge),2),ROUND(((1-GroundCommDiscount31Up-GroundCommIncentive)*'Ground Base'!E128)*(1+GroundFuelSurcharge),2)))*(1+FedEx_Markup),2)</f>
        <v>68.489999999999995</v>
      </c>
      <c r="F133" s="218">
        <f>ROUND((IF('Ground Base'!F$154&gt;ROUND(((1-GroundCommDiscount31Up-GroundCommIncentive)*'Ground Base'!F128),2),ROUND('Ground Base'!F$154*(1+GroundFuelSurcharge),2),ROUND(((1-GroundCommDiscount31Up-GroundCommIncentive)*'Ground Base'!F128)*(1+GroundFuelSurcharge),2)))*(1+FedEx_Markup),2)</f>
        <v>78.2</v>
      </c>
      <c r="G133" s="218">
        <f>ROUND((IF('Ground Base'!G$154&gt;ROUND(((1-GroundCommDiscount31Up-GroundCommIncentive)*'Ground Base'!G128),2),ROUND('Ground Base'!G$154*(1+GroundFuelSurcharge),2),ROUND(((1-GroundCommDiscount31Up-GroundCommIncentive)*'Ground Base'!G128)*(1+GroundFuelSurcharge),2)))*(1+FedEx_Markup),2)</f>
        <v>86.42</v>
      </c>
      <c r="H133" s="218">
        <f>ROUND((IF('Ground Base'!H$154&gt;ROUND(((1-GroundCommDiscount31Up-GroundCommIncentive)*'Ground Base'!H128),2),ROUND('Ground Base'!H$154*(1+GroundFuelSurcharge),2),ROUND(((1-GroundCommDiscount31Up-GroundCommIncentive)*'Ground Base'!H128)*(1+GroundFuelSurcharge),2)))*(1+FedEx_Markup),2)</f>
        <v>98.51</v>
      </c>
      <c r="I133" s="218">
        <f>ROUND((IF('Ground Base'!I$154&gt;ROUND(((1-GroundAKHIDiscount)*'Ground Base'!I128),2),ROUND('Ground Base'!I$154*(1+GroundFuelSurcharge),2),ROUND(((1-GroundAKHIDiscount)*'Ground Base'!I128)*(1+GroundFuelSurcharge),2)))*(1+FedEx_Markup),2)</f>
        <v>593.80999999999995</v>
      </c>
      <c r="J133" s="218">
        <f>ROUND((IF('Ground Base'!J$154&gt;ROUND(((1-GroundAKHIDiscount)*'Ground Base'!J128),2),ROUND('Ground Base'!J$154*(1+GroundFuelSurcharge),2),ROUND(((1-GroundAKHIDiscount)*'Ground Base'!J128)*(1+GroundFuelSurcharge),2)))*(1+FedEx_Markup),2)</f>
        <v>593.80999999999995</v>
      </c>
      <c r="K133" s="218">
        <f>ROUND((IF('Ground Base'!K$154&gt;ROUND(((1-GroundZone51Discount)*'Ground Base'!K128),2),ROUND('Ground Base'!K$154*(1+GroundFuelSurcharge),2),ROUND(((1-GroundZone51Discount)*'Ground Base'!K128)*(1+GroundFuelSurcharge),2)))*(1+FedEx_Markup),2)</f>
        <v>128.44</v>
      </c>
      <c r="L133" s="218">
        <f>ROUND((IF('Ground Base'!L$154&gt;ROUND(((1-GroundZone54Discount)*'Ground Base'!L128),2),ROUND('Ground Base'!L$154*(1+GroundFuelSurcharge),2),ROUND(((1-GroundZone54Discount)*'Ground Base'!L128)*(1+GroundFuelSurcharge),2)))*(1+FedEx_Markup),2)</f>
        <v>179.37</v>
      </c>
    </row>
    <row r="134" spans="1:12" ht="12.75" customHeight="1">
      <c r="A134" s="217">
        <v>127</v>
      </c>
      <c r="B134" s="218">
        <f>ROUND((IF('Ground Base'!B$154&gt;ROUND(((1-GroundCommDiscount31Up-GroundCommIncentive)*'Ground Base'!B129),2),ROUND('Ground Base'!B$154*(1+GroundFuelSurcharge),2),ROUND(((1-GroundCommDiscount31Up-GroundCommIncentive)*'Ground Base'!B129)*(1+GroundFuelSurcharge),2)))*(1+FedEx_Markup),2)</f>
        <v>61.71</v>
      </c>
      <c r="C134" s="218">
        <f>ROUND((IF('Ground Base'!C$154&gt;ROUND(((1-GroundCommDiscount31Up-GroundCommIncentive)*'Ground Base'!C129),2),ROUND('Ground Base'!C$154*(1+GroundFuelSurcharge),2),ROUND(((1-GroundCommDiscount31Up-GroundCommIncentive)*'Ground Base'!C129)*(1+GroundFuelSurcharge),2)))*(1+FedEx_Markup),2)</f>
        <v>62.89</v>
      </c>
      <c r="D134" s="218">
        <f>ROUND((IF('Ground Base'!D$154&gt;ROUND(((1-GroundCommDiscount31Up-GroundCommIncentive)*'Ground Base'!D129),2),ROUND('Ground Base'!D$154*(1+GroundFuelSurcharge),2),ROUND(((1-GroundCommDiscount31Up-GroundCommIncentive)*'Ground Base'!D129)*(1+GroundFuelSurcharge),2)))*(1+FedEx_Markup),2)</f>
        <v>68.17</v>
      </c>
      <c r="E134" s="218">
        <f>ROUND((IF('Ground Base'!E$154&gt;ROUND(((1-GroundCommDiscount31Up-GroundCommIncentive)*'Ground Base'!E129),2),ROUND('Ground Base'!E$154*(1+GroundFuelSurcharge),2),ROUND(((1-GroundCommDiscount31Up-GroundCommIncentive)*'Ground Base'!E129)*(1+GroundFuelSurcharge),2)))*(1+FedEx_Markup),2)</f>
        <v>70.05</v>
      </c>
      <c r="F134" s="218">
        <f>ROUND((IF('Ground Base'!F$154&gt;ROUND(((1-GroundCommDiscount31Up-GroundCommIncentive)*'Ground Base'!F129),2),ROUND('Ground Base'!F$154*(1+GroundFuelSurcharge),2),ROUND(((1-GroundCommDiscount31Up-GroundCommIncentive)*'Ground Base'!F129)*(1+GroundFuelSurcharge),2)))*(1+FedEx_Markup),2)</f>
        <v>79.98</v>
      </c>
      <c r="G134" s="218">
        <f>ROUND((IF('Ground Base'!G$154&gt;ROUND(((1-GroundCommDiscount31Up-GroundCommIncentive)*'Ground Base'!G129),2),ROUND('Ground Base'!G$154*(1+GroundFuelSurcharge),2),ROUND(((1-GroundCommDiscount31Up-GroundCommIncentive)*'Ground Base'!G129)*(1+GroundFuelSurcharge),2)))*(1+FedEx_Markup),2)</f>
        <v>87.99</v>
      </c>
      <c r="H134" s="218">
        <f>ROUND((IF('Ground Base'!H$154&gt;ROUND(((1-GroundCommDiscount31Up-GroundCommIncentive)*'Ground Base'!H129),2),ROUND('Ground Base'!H$154*(1+GroundFuelSurcharge),2),ROUND(((1-GroundCommDiscount31Up-GroundCommIncentive)*'Ground Base'!H129)*(1+GroundFuelSurcharge),2)))*(1+FedEx_Markup),2)</f>
        <v>98.51</v>
      </c>
      <c r="I134" s="218">
        <f>ROUND((IF('Ground Base'!I$154&gt;ROUND(((1-GroundAKHIDiscount)*'Ground Base'!I129),2),ROUND('Ground Base'!I$154*(1+GroundFuelSurcharge),2),ROUND(((1-GroundAKHIDiscount)*'Ground Base'!I129)*(1+GroundFuelSurcharge),2)))*(1+FedEx_Markup),2)</f>
        <v>598.62</v>
      </c>
      <c r="J134" s="218">
        <f>ROUND((IF('Ground Base'!J$154&gt;ROUND(((1-GroundAKHIDiscount)*'Ground Base'!J129),2),ROUND('Ground Base'!J$154*(1+GroundFuelSurcharge),2),ROUND(((1-GroundAKHIDiscount)*'Ground Base'!J129)*(1+GroundFuelSurcharge),2)))*(1+FedEx_Markup),2)</f>
        <v>598.62</v>
      </c>
      <c r="K134" s="218">
        <f>ROUND((IF('Ground Base'!K$154&gt;ROUND(((1-GroundZone51Discount)*'Ground Base'!K129),2),ROUND('Ground Base'!K$154*(1+GroundFuelSurcharge),2),ROUND(((1-GroundZone51Discount)*'Ground Base'!K129)*(1+GroundFuelSurcharge),2)))*(1+FedEx_Markup),2)</f>
        <v>128.46</v>
      </c>
      <c r="L134" s="218">
        <f>ROUND((IF('Ground Base'!L$154&gt;ROUND(((1-GroundZone54Discount)*'Ground Base'!L129),2),ROUND('Ground Base'!L$154*(1+GroundFuelSurcharge),2),ROUND(((1-GroundZone54Discount)*'Ground Base'!L129)*(1+GroundFuelSurcharge),2)))*(1+FedEx_Markup),2)</f>
        <v>179.4</v>
      </c>
    </row>
    <row r="135" spans="1:12" ht="12.75" customHeight="1">
      <c r="A135" s="217">
        <v>128</v>
      </c>
      <c r="B135" s="218">
        <f>ROUND((IF('Ground Base'!B$154&gt;ROUND(((1-GroundCommDiscount31Up-GroundCommIncentive)*'Ground Base'!B130),2),ROUND('Ground Base'!B$154*(1+GroundFuelSurcharge),2),ROUND(((1-GroundCommDiscount31Up-GroundCommIncentive)*'Ground Base'!B130)*(1+GroundFuelSurcharge),2)))*(1+FedEx_Markup),2)</f>
        <v>62.28</v>
      </c>
      <c r="C135" s="218">
        <f>ROUND((IF('Ground Base'!C$154&gt;ROUND(((1-GroundCommDiscount31Up-GroundCommIncentive)*'Ground Base'!C130),2),ROUND('Ground Base'!C$154*(1+GroundFuelSurcharge),2),ROUND(((1-GroundCommDiscount31Up-GroundCommIncentive)*'Ground Base'!C130)*(1+GroundFuelSurcharge),2)))*(1+FedEx_Markup),2)</f>
        <v>62.91</v>
      </c>
      <c r="D135" s="218">
        <f>ROUND((IF('Ground Base'!D$154&gt;ROUND(((1-GroundCommDiscount31Up-GroundCommIncentive)*'Ground Base'!D130),2),ROUND('Ground Base'!D$154*(1+GroundFuelSurcharge),2),ROUND(((1-GroundCommDiscount31Up-GroundCommIncentive)*'Ground Base'!D130)*(1+GroundFuelSurcharge),2)))*(1+FedEx_Markup),2)</f>
        <v>68.180000000000007</v>
      </c>
      <c r="E135" s="218">
        <f>ROUND((IF('Ground Base'!E$154&gt;ROUND(((1-GroundCommDiscount31Up-GroundCommIncentive)*'Ground Base'!E130),2),ROUND('Ground Base'!E$154*(1+GroundFuelSurcharge),2),ROUND(((1-GroundCommDiscount31Up-GroundCommIncentive)*'Ground Base'!E130)*(1+GroundFuelSurcharge),2)))*(1+FedEx_Markup),2)</f>
        <v>70.06</v>
      </c>
      <c r="F135" s="218">
        <f>ROUND((IF('Ground Base'!F$154&gt;ROUND(((1-GroundCommDiscount31Up-GroundCommIncentive)*'Ground Base'!F130),2),ROUND('Ground Base'!F$154*(1+GroundFuelSurcharge),2),ROUND(((1-GroundCommDiscount31Up-GroundCommIncentive)*'Ground Base'!F130)*(1+GroundFuelSurcharge),2)))*(1+FedEx_Markup),2)</f>
        <v>79.98</v>
      </c>
      <c r="G135" s="218">
        <f>ROUND((IF('Ground Base'!G$154&gt;ROUND(((1-GroundCommDiscount31Up-GroundCommIncentive)*'Ground Base'!G130),2),ROUND('Ground Base'!G$154*(1+GroundFuelSurcharge),2),ROUND(((1-GroundCommDiscount31Up-GroundCommIncentive)*'Ground Base'!G130)*(1+GroundFuelSurcharge),2)))*(1+FedEx_Markup),2)</f>
        <v>88</v>
      </c>
      <c r="H135" s="218">
        <f>ROUND((IF('Ground Base'!H$154&gt;ROUND(((1-GroundCommDiscount31Up-GroundCommIncentive)*'Ground Base'!H130),2),ROUND('Ground Base'!H$154*(1+GroundFuelSurcharge),2),ROUND(((1-GroundCommDiscount31Up-GroundCommIncentive)*'Ground Base'!H130)*(1+GroundFuelSurcharge),2)))*(1+FedEx_Markup),2)</f>
        <v>99.04</v>
      </c>
      <c r="I135" s="218">
        <f>ROUND((IF('Ground Base'!I$154&gt;ROUND(((1-GroundAKHIDiscount)*'Ground Base'!I130),2),ROUND('Ground Base'!I$154*(1+GroundFuelSurcharge),2),ROUND(((1-GroundAKHIDiscount)*'Ground Base'!I130)*(1+GroundFuelSurcharge),2)))*(1+FedEx_Markup),2)</f>
        <v>603.5</v>
      </c>
      <c r="J135" s="218">
        <f>ROUND((IF('Ground Base'!J$154&gt;ROUND(((1-GroundAKHIDiscount)*'Ground Base'!J130),2),ROUND('Ground Base'!J$154*(1+GroundFuelSurcharge),2),ROUND(((1-GroundAKHIDiscount)*'Ground Base'!J130)*(1+GroundFuelSurcharge),2)))*(1+FedEx_Markup),2)</f>
        <v>603.5</v>
      </c>
      <c r="K135" s="218">
        <f>ROUND((IF('Ground Base'!K$154&gt;ROUND(((1-GroundZone51Discount)*'Ground Base'!K130),2),ROUND('Ground Base'!K$154*(1+GroundFuelSurcharge),2),ROUND(((1-GroundZone51Discount)*'Ground Base'!K130)*(1+GroundFuelSurcharge),2)))*(1+FedEx_Markup),2)</f>
        <v>128.47</v>
      </c>
      <c r="L135" s="218">
        <f>ROUND((IF('Ground Base'!L$154&gt;ROUND(((1-GroundZone54Discount)*'Ground Base'!L130),2),ROUND('Ground Base'!L$154*(1+GroundFuelSurcharge),2),ROUND(((1-GroundZone54Discount)*'Ground Base'!L130)*(1+GroundFuelSurcharge),2)))*(1+FedEx_Markup),2)</f>
        <v>179.4</v>
      </c>
    </row>
    <row r="136" spans="1:12" ht="12.75" customHeight="1">
      <c r="A136" s="217">
        <v>129</v>
      </c>
      <c r="B136" s="218">
        <f>ROUND((IF('Ground Base'!B$154&gt;ROUND(((1-GroundCommDiscount31Up-GroundCommIncentive)*'Ground Base'!B131),2),ROUND('Ground Base'!B$154*(1+GroundFuelSurcharge),2),ROUND(((1-GroundCommDiscount31Up-GroundCommIncentive)*'Ground Base'!B131)*(1+GroundFuelSurcharge),2)))*(1+FedEx_Markup),2)</f>
        <v>63.47</v>
      </c>
      <c r="C136" s="218">
        <f>ROUND((IF('Ground Base'!C$154&gt;ROUND(((1-GroundCommDiscount31Up-GroundCommIncentive)*'Ground Base'!C131),2),ROUND('Ground Base'!C$154*(1+GroundFuelSurcharge),2),ROUND(((1-GroundCommDiscount31Up-GroundCommIncentive)*'Ground Base'!C131)*(1+GroundFuelSurcharge),2)))*(1+FedEx_Markup),2)</f>
        <v>63.71</v>
      </c>
      <c r="D136" s="218">
        <f>ROUND((IF('Ground Base'!D$154&gt;ROUND(((1-GroundCommDiscount31Up-GroundCommIncentive)*'Ground Base'!D131),2),ROUND('Ground Base'!D$154*(1+GroundFuelSurcharge),2),ROUND(((1-GroundCommDiscount31Up-GroundCommIncentive)*'Ground Base'!D131)*(1+GroundFuelSurcharge),2)))*(1+FedEx_Markup),2)</f>
        <v>68.209999999999994</v>
      </c>
      <c r="E136" s="218">
        <f>ROUND((IF('Ground Base'!E$154&gt;ROUND(((1-GroundCommDiscount31Up-GroundCommIncentive)*'Ground Base'!E131),2),ROUND('Ground Base'!E$154*(1+GroundFuelSurcharge),2),ROUND(((1-GroundCommDiscount31Up-GroundCommIncentive)*'Ground Base'!E131)*(1+GroundFuelSurcharge),2)))*(1+FedEx_Markup),2)</f>
        <v>70.540000000000006</v>
      </c>
      <c r="F136" s="218">
        <f>ROUND((IF('Ground Base'!F$154&gt;ROUND(((1-GroundCommDiscount31Up-GroundCommIncentive)*'Ground Base'!F131),2),ROUND('Ground Base'!F$154*(1+GroundFuelSurcharge),2),ROUND(((1-GroundCommDiscount31Up-GroundCommIncentive)*'Ground Base'!F131)*(1+GroundFuelSurcharge),2)))*(1+FedEx_Markup),2)</f>
        <v>79.989999999999995</v>
      </c>
      <c r="G136" s="218">
        <f>ROUND((IF('Ground Base'!G$154&gt;ROUND(((1-GroundCommDiscount31Up-GroundCommIncentive)*'Ground Base'!G131),2),ROUND('Ground Base'!G$154*(1+GroundFuelSurcharge),2),ROUND(((1-GroundCommDiscount31Up-GroundCommIncentive)*'Ground Base'!G131)*(1+GroundFuelSurcharge),2)))*(1+FedEx_Markup),2)</f>
        <v>88.01</v>
      </c>
      <c r="H136" s="218">
        <f>ROUND((IF('Ground Base'!H$154&gt;ROUND(((1-GroundCommDiscount31Up-GroundCommIncentive)*'Ground Base'!H131),2),ROUND('Ground Base'!H$154*(1+GroundFuelSurcharge),2),ROUND(((1-GroundCommDiscount31Up-GroundCommIncentive)*'Ground Base'!H131)*(1+GroundFuelSurcharge),2)))*(1+FedEx_Markup),2)</f>
        <v>99.99</v>
      </c>
      <c r="I136" s="218">
        <f>ROUND((IF('Ground Base'!I$154&gt;ROUND(((1-GroundAKHIDiscount)*'Ground Base'!I131),2),ROUND('Ground Base'!I$154*(1+GroundFuelSurcharge),2),ROUND(((1-GroundAKHIDiscount)*'Ground Base'!I131)*(1+GroundFuelSurcharge),2)))*(1+FedEx_Markup),2)</f>
        <v>603.51</v>
      </c>
      <c r="J136" s="218">
        <f>ROUND((IF('Ground Base'!J$154&gt;ROUND(((1-GroundAKHIDiscount)*'Ground Base'!J131),2),ROUND('Ground Base'!J$154*(1+GroundFuelSurcharge),2),ROUND(((1-GroundAKHIDiscount)*'Ground Base'!J131)*(1+GroundFuelSurcharge),2)))*(1+FedEx_Markup),2)</f>
        <v>603.51</v>
      </c>
      <c r="K136" s="218">
        <f>ROUND((IF('Ground Base'!K$154&gt;ROUND(((1-GroundZone51Discount)*'Ground Base'!K131),2),ROUND('Ground Base'!K$154*(1+GroundFuelSurcharge),2),ROUND(((1-GroundZone51Discount)*'Ground Base'!K131)*(1+GroundFuelSurcharge),2)))*(1+FedEx_Markup),2)</f>
        <v>128.47999999999999</v>
      </c>
      <c r="L136" s="218">
        <f>ROUND((IF('Ground Base'!L$154&gt;ROUND(((1-GroundZone54Discount)*'Ground Base'!L131),2),ROUND('Ground Base'!L$154*(1+GroundFuelSurcharge),2),ROUND(((1-GroundZone54Discount)*'Ground Base'!L131)*(1+GroundFuelSurcharge),2)))*(1+FedEx_Markup),2)</f>
        <v>179.41</v>
      </c>
    </row>
    <row r="137" spans="1:12" ht="12.75" customHeight="1">
      <c r="A137" s="217">
        <v>130</v>
      </c>
      <c r="B137" s="218">
        <f>ROUND((IF('Ground Base'!B$154&gt;ROUND(((1-GroundCommDiscount31Up-GroundCommIncentive)*'Ground Base'!B132),2),ROUND('Ground Base'!B$154*(1+GroundFuelSurcharge),2),ROUND(((1-GroundCommDiscount31Up-GroundCommIncentive)*'Ground Base'!B132)*(1+GroundFuelSurcharge),2)))*(1+FedEx_Markup),2)</f>
        <v>63.72</v>
      </c>
      <c r="C137" s="218">
        <f>ROUND((IF('Ground Base'!C$154&gt;ROUND(((1-GroundCommDiscount31Up-GroundCommIncentive)*'Ground Base'!C132),2),ROUND('Ground Base'!C$154*(1+GroundFuelSurcharge),2),ROUND(((1-GroundCommDiscount31Up-GroundCommIncentive)*'Ground Base'!C132)*(1+GroundFuelSurcharge),2)))*(1+FedEx_Markup),2)</f>
        <v>63.73</v>
      </c>
      <c r="D137" s="218">
        <f>ROUND((IF('Ground Base'!D$154&gt;ROUND(((1-GroundCommDiscount31Up-GroundCommIncentive)*'Ground Base'!D132),2),ROUND('Ground Base'!D$154*(1+GroundFuelSurcharge),2),ROUND(((1-GroundCommDiscount31Up-GroundCommIncentive)*'Ground Base'!D132)*(1+GroundFuelSurcharge),2)))*(1+FedEx_Markup),2)</f>
        <v>68.819999999999993</v>
      </c>
      <c r="E137" s="218">
        <f>ROUND((IF('Ground Base'!E$154&gt;ROUND(((1-GroundCommDiscount31Up-GroundCommIncentive)*'Ground Base'!E132),2),ROUND('Ground Base'!E$154*(1+GroundFuelSurcharge),2),ROUND(((1-GroundCommDiscount31Up-GroundCommIncentive)*'Ground Base'!E132)*(1+GroundFuelSurcharge),2)))*(1+FedEx_Markup),2)</f>
        <v>70.540000000000006</v>
      </c>
      <c r="F137" s="218">
        <f>ROUND((IF('Ground Base'!F$154&gt;ROUND(((1-GroundCommDiscount31Up-GroundCommIncentive)*'Ground Base'!F132),2),ROUND('Ground Base'!F$154*(1+GroundFuelSurcharge),2),ROUND(((1-GroundCommDiscount31Up-GroundCommIncentive)*'Ground Base'!F132)*(1+GroundFuelSurcharge),2)))*(1+FedEx_Markup),2)</f>
        <v>80.569999999999993</v>
      </c>
      <c r="G137" s="218">
        <f>ROUND((IF('Ground Base'!G$154&gt;ROUND(((1-GroundCommDiscount31Up-GroundCommIncentive)*'Ground Base'!G132),2),ROUND('Ground Base'!G$154*(1+GroundFuelSurcharge),2),ROUND(((1-GroundCommDiscount31Up-GroundCommIncentive)*'Ground Base'!G132)*(1+GroundFuelSurcharge),2)))*(1+FedEx_Markup),2)</f>
        <v>89.15</v>
      </c>
      <c r="H137" s="218">
        <f>ROUND((IF('Ground Base'!H$154&gt;ROUND(((1-GroundCommDiscount31Up-GroundCommIncentive)*'Ground Base'!H132),2),ROUND('Ground Base'!H$154*(1+GroundFuelSurcharge),2),ROUND(((1-GroundCommDiscount31Up-GroundCommIncentive)*'Ground Base'!H132)*(1+GroundFuelSurcharge),2)))*(1+FedEx_Markup),2)</f>
        <v>102.28</v>
      </c>
      <c r="I137" s="218">
        <f>ROUND((IF('Ground Base'!I$154&gt;ROUND(((1-GroundAKHIDiscount)*'Ground Base'!I132),2),ROUND('Ground Base'!I$154*(1+GroundFuelSurcharge),2),ROUND(((1-GroundAKHIDiscount)*'Ground Base'!I132)*(1+GroundFuelSurcharge),2)))*(1+FedEx_Markup),2)</f>
        <v>625.04999999999995</v>
      </c>
      <c r="J137" s="218">
        <f>ROUND((IF('Ground Base'!J$154&gt;ROUND(((1-GroundAKHIDiscount)*'Ground Base'!J132),2),ROUND('Ground Base'!J$154*(1+GroundFuelSurcharge),2),ROUND(((1-GroundAKHIDiscount)*'Ground Base'!J132)*(1+GroundFuelSurcharge),2)))*(1+FedEx_Markup),2)</f>
        <v>625.04999999999995</v>
      </c>
      <c r="K137" s="218">
        <f>ROUND((IF('Ground Base'!K$154&gt;ROUND(((1-GroundZone51Discount)*'Ground Base'!K132),2),ROUND('Ground Base'!K$154*(1+GroundFuelSurcharge),2),ROUND(((1-GroundZone51Discount)*'Ground Base'!K132)*(1+GroundFuelSurcharge),2)))*(1+FedEx_Markup),2)</f>
        <v>128.49</v>
      </c>
      <c r="L137" s="218">
        <f>ROUND((IF('Ground Base'!L$154&gt;ROUND(((1-GroundZone54Discount)*'Ground Base'!L132),2),ROUND('Ground Base'!L$154*(1+GroundFuelSurcharge),2),ROUND(((1-GroundZone54Discount)*'Ground Base'!L132)*(1+GroundFuelSurcharge),2)))*(1+FedEx_Markup),2)</f>
        <v>179.42</v>
      </c>
    </row>
    <row r="138" spans="1:12" ht="12.75" customHeight="1">
      <c r="A138" s="217">
        <v>131</v>
      </c>
      <c r="B138" s="218">
        <f>ROUND((IF('Ground Base'!B$154&gt;ROUND(((1-GroundCommDiscount31Up-GroundCommIncentive)*'Ground Base'!B133),2),ROUND('Ground Base'!B$154*(1+GroundFuelSurcharge),2),ROUND(((1-GroundCommDiscount31Up-GroundCommIncentive)*'Ground Base'!B133)*(1+GroundFuelSurcharge),2)))*(1+FedEx_Markup),2)</f>
        <v>64.069999999999993</v>
      </c>
      <c r="C138" s="218">
        <f>ROUND((IF('Ground Base'!C$154&gt;ROUND(((1-GroundCommDiscount31Up-GroundCommIncentive)*'Ground Base'!C133),2),ROUND('Ground Base'!C$154*(1+GroundFuelSurcharge),2),ROUND(((1-GroundCommDiscount31Up-GroundCommIncentive)*'Ground Base'!C133)*(1+GroundFuelSurcharge),2)))*(1+FedEx_Markup),2)</f>
        <v>64.72</v>
      </c>
      <c r="D138" s="218">
        <f>ROUND((IF('Ground Base'!D$154&gt;ROUND(((1-GroundCommDiscount31Up-GroundCommIncentive)*'Ground Base'!D133),2),ROUND('Ground Base'!D$154*(1+GroundFuelSurcharge),2),ROUND(((1-GroundCommDiscount31Up-GroundCommIncentive)*'Ground Base'!D133)*(1+GroundFuelSurcharge),2)))*(1+FedEx_Markup),2)</f>
        <v>70.13</v>
      </c>
      <c r="E138" s="218">
        <f>ROUND((IF('Ground Base'!E$154&gt;ROUND(((1-GroundCommDiscount31Up-GroundCommIncentive)*'Ground Base'!E133),2),ROUND('Ground Base'!E$154*(1+GroundFuelSurcharge),2),ROUND(((1-GroundCommDiscount31Up-GroundCommIncentive)*'Ground Base'!E133)*(1+GroundFuelSurcharge),2)))*(1+FedEx_Markup),2)</f>
        <v>71.69</v>
      </c>
      <c r="F138" s="218">
        <f>ROUND((IF('Ground Base'!F$154&gt;ROUND(((1-GroundCommDiscount31Up-GroundCommIncentive)*'Ground Base'!F133),2),ROUND('Ground Base'!F$154*(1+GroundFuelSurcharge),2),ROUND(((1-GroundCommDiscount31Up-GroundCommIncentive)*'Ground Base'!F133)*(1+GroundFuelSurcharge),2)))*(1+FedEx_Markup),2)</f>
        <v>81.75</v>
      </c>
      <c r="G138" s="218">
        <f>ROUND((IF('Ground Base'!G$154&gt;ROUND(((1-GroundCommDiscount31Up-GroundCommIncentive)*'Ground Base'!G133),2),ROUND('Ground Base'!G$154*(1+GroundFuelSurcharge),2),ROUND(((1-GroundCommDiscount31Up-GroundCommIncentive)*'Ground Base'!G133)*(1+GroundFuelSurcharge),2)))*(1+FedEx_Markup),2)</f>
        <v>89.99</v>
      </c>
      <c r="H138" s="218">
        <f>ROUND((IF('Ground Base'!H$154&gt;ROUND(((1-GroundCommDiscount31Up-GroundCommIncentive)*'Ground Base'!H133),2),ROUND('Ground Base'!H$154*(1+GroundFuelSurcharge),2),ROUND(((1-GroundCommDiscount31Up-GroundCommIncentive)*'Ground Base'!H133)*(1+GroundFuelSurcharge),2)))*(1+FedEx_Markup),2)</f>
        <v>102.75</v>
      </c>
      <c r="I138" s="218">
        <f>ROUND((IF('Ground Base'!I$154&gt;ROUND(((1-GroundAKHIDiscount)*'Ground Base'!I133),2),ROUND('Ground Base'!I$154*(1+GroundFuelSurcharge),2),ROUND(((1-GroundAKHIDiscount)*'Ground Base'!I133)*(1+GroundFuelSurcharge),2)))*(1+FedEx_Markup),2)</f>
        <v>625.05999999999995</v>
      </c>
      <c r="J138" s="218">
        <f>ROUND((IF('Ground Base'!J$154&gt;ROUND(((1-GroundAKHIDiscount)*'Ground Base'!J133),2),ROUND('Ground Base'!J$154*(1+GroundFuelSurcharge),2),ROUND(((1-GroundAKHIDiscount)*'Ground Base'!J133)*(1+GroundFuelSurcharge),2)))*(1+FedEx_Markup),2)</f>
        <v>625.05999999999995</v>
      </c>
      <c r="K138" s="218">
        <f>ROUND((IF('Ground Base'!K$154&gt;ROUND(((1-GroundZone51Discount)*'Ground Base'!K133),2),ROUND('Ground Base'!K$154*(1+GroundFuelSurcharge),2),ROUND(((1-GroundZone51Discount)*'Ground Base'!K133)*(1+GroundFuelSurcharge),2)))*(1+FedEx_Markup),2)</f>
        <v>131.24</v>
      </c>
      <c r="L138" s="218">
        <f>ROUND((IF('Ground Base'!L$154&gt;ROUND(((1-GroundZone54Discount)*'Ground Base'!L133),2),ROUND('Ground Base'!L$154*(1+GroundFuelSurcharge),2),ROUND(((1-GroundZone54Discount)*'Ground Base'!L133)*(1+GroundFuelSurcharge),2)))*(1+FedEx_Markup),2)</f>
        <v>184.26</v>
      </c>
    </row>
    <row r="139" spans="1:12" ht="12.75" customHeight="1">
      <c r="A139" s="217">
        <v>132</v>
      </c>
      <c r="B139" s="218">
        <f>ROUND((IF('Ground Base'!B$154&gt;ROUND(((1-GroundCommDiscount31Up-GroundCommIncentive)*'Ground Base'!B134),2),ROUND('Ground Base'!B$154*(1+GroundFuelSurcharge),2),ROUND(((1-GroundCommDiscount31Up-GroundCommIncentive)*'Ground Base'!B134)*(1+GroundFuelSurcharge),2)))*(1+FedEx_Markup),2)</f>
        <v>64.75</v>
      </c>
      <c r="C139" s="218">
        <f>ROUND((IF('Ground Base'!C$154&gt;ROUND(((1-GroundCommDiscount31Up-GroundCommIncentive)*'Ground Base'!C134),2),ROUND('Ground Base'!C$154*(1+GroundFuelSurcharge),2),ROUND(((1-GroundCommDiscount31Up-GroundCommIncentive)*'Ground Base'!C134)*(1+GroundFuelSurcharge),2)))*(1+FedEx_Markup),2)</f>
        <v>64.75</v>
      </c>
      <c r="D139" s="218">
        <f>ROUND((IF('Ground Base'!D$154&gt;ROUND(((1-GroundCommDiscount31Up-GroundCommIncentive)*'Ground Base'!D134),2),ROUND('Ground Base'!D$154*(1+GroundFuelSurcharge),2),ROUND(((1-GroundCommDiscount31Up-GroundCommIncentive)*'Ground Base'!D134)*(1+GroundFuelSurcharge),2)))*(1+FedEx_Markup),2)</f>
        <v>70.14</v>
      </c>
      <c r="E139" s="218">
        <f>ROUND((IF('Ground Base'!E$154&gt;ROUND(((1-GroundCommDiscount31Up-GroundCommIncentive)*'Ground Base'!E134),2),ROUND('Ground Base'!E$154*(1+GroundFuelSurcharge),2),ROUND(((1-GroundCommDiscount31Up-GroundCommIncentive)*'Ground Base'!E134)*(1+GroundFuelSurcharge),2)))*(1+FedEx_Markup),2)</f>
        <v>72.17</v>
      </c>
      <c r="F139" s="218">
        <f>ROUND((IF('Ground Base'!F$154&gt;ROUND(((1-GroundCommDiscount31Up-GroundCommIncentive)*'Ground Base'!F134),2),ROUND('Ground Base'!F$154*(1+GroundFuelSurcharge),2),ROUND(((1-GroundCommDiscount31Up-GroundCommIncentive)*'Ground Base'!F134)*(1+GroundFuelSurcharge),2)))*(1+FedEx_Markup),2)</f>
        <v>81.77</v>
      </c>
      <c r="G139" s="218">
        <f>ROUND((IF('Ground Base'!G$154&gt;ROUND(((1-GroundCommDiscount31Up-GroundCommIncentive)*'Ground Base'!G134),2),ROUND('Ground Base'!G$154*(1+GroundFuelSurcharge),2),ROUND(((1-GroundCommDiscount31Up-GroundCommIncentive)*'Ground Base'!G134)*(1+GroundFuelSurcharge),2)))*(1+FedEx_Markup),2)</f>
        <v>90</v>
      </c>
      <c r="H139" s="218">
        <f>ROUND((IF('Ground Base'!H$154&gt;ROUND(((1-GroundCommDiscount31Up-GroundCommIncentive)*'Ground Base'!H134),2),ROUND('Ground Base'!H$154*(1+GroundFuelSurcharge),2),ROUND(((1-GroundCommDiscount31Up-GroundCommIncentive)*'Ground Base'!H134)*(1+GroundFuelSurcharge),2)))*(1+FedEx_Markup),2)</f>
        <v>102.75</v>
      </c>
      <c r="I139" s="218">
        <f>ROUND((IF('Ground Base'!I$154&gt;ROUND(((1-GroundAKHIDiscount)*'Ground Base'!I134),2),ROUND('Ground Base'!I$154*(1+GroundFuelSurcharge),2),ROUND(((1-GroundAKHIDiscount)*'Ground Base'!I134)*(1+GroundFuelSurcharge),2)))*(1+FedEx_Markup),2)</f>
        <v>630.66</v>
      </c>
      <c r="J139" s="218">
        <f>ROUND((IF('Ground Base'!J$154&gt;ROUND(((1-GroundAKHIDiscount)*'Ground Base'!J134),2),ROUND('Ground Base'!J$154*(1+GroundFuelSurcharge),2),ROUND(((1-GroundAKHIDiscount)*'Ground Base'!J134)*(1+GroundFuelSurcharge),2)))*(1+FedEx_Markup),2)</f>
        <v>630.66</v>
      </c>
      <c r="K139" s="218">
        <f>ROUND((IF('Ground Base'!K$154&gt;ROUND(((1-GroundZone51Discount)*'Ground Base'!K134),2),ROUND('Ground Base'!K$154*(1+GroundFuelSurcharge),2),ROUND(((1-GroundZone51Discount)*'Ground Base'!K134)*(1+GroundFuelSurcharge),2)))*(1+FedEx_Markup),2)</f>
        <v>131.25</v>
      </c>
      <c r="L139" s="218">
        <f>ROUND((IF('Ground Base'!L$154&gt;ROUND(((1-GroundZone54Discount)*'Ground Base'!L134),2),ROUND('Ground Base'!L$154*(1+GroundFuelSurcharge),2),ROUND(((1-GroundZone54Discount)*'Ground Base'!L134)*(1+GroundFuelSurcharge),2)))*(1+FedEx_Markup),2)</f>
        <v>184.28</v>
      </c>
    </row>
    <row r="140" spans="1:12" ht="12.75" customHeight="1">
      <c r="A140" s="217">
        <v>133</v>
      </c>
      <c r="B140" s="218">
        <f>ROUND((IF('Ground Base'!B$154&gt;ROUND(((1-GroundCommDiscount31Up-GroundCommIncentive)*'Ground Base'!B135),2),ROUND('Ground Base'!B$154*(1+GroundFuelSurcharge),2),ROUND(((1-GroundCommDiscount31Up-GroundCommIncentive)*'Ground Base'!B135)*(1+GroundFuelSurcharge),2)))*(1+FedEx_Markup),2)</f>
        <v>65.290000000000006</v>
      </c>
      <c r="C140" s="218">
        <f>ROUND((IF('Ground Base'!C$154&gt;ROUND(((1-GroundCommDiscount31Up-GroundCommIncentive)*'Ground Base'!C135),2),ROUND('Ground Base'!C$154*(1+GroundFuelSurcharge),2),ROUND(((1-GroundCommDiscount31Up-GroundCommIncentive)*'Ground Base'!C135)*(1+GroundFuelSurcharge),2)))*(1+FedEx_Markup),2)</f>
        <v>65.47</v>
      </c>
      <c r="D140" s="218">
        <f>ROUND((IF('Ground Base'!D$154&gt;ROUND(((1-GroundCommDiscount31Up-GroundCommIncentive)*'Ground Base'!D135),2),ROUND('Ground Base'!D$154*(1+GroundFuelSurcharge),2),ROUND(((1-GroundCommDiscount31Up-GroundCommIncentive)*'Ground Base'!D135)*(1+GroundFuelSurcharge),2)))*(1+FedEx_Markup),2)</f>
        <v>70.14</v>
      </c>
      <c r="E140" s="218">
        <f>ROUND((IF('Ground Base'!E$154&gt;ROUND(((1-GroundCommDiscount31Up-GroundCommIncentive)*'Ground Base'!E135),2),ROUND('Ground Base'!E$154*(1+GroundFuelSurcharge),2),ROUND(((1-GroundCommDiscount31Up-GroundCommIncentive)*'Ground Base'!E135)*(1+GroundFuelSurcharge),2)))*(1+FedEx_Markup),2)</f>
        <v>72.19</v>
      </c>
      <c r="F140" s="218">
        <f>ROUND((IF('Ground Base'!F$154&gt;ROUND(((1-GroundCommDiscount31Up-GroundCommIncentive)*'Ground Base'!F135),2),ROUND('Ground Base'!F$154*(1+GroundFuelSurcharge),2),ROUND(((1-GroundCommDiscount31Up-GroundCommIncentive)*'Ground Base'!F135)*(1+GroundFuelSurcharge),2)))*(1+FedEx_Markup),2)</f>
        <v>82.19</v>
      </c>
      <c r="G140" s="218">
        <f>ROUND((IF('Ground Base'!G$154&gt;ROUND(((1-GroundCommDiscount31Up-GroundCommIncentive)*'Ground Base'!G135),2),ROUND('Ground Base'!G$154*(1+GroundFuelSurcharge),2),ROUND(((1-GroundCommDiscount31Up-GroundCommIncentive)*'Ground Base'!G135)*(1+GroundFuelSurcharge),2)))*(1+FedEx_Markup),2)</f>
        <v>90</v>
      </c>
      <c r="H140" s="218">
        <f>ROUND((IF('Ground Base'!H$154&gt;ROUND(((1-GroundCommDiscount31Up-GroundCommIncentive)*'Ground Base'!H135),2),ROUND('Ground Base'!H$154*(1+GroundFuelSurcharge),2),ROUND(((1-GroundCommDiscount31Up-GroundCommIncentive)*'Ground Base'!H135)*(1+GroundFuelSurcharge),2)))*(1+FedEx_Markup),2)</f>
        <v>102.76</v>
      </c>
      <c r="I140" s="218">
        <f>ROUND((IF('Ground Base'!I$154&gt;ROUND(((1-GroundAKHIDiscount)*'Ground Base'!I135),2),ROUND('Ground Base'!I$154*(1+GroundFuelSurcharge),2),ROUND(((1-GroundAKHIDiscount)*'Ground Base'!I135)*(1+GroundFuelSurcharge),2)))*(1+FedEx_Markup),2)</f>
        <v>634.47</v>
      </c>
      <c r="J140" s="218">
        <f>ROUND((IF('Ground Base'!J$154&gt;ROUND(((1-GroundAKHIDiscount)*'Ground Base'!J135),2),ROUND('Ground Base'!J$154*(1+GroundFuelSurcharge),2),ROUND(((1-GroundAKHIDiscount)*'Ground Base'!J135)*(1+GroundFuelSurcharge),2)))*(1+FedEx_Markup),2)</f>
        <v>634.47</v>
      </c>
      <c r="K140" s="218">
        <f>ROUND((IF('Ground Base'!K$154&gt;ROUND(((1-GroundZone51Discount)*'Ground Base'!K135),2),ROUND('Ground Base'!K$154*(1+GroundFuelSurcharge),2),ROUND(((1-GroundZone51Discount)*'Ground Base'!K135)*(1+GroundFuelSurcharge),2)))*(1+FedEx_Markup),2)</f>
        <v>131.26</v>
      </c>
      <c r="L140" s="218">
        <f>ROUND((IF('Ground Base'!L$154&gt;ROUND(((1-GroundZone54Discount)*'Ground Base'!L135),2),ROUND('Ground Base'!L$154*(1+GroundFuelSurcharge),2),ROUND(((1-GroundZone54Discount)*'Ground Base'!L135)*(1+GroundFuelSurcharge),2)))*(1+FedEx_Markup),2)</f>
        <v>184.29</v>
      </c>
    </row>
    <row r="141" spans="1:12" ht="12.75" customHeight="1">
      <c r="A141" s="217">
        <v>134</v>
      </c>
      <c r="B141" s="218">
        <f>ROUND((IF('Ground Base'!B$154&gt;ROUND(((1-GroundCommDiscount31Up-GroundCommIncentive)*'Ground Base'!B136),2),ROUND('Ground Base'!B$154*(1+GroundFuelSurcharge),2),ROUND(((1-GroundCommDiscount31Up-GroundCommIncentive)*'Ground Base'!B136)*(1+GroundFuelSurcharge),2)))*(1+FedEx_Markup),2)</f>
        <v>66.52</v>
      </c>
      <c r="C141" s="218">
        <f>ROUND((IF('Ground Base'!C$154&gt;ROUND(((1-GroundCommDiscount31Up-GroundCommIncentive)*'Ground Base'!C136),2),ROUND('Ground Base'!C$154*(1+GroundFuelSurcharge),2),ROUND(((1-GroundCommDiscount31Up-GroundCommIncentive)*'Ground Base'!C136)*(1+GroundFuelSurcharge),2)))*(1+FedEx_Markup),2)</f>
        <v>66.59</v>
      </c>
      <c r="D141" s="218">
        <f>ROUND((IF('Ground Base'!D$154&gt;ROUND(((1-GroundCommDiscount31Up-GroundCommIncentive)*'Ground Base'!D136),2),ROUND('Ground Base'!D$154*(1+GroundFuelSurcharge),2),ROUND(((1-GroundCommDiscount31Up-GroundCommIncentive)*'Ground Base'!D136)*(1+GroundFuelSurcharge),2)))*(1+FedEx_Markup),2)</f>
        <v>71.52</v>
      </c>
      <c r="E141" s="218">
        <f>ROUND((IF('Ground Base'!E$154&gt;ROUND(((1-GroundCommDiscount31Up-GroundCommIncentive)*'Ground Base'!E136),2),ROUND('Ground Base'!E$154*(1+GroundFuelSurcharge),2),ROUND(((1-GroundCommDiscount31Up-GroundCommIncentive)*'Ground Base'!E136)*(1+GroundFuelSurcharge),2)))*(1+FedEx_Markup),2)</f>
        <v>73.47</v>
      </c>
      <c r="F141" s="218">
        <f>ROUND((IF('Ground Base'!F$154&gt;ROUND(((1-GroundCommDiscount31Up-GroundCommIncentive)*'Ground Base'!F136),2),ROUND('Ground Base'!F$154*(1+GroundFuelSurcharge),2),ROUND(((1-GroundCommDiscount31Up-GroundCommIncentive)*'Ground Base'!F136)*(1+GroundFuelSurcharge),2)))*(1+FedEx_Markup),2)</f>
        <v>83.61</v>
      </c>
      <c r="G141" s="218">
        <f>ROUND((IF('Ground Base'!G$154&gt;ROUND(((1-GroundCommDiscount31Up-GroundCommIncentive)*'Ground Base'!G136),2),ROUND('Ground Base'!G$154*(1+GroundFuelSurcharge),2),ROUND(((1-GroundCommDiscount31Up-GroundCommIncentive)*'Ground Base'!G136)*(1+GroundFuelSurcharge),2)))*(1+FedEx_Markup),2)</f>
        <v>91.48</v>
      </c>
      <c r="H141" s="218">
        <f>ROUND((IF('Ground Base'!H$154&gt;ROUND(((1-GroundCommDiscount31Up-GroundCommIncentive)*'Ground Base'!H136),2),ROUND('Ground Base'!H$154*(1+GroundFuelSurcharge),2),ROUND(((1-GroundCommDiscount31Up-GroundCommIncentive)*'Ground Base'!H136)*(1+GroundFuelSurcharge),2)))*(1+FedEx_Markup),2)</f>
        <v>102.78</v>
      </c>
      <c r="I141" s="218">
        <f>ROUND((IF('Ground Base'!I$154&gt;ROUND(((1-GroundAKHIDiscount)*'Ground Base'!I136),2),ROUND('Ground Base'!I$154*(1+GroundFuelSurcharge),2),ROUND(((1-GroundAKHIDiscount)*'Ground Base'!I136)*(1+GroundFuelSurcharge),2)))*(1+FedEx_Markup),2)</f>
        <v>634.48</v>
      </c>
      <c r="J141" s="218">
        <f>ROUND((IF('Ground Base'!J$154&gt;ROUND(((1-GroundAKHIDiscount)*'Ground Base'!J136),2),ROUND('Ground Base'!J$154*(1+GroundFuelSurcharge),2),ROUND(((1-GroundAKHIDiscount)*'Ground Base'!J136)*(1+GroundFuelSurcharge),2)))*(1+FedEx_Markup),2)</f>
        <v>634.48</v>
      </c>
      <c r="K141" s="218">
        <f>ROUND((IF('Ground Base'!K$154&gt;ROUND(((1-GroundZone51Discount)*'Ground Base'!K136),2),ROUND('Ground Base'!K$154*(1+GroundFuelSurcharge),2),ROUND(((1-GroundZone51Discount)*'Ground Base'!K136)*(1+GroundFuelSurcharge),2)))*(1+FedEx_Markup),2)</f>
        <v>131.27000000000001</v>
      </c>
      <c r="L141" s="218">
        <f>ROUND((IF('Ground Base'!L$154&gt;ROUND(((1-GroundZone54Discount)*'Ground Base'!L136),2),ROUND('Ground Base'!L$154*(1+GroundFuelSurcharge),2),ROUND(((1-GroundZone54Discount)*'Ground Base'!L136)*(1+GroundFuelSurcharge),2)))*(1+FedEx_Markup),2)</f>
        <v>184.29</v>
      </c>
    </row>
    <row r="142" spans="1:12" ht="12.75" customHeight="1">
      <c r="A142" s="217">
        <v>135</v>
      </c>
      <c r="B142" s="218">
        <f>ROUND((IF('Ground Base'!B$154&gt;ROUND(((1-GroundCommDiscount31Up-GroundCommIncentive)*'Ground Base'!B137),2),ROUND('Ground Base'!B$154*(1+GroundFuelSurcharge),2),ROUND(((1-GroundCommDiscount31Up-GroundCommIncentive)*'Ground Base'!B137)*(1+GroundFuelSurcharge),2)))*(1+FedEx_Markup),2)</f>
        <v>67.02</v>
      </c>
      <c r="C142" s="218">
        <f>ROUND((IF('Ground Base'!C$154&gt;ROUND(((1-GroundCommDiscount31Up-GroundCommIncentive)*'Ground Base'!C137),2),ROUND('Ground Base'!C$154*(1+GroundFuelSurcharge),2),ROUND(((1-GroundCommDiscount31Up-GroundCommIncentive)*'Ground Base'!C137)*(1+GroundFuelSurcharge),2)))*(1+FedEx_Markup),2)</f>
        <v>67.91</v>
      </c>
      <c r="D142" s="218">
        <f>ROUND((IF('Ground Base'!D$154&gt;ROUND(((1-GroundCommDiscount31Up-GroundCommIncentive)*'Ground Base'!D137),2),ROUND('Ground Base'!D$154*(1+GroundFuelSurcharge),2),ROUND(((1-GroundCommDiscount31Up-GroundCommIncentive)*'Ground Base'!D137)*(1+GroundFuelSurcharge),2)))*(1+FedEx_Markup),2)</f>
        <v>72.83</v>
      </c>
      <c r="E142" s="218">
        <f>ROUND((IF('Ground Base'!E$154&gt;ROUND(((1-GroundCommDiscount31Up-GroundCommIncentive)*'Ground Base'!E137),2),ROUND('Ground Base'!E$154*(1+GroundFuelSurcharge),2),ROUND(((1-GroundCommDiscount31Up-GroundCommIncentive)*'Ground Base'!E137)*(1+GroundFuelSurcharge),2)))*(1+FedEx_Markup),2)</f>
        <v>74.78</v>
      </c>
      <c r="F142" s="218">
        <f>ROUND((IF('Ground Base'!F$154&gt;ROUND(((1-GroundCommDiscount31Up-GroundCommIncentive)*'Ground Base'!F137),2),ROUND('Ground Base'!F$154*(1+GroundFuelSurcharge),2),ROUND(((1-GroundCommDiscount31Up-GroundCommIncentive)*'Ground Base'!F137)*(1+GroundFuelSurcharge),2)))*(1+FedEx_Markup),2)</f>
        <v>84.63</v>
      </c>
      <c r="G142" s="218">
        <f>ROUND((IF('Ground Base'!G$154&gt;ROUND(((1-GroundCommDiscount31Up-GroundCommIncentive)*'Ground Base'!G137),2),ROUND('Ground Base'!G$154*(1+GroundFuelSurcharge),2),ROUND(((1-GroundCommDiscount31Up-GroundCommIncentive)*'Ground Base'!G137)*(1+GroundFuelSurcharge),2)))*(1+FedEx_Markup),2)</f>
        <v>91.97</v>
      </c>
      <c r="H142" s="218">
        <f>ROUND((IF('Ground Base'!H$154&gt;ROUND(((1-GroundCommDiscount31Up-GroundCommIncentive)*'Ground Base'!H137),2),ROUND('Ground Base'!H$154*(1+GroundFuelSurcharge),2),ROUND(((1-GroundCommDiscount31Up-GroundCommIncentive)*'Ground Base'!H137)*(1+GroundFuelSurcharge),2)))*(1+FedEx_Markup),2)</f>
        <v>103.28</v>
      </c>
      <c r="I142" s="218">
        <f>ROUND((IF('Ground Base'!I$154&gt;ROUND(((1-GroundAKHIDiscount)*'Ground Base'!I137),2),ROUND('Ground Base'!I$154*(1+GroundFuelSurcharge),2),ROUND(((1-GroundAKHIDiscount)*'Ground Base'!I137)*(1+GroundFuelSurcharge),2)))*(1+FedEx_Markup),2)</f>
        <v>639.27</v>
      </c>
      <c r="J142" s="218">
        <f>ROUND((IF('Ground Base'!J$154&gt;ROUND(((1-GroundAKHIDiscount)*'Ground Base'!J137),2),ROUND('Ground Base'!J$154*(1+GroundFuelSurcharge),2),ROUND(((1-GroundAKHIDiscount)*'Ground Base'!J137)*(1+GroundFuelSurcharge),2)))*(1+FedEx_Markup),2)</f>
        <v>639.27</v>
      </c>
      <c r="K142" s="218">
        <f>ROUND((IF('Ground Base'!K$154&gt;ROUND(((1-GroundZone51Discount)*'Ground Base'!K137),2),ROUND('Ground Base'!K$154*(1+GroundFuelSurcharge),2),ROUND(((1-GroundZone51Discount)*'Ground Base'!K137)*(1+GroundFuelSurcharge),2)))*(1+FedEx_Markup),2)</f>
        <v>131.28</v>
      </c>
      <c r="L142" s="218">
        <f>ROUND((IF('Ground Base'!L$154&gt;ROUND(((1-GroundZone54Discount)*'Ground Base'!L137),2),ROUND('Ground Base'!L$154*(1+GroundFuelSurcharge),2),ROUND(((1-GroundZone54Discount)*'Ground Base'!L137)*(1+GroundFuelSurcharge),2)))*(1+FedEx_Markup),2)</f>
        <v>184.3</v>
      </c>
    </row>
    <row r="143" spans="1:12" ht="12.75" customHeight="1">
      <c r="A143" s="217">
        <v>136</v>
      </c>
      <c r="B143" s="218">
        <f>ROUND((IF('Ground Base'!B$154&gt;ROUND(((1-GroundCommDiscount31Up-GroundCommIncentive)*'Ground Base'!B138),2),ROUND('Ground Base'!B$154*(1+GroundFuelSurcharge),2),ROUND(((1-GroundCommDiscount31Up-GroundCommIncentive)*'Ground Base'!B138)*(1+GroundFuelSurcharge),2)))*(1+FedEx_Markup),2)</f>
        <v>67.510000000000005</v>
      </c>
      <c r="C143" s="218">
        <f>ROUND((IF('Ground Base'!C$154&gt;ROUND(((1-GroundCommDiscount31Up-GroundCommIncentive)*'Ground Base'!C138),2),ROUND('Ground Base'!C$154*(1+GroundFuelSurcharge),2),ROUND(((1-GroundCommDiscount31Up-GroundCommIncentive)*'Ground Base'!C138)*(1+GroundFuelSurcharge),2)))*(1+FedEx_Markup),2)</f>
        <v>67.91</v>
      </c>
      <c r="D143" s="218">
        <f>ROUND((IF('Ground Base'!D$154&gt;ROUND(((1-GroundCommDiscount31Up-GroundCommIncentive)*'Ground Base'!D138),2),ROUND('Ground Base'!D$154*(1+GroundFuelSurcharge),2),ROUND(((1-GroundCommDiscount31Up-GroundCommIncentive)*'Ground Base'!D138)*(1+GroundFuelSurcharge),2)))*(1+FedEx_Markup),2)</f>
        <v>73.31</v>
      </c>
      <c r="E143" s="218">
        <f>ROUND((IF('Ground Base'!E$154&gt;ROUND(((1-GroundCommDiscount31Up-GroundCommIncentive)*'Ground Base'!E138),2),ROUND('Ground Base'!E$154*(1+GroundFuelSurcharge),2),ROUND(((1-GroundCommDiscount31Up-GroundCommIncentive)*'Ground Base'!E138)*(1+GroundFuelSurcharge),2)))*(1+FedEx_Markup),2)</f>
        <v>75.430000000000007</v>
      </c>
      <c r="F143" s="218">
        <f>ROUND((IF('Ground Base'!F$154&gt;ROUND(((1-GroundCommDiscount31Up-GroundCommIncentive)*'Ground Base'!F138),2),ROUND('Ground Base'!F$154*(1+GroundFuelSurcharge),2),ROUND(((1-GroundCommDiscount31Up-GroundCommIncentive)*'Ground Base'!F138)*(1+GroundFuelSurcharge),2)))*(1+FedEx_Markup),2)</f>
        <v>84.64</v>
      </c>
      <c r="G143" s="218">
        <f>ROUND((IF('Ground Base'!G$154&gt;ROUND(((1-GroundCommDiscount31Up-GroundCommIncentive)*'Ground Base'!G138),2),ROUND('Ground Base'!G$154*(1+GroundFuelSurcharge),2),ROUND(((1-GroundCommDiscount31Up-GroundCommIncentive)*'Ground Base'!G138)*(1+GroundFuelSurcharge),2)))*(1+FedEx_Markup),2)</f>
        <v>93.39</v>
      </c>
      <c r="H143" s="218">
        <f>ROUND((IF('Ground Base'!H$154&gt;ROUND(((1-GroundCommDiscount31Up-GroundCommIncentive)*'Ground Base'!H138),2),ROUND('Ground Base'!H$154*(1+GroundFuelSurcharge),2),ROUND(((1-GroundCommDiscount31Up-GroundCommIncentive)*'Ground Base'!H138)*(1+GroundFuelSurcharge),2)))*(1+FedEx_Markup),2)</f>
        <v>103.98</v>
      </c>
      <c r="I143" s="218">
        <f>ROUND((IF('Ground Base'!I$154&gt;ROUND(((1-GroundAKHIDiscount)*'Ground Base'!I138),2),ROUND('Ground Base'!I$154*(1+GroundFuelSurcharge),2),ROUND(((1-GroundAKHIDiscount)*'Ground Base'!I138)*(1+GroundFuelSurcharge),2)))*(1+FedEx_Markup),2)</f>
        <v>644.14</v>
      </c>
      <c r="J143" s="218">
        <f>ROUND((IF('Ground Base'!J$154&gt;ROUND(((1-GroundAKHIDiscount)*'Ground Base'!J138),2),ROUND('Ground Base'!J$154*(1+GroundFuelSurcharge),2),ROUND(((1-GroundAKHIDiscount)*'Ground Base'!J138)*(1+GroundFuelSurcharge),2)))*(1+FedEx_Markup),2)</f>
        <v>644.14</v>
      </c>
      <c r="K143" s="218">
        <f>ROUND((IF('Ground Base'!K$154&gt;ROUND(((1-GroundZone51Discount)*'Ground Base'!K138),2),ROUND('Ground Base'!K$154*(1+GroundFuelSurcharge),2),ROUND(((1-GroundZone51Discount)*'Ground Base'!K138)*(1+GroundFuelSurcharge),2)))*(1+FedEx_Markup),2)</f>
        <v>133.94999999999999</v>
      </c>
      <c r="L143" s="218">
        <f>ROUND((IF('Ground Base'!L$154&gt;ROUND(((1-GroundZone54Discount)*'Ground Base'!L138),2),ROUND('Ground Base'!L$154*(1+GroundFuelSurcharge),2),ROUND(((1-GroundZone54Discount)*'Ground Base'!L138)*(1+GroundFuelSurcharge),2)))*(1+FedEx_Markup),2)</f>
        <v>190.2</v>
      </c>
    </row>
    <row r="144" spans="1:12" ht="12.75" customHeight="1">
      <c r="A144" s="217">
        <v>137</v>
      </c>
      <c r="B144" s="218">
        <f>ROUND((IF('Ground Base'!B$154&gt;ROUND(((1-GroundCommDiscount31Up-GroundCommIncentive)*'Ground Base'!B139),2),ROUND('Ground Base'!B$154*(1+GroundFuelSurcharge),2),ROUND(((1-GroundCommDiscount31Up-GroundCommIncentive)*'Ground Base'!B139)*(1+GroundFuelSurcharge),2)))*(1+FedEx_Markup),2)</f>
        <v>67.52</v>
      </c>
      <c r="C144" s="218">
        <f>ROUND((IF('Ground Base'!C$154&gt;ROUND(((1-GroundCommDiscount31Up-GroundCommIncentive)*'Ground Base'!C139),2),ROUND('Ground Base'!C$154*(1+GroundFuelSurcharge),2),ROUND(((1-GroundCommDiscount31Up-GroundCommIncentive)*'Ground Base'!C139)*(1+GroundFuelSurcharge),2)))*(1+FedEx_Markup),2)</f>
        <v>68.08</v>
      </c>
      <c r="D144" s="218">
        <f>ROUND((IF('Ground Base'!D$154&gt;ROUND(((1-GroundCommDiscount31Up-GroundCommIncentive)*'Ground Base'!D139),2),ROUND('Ground Base'!D$154*(1+GroundFuelSurcharge),2),ROUND(((1-GroundCommDiscount31Up-GroundCommIncentive)*'Ground Base'!D139)*(1+GroundFuelSurcharge),2)))*(1+FedEx_Markup),2)</f>
        <v>75.260000000000005</v>
      </c>
      <c r="E144" s="218">
        <f>ROUND((IF('Ground Base'!E$154&gt;ROUND(((1-GroundCommDiscount31Up-GroundCommIncentive)*'Ground Base'!E139),2),ROUND('Ground Base'!E$154*(1+GroundFuelSurcharge),2),ROUND(((1-GroundCommDiscount31Up-GroundCommIncentive)*'Ground Base'!E139)*(1+GroundFuelSurcharge),2)))*(1+FedEx_Markup),2)</f>
        <v>75.98</v>
      </c>
      <c r="F144" s="218">
        <f>ROUND((IF('Ground Base'!F$154&gt;ROUND(((1-GroundCommDiscount31Up-GroundCommIncentive)*'Ground Base'!F139),2),ROUND('Ground Base'!F$154*(1+GroundFuelSurcharge),2),ROUND(((1-GroundCommDiscount31Up-GroundCommIncentive)*'Ground Base'!F139)*(1+GroundFuelSurcharge),2)))*(1+FedEx_Markup),2)</f>
        <v>84.65</v>
      </c>
      <c r="G144" s="218">
        <f>ROUND((IF('Ground Base'!G$154&gt;ROUND(((1-GroundCommDiscount31Up-GroundCommIncentive)*'Ground Base'!G139),2),ROUND('Ground Base'!G$154*(1+GroundFuelSurcharge),2),ROUND(((1-GroundCommDiscount31Up-GroundCommIncentive)*'Ground Base'!G139)*(1+GroundFuelSurcharge),2)))*(1+FedEx_Markup),2)</f>
        <v>93.4</v>
      </c>
      <c r="H144" s="218">
        <f>ROUND((IF('Ground Base'!H$154&gt;ROUND(((1-GroundCommDiscount31Up-GroundCommIncentive)*'Ground Base'!H139),2),ROUND('Ground Base'!H$154*(1+GroundFuelSurcharge),2),ROUND(((1-GroundCommDiscount31Up-GroundCommIncentive)*'Ground Base'!H139)*(1+GroundFuelSurcharge),2)))*(1+FedEx_Markup),2)</f>
        <v>103.99</v>
      </c>
      <c r="I144" s="218">
        <f>ROUND((IF('Ground Base'!I$154&gt;ROUND(((1-GroundAKHIDiscount)*'Ground Base'!I139),2),ROUND('Ground Base'!I$154*(1+GroundFuelSurcharge),2),ROUND(((1-GroundAKHIDiscount)*'Ground Base'!I139)*(1+GroundFuelSurcharge),2)))*(1+FedEx_Markup),2)</f>
        <v>661.43</v>
      </c>
      <c r="J144" s="218">
        <f>ROUND((IF('Ground Base'!J$154&gt;ROUND(((1-GroundAKHIDiscount)*'Ground Base'!J139),2),ROUND('Ground Base'!J$154*(1+GroundFuelSurcharge),2),ROUND(((1-GroundAKHIDiscount)*'Ground Base'!J139)*(1+GroundFuelSurcharge),2)))*(1+FedEx_Markup),2)</f>
        <v>661.43</v>
      </c>
      <c r="K144" s="218">
        <f>ROUND((IF('Ground Base'!K$154&gt;ROUND(((1-GroundZone51Discount)*'Ground Base'!K139),2),ROUND('Ground Base'!K$154*(1+GroundFuelSurcharge),2),ROUND(((1-GroundZone51Discount)*'Ground Base'!K139)*(1+GroundFuelSurcharge),2)))*(1+FedEx_Markup),2)</f>
        <v>133.94999999999999</v>
      </c>
      <c r="L144" s="218">
        <f>ROUND((IF('Ground Base'!L$154&gt;ROUND(((1-GroundZone54Discount)*'Ground Base'!L139),2),ROUND('Ground Base'!L$154*(1+GroundFuelSurcharge),2),ROUND(((1-GroundZone54Discount)*'Ground Base'!L139)*(1+GroundFuelSurcharge),2)))*(1+FedEx_Markup),2)</f>
        <v>190.2</v>
      </c>
    </row>
    <row r="145" spans="1:12" ht="12.75" customHeight="1">
      <c r="A145" s="217">
        <v>138</v>
      </c>
      <c r="B145" s="218">
        <f>ROUND((IF('Ground Base'!B$154&gt;ROUND(((1-GroundCommDiscount31Up-GroundCommIncentive)*'Ground Base'!B140),2),ROUND('Ground Base'!B$154*(1+GroundFuelSurcharge),2),ROUND(((1-GroundCommDiscount31Up-GroundCommIncentive)*'Ground Base'!B140)*(1+GroundFuelSurcharge),2)))*(1+FedEx_Markup),2)</f>
        <v>68.77</v>
      </c>
      <c r="C145" s="218">
        <f>ROUND((IF('Ground Base'!C$154&gt;ROUND(((1-GroundCommDiscount31Up-GroundCommIncentive)*'Ground Base'!C140),2),ROUND('Ground Base'!C$154*(1+GroundFuelSurcharge),2),ROUND(((1-GroundCommDiscount31Up-GroundCommIncentive)*'Ground Base'!C140)*(1+GroundFuelSurcharge),2)))*(1+FedEx_Markup),2)</f>
        <v>69.81</v>
      </c>
      <c r="D145" s="218">
        <f>ROUND((IF('Ground Base'!D$154&gt;ROUND(((1-GroundCommDiscount31Up-GroundCommIncentive)*'Ground Base'!D140),2),ROUND('Ground Base'!D$154*(1+GroundFuelSurcharge),2),ROUND(((1-GroundCommDiscount31Up-GroundCommIncentive)*'Ground Base'!D140)*(1+GroundFuelSurcharge),2)))*(1+FedEx_Markup),2)</f>
        <v>75.62</v>
      </c>
      <c r="E145" s="218">
        <f>ROUND((IF('Ground Base'!E$154&gt;ROUND(((1-GroundCommDiscount31Up-GroundCommIncentive)*'Ground Base'!E140),2),ROUND('Ground Base'!E$154*(1+GroundFuelSurcharge),2),ROUND(((1-GroundCommDiscount31Up-GroundCommIncentive)*'Ground Base'!E140)*(1+GroundFuelSurcharge),2)))*(1+FedEx_Markup),2)</f>
        <v>76.61</v>
      </c>
      <c r="F145" s="218">
        <f>ROUND((IF('Ground Base'!F$154&gt;ROUND(((1-GroundCommDiscount31Up-GroundCommIncentive)*'Ground Base'!F140),2),ROUND('Ground Base'!F$154*(1+GroundFuelSurcharge),2),ROUND(((1-GroundCommDiscount31Up-GroundCommIncentive)*'Ground Base'!F140)*(1+GroundFuelSurcharge),2)))*(1+FedEx_Markup),2)</f>
        <v>86.39</v>
      </c>
      <c r="G145" s="218">
        <f>ROUND((IF('Ground Base'!G$154&gt;ROUND(((1-GroundCommDiscount31Up-GroundCommIncentive)*'Ground Base'!G140),2),ROUND('Ground Base'!G$154*(1+GroundFuelSurcharge),2),ROUND(((1-GroundCommDiscount31Up-GroundCommIncentive)*'Ground Base'!G140)*(1+GroundFuelSurcharge),2)))*(1+FedEx_Markup),2)</f>
        <v>94.19</v>
      </c>
      <c r="H145" s="218">
        <f>ROUND((IF('Ground Base'!H$154&gt;ROUND(((1-GroundCommDiscount31Up-GroundCommIncentive)*'Ground Base'!H140),2),ROUND('Ground Base'!H$154*(1+GroundFuelSurcharge),2),ROUND(((1-GroundCommDiscount31Up-GroundCommIncentive)*'Ground Base'!H140)*(1+GroundFuelSurcharge),2)))*(1+FedEx_Markup),2)</f>
        <v>106.85</v>
      </c>
      <c r="I145" s="218">
        <f>ROUND((IF('Ground Base'!I$154&gt;ROUND(((1-GroundAKHIDiscount)*'Ground Base'!I140),2),ROUND('Ground Base'!I$154*(1+GroundFuelSurcharge),2),ROUND(((1-GroundAKHIDiscount)*'Ground Base'!I140)*(1+GroundFuelSurcharge),2)))*(1+FedEx_Markup),2)</f>
        <v>664.95</v>
      </c>
      <c r="J145" s="218">
        <f>ROUND((IF('Ground Base'!J$154&gt;ROUND(((1-GroundAKHIDiscount)*'Ground Base'!J140),2),ROUND('Ground Base'!J$154*(1+GroundFuelSurcharge),2),ROUND(((1-GroundAKHIDiscount)*'Ground Base'!J140)*(1+GroundFuelSurcharge),2)))*(1+FedEx_Markup),2)</f>
        <v>664.95</v>
      </c>
      <c r="K145" s="218">
        <f>ROUND((IF('Ground Base'!K$154&gt;ROUND(((1-GroundZone51Discount)*'Ground Base'!K140),2),ROUND('Ground Base'!K$154*(1+GroundFuelSurcharge),2),ROUND(((1-GroundZone51Discount)*'Ground Base'!K140)*(1+GroundFuelSurcharge),2)))*(1+FedEx_Markup),2)</f>
        <v>133.97999999999999</v>
      </c>
      <c r="L145" s="218">
        <f>ROUND((IF('Ground Base'!L$154&gt;ROUND(((1-GroundZone54Discount)*'Ground Base'!L140),2),ROUND('Ground Base'!L$154*(1+GroundFuelSurcharge),2),ROUND(((1-GroundZone54Discount)*'Ground Base'!L140)*(1+GroundFuelSurcharge),2)))*(1+FedEx_Markup),2)</f>
        <v>190.21</v>
      </c>
    </row>
    <row r="146" spans="1:12" ht="12.75" customHeight="1">
      <c r="A146" s="217">
        <v>139</v>
      </c>
      <c r="B146" s="218">
        <f>ROUND((IF('Ground Base'!B$154&gt;ROUND(((1-GroundCommDiscount31Up-GroundCommIncentive)*'Ground Base'!B141),2),ROUND('Ground Base'!B$154*(1+GroundFuelSurcharge),2),ROUND(((1-GroundCommDiscount31Up-GroundCommIncentive)*'Ground Base'!B141)*(1+GroundFuelSurcharge),2)))*(1+FedEx_Markup),2)</f>
        <v>70.06</v>
      </c>
      <c r="C146" s="218">
        <f>ROUND((IF('Ground Base'!C$154&gt;ROUND(((1-GroundCommDiscount31Up-GroundCommIncentive)*'Ground Base'!C141),2),ROUND('Ground Base'!C$154*(1+GroundFuelSurcharge),2),ROUND(((1-GroundCommDiscount31Up-GroundCommIncentive)*'Ground Base'!C141)*(1+GroundFuelSurcharge),2)))*(1+FedEx_Markup),2)</f>
        <v>70.06</v>
      </c>
      <c r="D146" s="218">
        <f>ROUND((IF('Ground Base'!D$154&gt;ROUND(((1-GroundCommDiscount31Up-GroundCommIncentive)*'Ground Base'!D141),2),ROUND('Ground Base'!D$154*(1+GroundFuelSurcharge),2),ROUND(((1-GroundCommDiscount31Up-GroundCommIncentive)*'Ground Base'!D141)*(1+GroundFuelSurcharge),2)))*(1+FedEx_Markup),2)</f>
        <v>75.650000000000006</v>
      </c>
      <c r="E146" s="218">
        <f>ROUND((IF('Ground Base'!E$154&gt;ROUND(((1-GroundCommDiscount31Up-GroundCommIncentive)*'Ground Base'!E141),2),ROUND('Ground Base'!E$154*(1+GroundFuelSurcharge),2),ROUND(((1-GroundCommDiscount31Up-GroundCommIncentive)*'Ground Base'!E141)*(1+GroundFuelSurcharge),2)))*(1+FedEx_Markup),2)</f>
        <v>76.62</v>
      </c>
      <c r="F146" s="218">
        <f>ROUND((IF('Ground Base'!F$154&gt;ROUND(((1-GroundCommDiscount31Up-GroundCommIncentive)*'Ground Base'!F141),2),ROUND('Ground Base'!F$154*(1+GroundFuelSurcharge),2),ROUND(((1-GroundCommDiscount31Up-GroundCommIncentive)*'Ground Base'!F141)*(1+GroundFuelSurcharge),2)))*(1+FedEx_Markup),2)</f>
        <v>86.4</v>
      </c>
      <c r="G146" s="218">
        <f>ROUND((IF('Ground Base'!G$154&gt;ROUND(((1-GroundCommDiscount31Up-GroundCommIncentive)*'Ground Base'!G141),2),ROUND('Ground Base'!G$154*(1+GroundFuelSurcharge),2),ROUND(((1-GroundCommDiscount31Up-GroundCommIncentive)*'Ground Base'!G141)*(1+GroundFuelSurcharge),2)))*(1+FedEx_Markup),2)</f>
        <v>95.94</v>
      </c>
      <c r="H146" s="218">
        <f>ROUND((IF('Ground Base'!H$154&gt;ROUND(((1-GroundCommDiscount31Up-GroundCommIncentive)*'Ground Base'!H141),2),ROUND('Ground Base'!H$154*(1+GroundFuelSurcharge),2),ROUND(((1-GroundCommDiscount31Up-GroundCommIncentive)*'Ground Base'!H141)*(1+GroundFuelSurcharge),2)))*(1+FedEx_Markup),2)</f>
        <v>106.87</v>
      </c>
      <c r="I146" s="218">
        <f>ROUND((IF('Ground Base'!I$154&gt;ROUND(((1-GroundAKHIDiscount)*'Ground Base'!I141),2),ROUND('Ground Base'!I$154*(1+GroundFuelSurcharge),2),ROUND(((1-GroundAKHIDiscount)*'Ground Base'!I141)*(1+GroundFuelSurcharge),2)))*(1+FedEx_Markup),2)</f>
        <v>664.96</v>
      </c>
      <c r="J146" s="218">
        <f>ROUND((IF('Ground Base'!J$154&gt;ROUND(((1-GroundAKHIDiscount)*'Ground Base'!J141),2),ROUND('Ground Base'!J$154*(1+GroundFuelSurcharge),2),ROUND(((1-GroundAKHIDiscount)*'Ground Base'!J141)*(1+GroundFuelSurcharge),2)))*(1+FedEx_Markup),2)</f>
        <v>664.96</v>
      </c>
      <c r="K146" s="218">
        <f>ROUND((IF('Ground Base'!K$154&gt;ROUND(((1-GroundZone51Discount)*'Ground Base'!K141),2),ROUND('Ground Base'!K$154*(1+GroundFuelSurcharge),2),ROUND(((1-GroundZone51Discount)*'Ground Base'!K141)*(1+GroundFuelSurcharge),2)))*(1+FedEx_Markup),2)</f>
        <v>133.97999999999999</v>
      </c>
      <c r="L146" s="218">
        <f>ROUND((IF('Ground Base'!L$154&gt;ROUND(((1-GroundZone54Discount)*'Ground Base'!L141),2),ROUND('Ground Base'!L$154*(1+GroundFuelSurcharge),2),ROUND(((1-GroundZone54Discount)*'Ground Base'!L141)*(1+GroundFuelSurcharge),2)))*(1+FedEx_Markup),2)</f>
        <v>190.21</v>
      </c>
    </row>
    <row r="147" spans="1:12" ht="12.75" customHeight="1">
      <c r="A147" s="217">
        <v>140</v>
      </c>
      <c r="B147" s="218">
        <f>ROUND((IF('Ground Base'!B$154&gt;ROUND(((1-GroundCommDiscount31Up-GroundCommIncentive)*'Ground Base'!B142),2),ROUND('Ground Base'!B$154*(1+GroundFuelSurcharge),2),ROUND(((1-GroundCommDiscount31Up-GroundCommIncentive)*'Ground Base'!B142)*(1+GroundFuelSurcharge),2)))*(1+FedEx_Markup),2)</f>
        <v>70.63</v>
      </c>
      <c r="C147" s="218">
        <f>ROUND((IF('Ground Base'!C$154&gt;ROUND(((1-GroundCommDiscount31Up-GroundCommIncentive)*'Ground Base'!C142),2),ROUND('Ground Base'!C$154*(1+GroundFuelSurcharge),2),ROUND(((1-GroundCommDiscount31Up-GroundCommIncentive)*'Ground Base'!C142)*(1+GroundFuelSurcharge),2)))*(1+FedEx_Markup),2)</f>
        <v>71.19</v>
      </c>
      <c r="D147" s="218">
        <f>ROUND((IF('Ground Base'!D$154&gt;ROUND(((1-GroundCommDiscount31Up-GroundCommIncentive)*'Ground Base'!D142),2),ROUND('Ground Base'!D$154*(1+GroundFuelSurcharge),2),ROUND(((1-GroundCommDiscount31Up-GroundCommIncentive)*'Ground Base'!D142)*(1+GroundFuelSurcharge),2)))*(1+FedEx_Markup),2)</f>
        <v>76.39</v>
      </c>
      <c r="E147" s="218">
        <f>ROUND((IF('Ground Base'!E$154&gt;ROUND(((1-GroundCommDiscount31Up-GroundCommIncentive)*'Ground Base'!E142),2),ROUND('Ground Base'!E$154*(1+GroundFuelSurcharge),2),ROUND(((1-GroundCommDiscount31Up-GroundCommIncentive)*'Ground Base'!E142)*(1+GroundFuelSurcharge),2)))*(1+FedEx_Markup),2)</f>
        <v>77.819999999999993</v>
      </c>
      <c r="F147" s="218">
        <f>ROUND((IF('Ground Base'!F$154&gt;ROUND(((1-GroundCommDiscount31Up-GroundCommIncentive)*'Ground Base'!F142),2),ROUND('Ground Base'!F$154*(1+GroundFuelSurcharge),2),ROUND(((1-GroundCommDiscount31Up-GroundCommIncentive)*'Ground Base'!F142)*(1+GroundFuelSurcharge),2)))*(1+FedEx_Markup),2)</f>
        <v>87.32</v>
      </c>
      <c r="G147" s="218">
        <f>ROUND((IF('Ground Base'!G$154&gt;ROUND(((1-GroundCommDiscount31Up-GroundCommIncentive)*'Ground Base'!G142),2),ROUND('Ground Base'!G$154*(1+GroundFuelSurcharge),2),ROUND(((1-GroundCommDiscount31Up-GroundCommIncentive)*'Ground Base'!G142)*(1+GroundFuelSurcharge),2)))*(1+FedEx_Markup),2)</f>
        <v>95.94</v>
      </c>
      <c r="H147" s="218">
        <f>ROUND((IF('Ground Base'!H$154&gt;ROUND(((1-GroundCommDiscount31Up-GroundCommIncentive)*'Ground Base'!H142),2),ROUND('Ground Base'!H$154*(1+GroundFuelSurcharge),2),ROUND(((1-GroundCommDiscount31Up-GroundCommIncentive)*'Ground Base'!H142)*(1+GroundFuelSurcharge),2)))*(1+FedEx_Markup),2)</f>
        <v>106.88</v>
      </c>
      <c r="I147" s="218">
        <f>ROUND((IF('Ground Base'!I$154&gt;ROUND(((1-GroundAKHIDiscount)*'Ground Base'!I142),2),ROUND('Ground Base'!I$154*(1+GroundFuelSurcharge),2),ROUND(((1-GroundAKHIDiscount)*'Ground Base'!I142)*(1+GroundFuelSurcharge),2)))*(1+FedEx_Markup),2)</f>
        <v>664.98</v>
      </c>
      <c r="J147" s="218">
        <f>ROUND((IF('Ground Base'!J$154&gt;ROUND(((1-GroundAKHIDiscount)*'Ground Base'!J142),2),ROUND('Ground Base'!J$154*(1+GroundFuelSurcharge),2),ROUND(((1-GroundAKHIDiscount)*'Ground Base'!J142)*(1+GroundFuelSurcharge),2)))*(1+FedEx_Markup),2)</f>
        <v>664.98</v>
      </c>
      <c r="K147" s="218">
        <f>ROUND((IF('Ground Base'!K$154&gt;ROUND(((1-GroundZone51Discount)*'Ground Base'!K142),2),ROUND('Ground Base'!K$154*(1+GroundFuelSurcharge),2),ROUND(((1-GroundZone51Discount)*'Ground Base'!K142)*(1+GroundFuelSurcharge),2)))*(1+FedEx_Markup),2)</f>
        <v>133.99</v>
      </c>
      <c r="L147" s="218">
        <f>ROUND((IF('Ground Base'!L$154&gt;ROUND(((1-GroundZone54Discount)*'Ground Base'!L142),2),ROUND('Ground Base'!L$154*(1+GroundFuelSurcharge),2),ROUND(((1-GroundZone54Discount)*'Ground Base'!L142)*(1+GroundFuelSurcharge),2)))*(1+FedEx_Markup),2)</f>
        <v>190.22</v>
      </c>
    </row>
    <row r="148" spans="1:12" ht="12.75" customHeight="1">
      <c r="A148" s="217">
        <v>141</v>
      </c>
      <c r="B148" s="218">
        <f>ROUND((IF('Ground Base'!B$154&gt;ROUND(((1-GroundCommDiscount31Up-GroundCommIncentive)*'Ground Base'!B143),2),ROUND('Ground Base'!B$154*(1+GroundFuelSurcharge),2),ROUND(((1-GroundCommDiscount31Up-GroundCommIncentive)*'Ground Base'!B143)*(1+GroundFuelSurcharge),2)))*(1+FedEx_Markup),2)</f>
        <v>70.64</v>
      </c>
      <c r="C148" s="218">
        <f>ROUND((IF('Ground Base'!C$154&gt;ROUND(((1-GroundCommDiscount31Up-GroundCommIncentive)*'Ground Base'!C143),2),ROUND('Ground Base'!C$154*(1+GroundFuelSurcharge),2),ROUND(((1-GroundCommDiscount31Up-GroundCommIncentive)*'Ground Base'!C143)*(1+GroundFuelSurcharge),2)))*(1+FedEx_Markup),2)</f>
        <v>71.2</v>
      </c>
      <c r="D148" s="218">
        <f>ROUND((IF('Ground Base'!D$154&gt;ROUND(((1-GroundCommDiscount31Up-GroundCommIncentive)*'Ground Base'!D143),2),ROUND('Ground Base'!D$154*(1+GroundFuelSurcharge),2),ROUND(((1-GroundCommDiscount31Up-GroundCommIncentive)*'Ground Base'!D143)*(1+GroundFuelSurcharge),2)))*(1+FedEx_Markup),2)</f>
        <v>77.06</v>
      </c>
      <c r="E148" s="218">
        <f>ROUND((IF('Ground Base'!E$154&gt;ROUND(((1-GroundCommDiscount31Up-GroundCommIncentive)*'Ground Base'!E143),2),ROUND('Ground Base'!E$154*(1+GroundFuelSurcharge),2),ROUND(((1-GroundCommDiscount31Up-GroundCommIncentive)*'Ground Base'!E143)*(1+GroundFuelSurcharge),2)))*(1+FedEx_Markup),2)</f>
        <v>77.83</v>
      </c>
      <c r="F148" s="218">
        <f>ROUND((IF('Ground Base'!F$154&gt;ROUND(((1-GroundCommDiscount31Up-GroundCommIncentive)*'Ground Base'!F143),2),ROUND('Ground Base'!F$154*(1+GroundFuelSurcharge),2),ROUND(((1-GroundCommDiscount31Up-GroundCommIncentive)*'Ground Base'!F143)*(1+GroundFuelSurcharge),2)))*(1+FedEx_Markup),2)</f>
        <v>87.32</v>
      </c>
      <c r="G148" s="218">
        <f>ROUND((IF('Ground Base'!G$154&gt;ROUND(((1-GroundCommDiscount31Up-GroundCommIncentive)*'Ground Base'!G143),2),ROUND('Ground Base'!G$154*(1+GroundFuelSurcharge),2),ROUND(((1-GroundCommDiscount31Up-GroundCommIncentive)*'Ground Base'!G143)*(1+GroundFuelSurcharge),2)))*(1+FedEx_Markup),2)</f>
        <v>95.96</v>
      </c>
      <c r="H148" s="218">
        <f>ROUND((IF('Ground Base'!H$154&gt;ROUND(((1-GroundCommDiscount31Up-GroundCommIncentive)*'Ground Base'!H143),2),ROUND('Ground Base'!H$154*(1+GroundFuelSurcharge),2),ROUND(((1-GroundCommDiscount31Up-GroundCommIncentive)*'Ground Base'!H143)*(1+GroundFuelSurcharge),2)))*(1+FedEx_Markup),2)</f>
        <v>107.89</v>
      </c>
      <c r="I148" s="218">
        <f>ROUND((IF('Ground Base'!I$154&gt;ROUND(((1-GroundAKHIDiscount)*'Ground Base'!I143),2),ROUND('Ground Base'!I$154*(1+GroundFuelSurcharge),2),ROUND(((1-GroundAKHIDiscount)*'Ground Base'!I143)*(1+GroundFuelSurcharge),2)))*(1+FedEx_Markup),2)</f>
        <v>664.99</v>
      </c>
      <c r="J148" s="218">
        <f>ROUND((IF('Ground Base'!J$154&gt;ROUND(((1-GroundAKHIDiscount)*'Ground Base'!J143),2),ROUND('Ground Base'!J$154*(1+GroundFuelSurcharge),2),ROUND(((1-GroundAKHIDiscount)*'Ground Base'!J143)*(1+GroundFuelSurcharge),2)))*(1+FedEx_Markup),2)</f>
        <v>664.99</v>
      </c>
      <c r="K148" s="218">
        <f>ROUND((IF('Ground Base'!K$154&gt;ROUND(((1-GroundZone51Discount)*'Ground Base'!K143),2),ROUND('Ground Base'!K$154*(1+GroundFuelSurcharge),2),ROUND(((1-GroundZone51Discount)*'Ground Base'!K143)*(1+GroundFuelSurcharge),2)))*(1+FedEx_Markup),2)</f>
        <v>136.49</v>
      </c>
      <c r="L148" s="218">
        <f>ROUND((IF('Ground Base'!L$154&gt;ROUND(((1-GroundZone54Discount)*'Ground Base'!L143),2),ROUND('Ground Base'!L$154*(1+GroundFuelSurcharge),2),ROUND(((1-GroundZone54Discount)*'Ground Base'!L143)*(1+GroundFuelSurcharge),2)))*(1+FedEx_Markup),2)</f>
        <v>196.59</v>
      </c>
    </row>
    <row r="149" spans="1:12" ht="12.75" customHeight="1">
      <c r="A149" s="217">
        <v>142</v>
      </c>
      <c r="B149" s="218">
        <f>ROUND((IF('Ground Base'!B$154&gt;ROUND(((1-GroundCommDiscount31Up-GroundCommIncentive)*'Ground Base'!B144),2),ROUND('Ground Base'!B$154*(1+GroundFuelSurcharge),2),ROUND(((1-GroundCommDiscount31Up-GroundCommIncentive)*'Ground Base'!B144)*(1+GroundFuelSurcharge),2)))*(1+FedEx_Markup),2)</f>
        <v>71.55</v>
      </c>
      <c r="C149" s="218">
        <f>ROUND((IF('Ground Base'!C$154&gt;ROUND(((1-GroundCommDiscount31Up-GroundCommIncentive)*'Ground Base'!C144),2),ROUND('Ground Base'!C$154*(1+GroundFuelSurcharge),2),ROUND(((1-GroundCommDiscount31Up-GroundCommIncentive)*'Ground Base'!C144)*(1+GroundFuelSurcharge),2)))*(1+FedEx_Markup),2)</f>
        <v>71.55</v>
      </c>
      <c r="D149" s="218">
        <f>ROUND((IF('Ground Base'!D$154&gt;ROUND(((1-GroundCommDiscount31Up-GroundCommIncentive)*'Ground Base'!D144),2),ROUND('Ground Base'!D$154*(1+GroundFuelSurcharge),2),ROUND(((1-GroundCommDiscount31Up-GroundCommIncentive)*'Ground Base'!D144)*(1+GroundFuelSurcharge),2)))*(1+FedEx_Markup),2)</f>
        <v>77.739999999999995</v>
      </c>
      <c r="E149" s="218">
        <f>ROUND((IF('Ground Base'!E$154&gt;ROUND(((1-GroundCommDiscount31Up-GroundCommIncentive)*'Ground Base'!E144),2),ROUND('Ground Base'!E$154*(1+GroundFuelSurcharge),2),ROUND(((1-GroundCommDiscount31Up-GroundCommIncentive)*'Ground Base'!E144)*(1+GroundFuelSurcharge),2)))*(1+FedEx_Markup),2)</f>
        <v>79.069999999999993</v>
      </c>
      <c r="F149" s="218">
        <f>ROUND((IF('Ground Base'!F$154&gt;ROUND(((1-GroundCommDiscount31Up-GroundCommIncentive)*'Ground Base'!F144),2),ROUND('Ground Base'!F$154*(1+GroundFuelSurcharge),2),ROUND(((1-GroundCommDiscount31Up-GroundCommIncentive)*'Ground Base'!F144)*(1+GroundFuelSurcharge),2)))*(1+FedEx_Markup),2)</f>
        <v>88.63</v>
      </c>
      <c r="G149" s="218">
        <f>ROUND((IF('Ground Base'!G$154&gt;ROUND(((1-GroundCommDiscount31Up-GroundCommIncentive)*'Ground Base'!G144),2),ROUND('Ground Base'!G$154*(1+GroundFuelSurcharge),2),ROUND(((1-GroundCommDiscount31Up-GroundCommIncentive)*'Ground Base'!G144)*(1+GroundFuelSurcharge),2)))*(1+FedEx_Markup),2)</f>
        <v>96.39</v>
      </c>
      <c r="H149" s="218">
        <f>ROUND((IF('Ground Base'!H$154&gt;ROUND(((1-GroundCommDiscount31Up-GroundCommIncentive)*'Ground Base'!H144),2),ROUND('Ground Base'!H$154*(1+GroundFuelSurcharge),2),ROUND(((1-GroundCommDiscount31Up-GroundCommIncentive)*'Ground Base'!H144)*(1+GroundFuelSurcharge),2)))*(1+FedEx_Markup),2)</f>
        <v>107.89</v>
      </c>
      <c r="I149" s="218">
        <f>ROUND((IF('Ground Base'!I$154&gt;ROUND(((1-GroundAKHIDiscount)*'Ground Base'!I144),2),ROUND('Ground Base'!I$154*(1+GroundFuelSurcharge),2),ROUND(((1-GroundAKHIDiscount)*'Ground Base'!I144)*(1+GroundFuelSurcharge),2)))*(1+FedEx_Markup),2)</f>
        <v>671.49</v>
      </c>
      <c r="J149" s="218">
        <f>ROUND((IF('Ground Base'!J$154&gt;ROUND(((1-GroundAKHIDiscount)*'Ground Base'!J144),2),ROUND('Ground Base'!J$154*(1+GroundFuelSurcharge),2),ROUND(((1-GroundAKHIDiscount)*'Ground Base'!J144)*(1+GroundFuelSurcharge),2)))*(1+FedEx_Markup),2)</f>
        <v>671.49</v>
      </c>
      <c r="K149" s="218">
        <f>ROUND((IF('Ground Base'!K$154&gt;ROUND(((1-GroundZone51Discount)*'Ground Base'!K144),2),ROUND('Ground Base'!K$154*(1+GroundFuelSurcharge),2),ROUND(((1-GroundZone51Discount)*'Ground Base'!K144)*(1+GroundFuelSurcharge),2)))*(1+FedEx_Markup),2)</f>
        <v>136.51</v>
      </c>
      <c r="L149" s="218">
        <f>ROUND((IF('Ground Base'!L$154&gt;ROUND(((1-GroundZone54Discount)*'Ground Base'!L144),2),ROUND('Ground Base'!L$154*(1+GroundFuelSurcharge),2),ROUND(((1-GroundZone54Discount)*'Ground Base'!L144)*(1+GroundFuelSurcharge),2)))*(1+FedEx_Markup),2)</f>
        <v>196.6</v>
      </c>
    </row>
    <row r="150" spans="1:12" ht="12.75" customHeight="1">
      <c r="A150" s="217">
        <v>143</v>
      </c>
      <c r="B150" s="218">
        <f>ROUND((IF('Ground Base'!B$154&gt;ROUND(((1-GroundCommDiscount31Up-GroundCommIncentive)*'Ground Base'!B145),2),ROUND('Ground Base'!B$154*(1+GroundFuelSurcharge),2),ROUND(((1-GroundCommDiscount31Up-GroundCommIncentive)*'Ground Base'!B145)*(1+GroundFuelSurcharge),2)))*(1+FedEx_Markup),2)</f>
        <v>71.55</v>
      </c>
      <c r="C150" s="218">
        <f>ROUND((IF('Ground Base'!C$154&gt;ROUND(((1-GroundCommDiscount31Up-GroundCommIncentive)*'Ground Base'!C145),2),ROUND('Ground Base'!C$154*(1+GroundFuelSurcharge),2),ROUND(((1-GroundCommDiscount31Up-GroundCommIncentive)*'Ground Base'!C145)*(1+GroundFuelSurcharge),2)))*(1+FedEx_Markup),2)</f>
        <v>71.56</v>
      </c>
      <c r="D150" s="218">
        <f>ROUND((IF('Ground Base'!D$154&gt;ROUND(((1-GroundCommDiscount31Up-GroundCommIncentive)*'Ground Base'!D145),2),ROUND('Ground Base'!D$154*(1+GroundFuelSurcharge),2),ROUND(((1-GroundCommDiscount31Up-GroundCommIncentive)*'Ground Base'!D145)*(1+GroundFuelSurcharge),2)))*(1+FedEx_Markup),2)</f>
        <v>77.75</v>
      </c>
      <c r="E150" s="218">
        <f>ROUND((IF('Ground Base'!E$154&gt;ROUND(((1-GroundCommDiscount31Up-GroundCommIncentive)*'Ground Base'!E145),2),ROUND('Ground Base'!E$154*(1+GroundFuelSurcharge),2),ROUND(((1-GroundCommDiscount31Up-GroundCommIncentive)*'Ground Base'!E145)*(1+GroundFuelSurcharge),2)))*(1+FedEx_Markup),2)</f>
        <v>79.09</v>
      </c>
      <c r="F150" s="218">
        <f>ROUND((IF('Ground Base'!F$154&gt;ROUND(((1-GroundCommDiscount31Up-GroundCommIncentive)*'Ground Base'!F145),2),ROUND('Ground Base'!F$154*(1+GroundFuelSurcharge),2),ROUND(((1-GroundCommDiscount31Up-GroundCommIncentive)*'Ground Base'!F145)*(1+GroundFuelSurcharge),2)))*(1+FedEx_Markup),2)</f>
        <v>88.63</v>
      </c>
      <c r="G150" s="218">
        <f>ROUND((IF('Ground Base'!G$154&gt;ROUND(((1-GroundCommDiscount31Up-GroundCommIncentive)*'Ground Base'!G145),2),ROUND('Ground Base'!G$154*(1+GroundFuelSurcharge),2),ROUND(((1-GroundCommDiscount31Up-GroundCommIncentive)*'Ground Base'!G145)*(1+GroundFuelSurcharge),2)))*(1+FedEx_Markup),2)</f>
        <v>96.39</v>
      </c>
      <c r="H150" s="218">
        <f>ROUND((IF('Ground Base'!H$154&gt;ROUND(((1-GroundCommDiscount31Up-GroundCommIncentive)*'Ground Base'!H145),2),ROUND('Ground Base'!H$154*(1+GroundFuelSurcharge),2),ROUND(((1-GroundCommDiscount31Up-GroundCommIncentive)*'Ground Base'!H145)*(1+GroundFuelSurcharge),2)))*(1+FedEx_Markup),2)</f>
        <v>107.9</v>
      </c>
      <c r="I150" s="218">
        <f>ROUND((IF('Ground Base'!I$154&gt;ROUND(((1-GroundAKHIDiscount)*'Ground Base'!I145),2),ROUND('Ground Base'!I$154*(1+GroundFuelSurcharge),2),ROUND(((1-GroundAKHIDiscount)*'Ground Base'!I145)*(1+GroundFuelSurcharge),2)))*(1+FedEx_Markup),2)</f>
        <v>682.39</v>
      </c>
      <c r="J150" s="218">
        <f>ROUND((IF('Ground Base'!J$154&gt;ROUND(((1-GroundAKHIDiscount)*'Ground Base'!J145),2),ROUND('Ground Base'!J$154*(1+GroundFuelSurcharge),2),ROUND(((1-GroundAKHIDiscount)*'Ground Base'!J145)*(1+GroundFuelSurcharge),2)))*(1+FedEx_Markup),2)</f>
        <v>682.39</v>
      </c>
      <c r="K150" s="218">
        <f>ROUND((IF('Ground Base'!K$154&gt;ROUND(((1-GroundZone51Discount)*'Ground Base'!K145),2),ROUND('Ground Base'!K$154*(1+GroundFuelSurcharge),2),ROUND(((1-GroundZone51Discount)*'Ground Base'!K145)*(1+GroundFuelSurcharge),2)))*(1+FedEx_Markup),2)</f>
        <v>136.52000000000001</v>
      </c>
      <c r="L150" s="218">
        <f>ROUND((IF('Ground Base'!L$154&gt;ROUND(((1-GroundZone54Discount)*'Ground Base'!L145),2),ROUND('Ground Base'!L$154*(1+GroundFuelSurcharge),2),ROUND(((1-GroundZone54Discount)*'Ground Base'!L145)*(1+GroundFuelSurcharge),2)))*(1+FedEx_Markup),2)</f>
        <v>196.62</v>
      </c>
    </row>
    <row r="151" spans="1:12" ht="12.75" customHeight="1">
      <c r="A151" s="217">
        <v>144</v>
      </c>
      <c r="B151" s="218">
        <f>ROUND((IF('Ground Base'!B$154&gt;ROUND(((1-GroundCommDiscount31Up-GroundCommIncentive)*'Ground Base'!B146),2),ROUND('Ground Base'!B$154*(1+GroundFuelSurcharge),2),ROUND(((1-GroundCommDiscount31Up-GroundCommIncentive)*'Ground Base'!B146)*(1+GroundFuelSurcharge),2)))*(1+FedEx_Markup),2)</f>
        <v>73.58</v>
      </c>
      <c r="C151" s="218">
        <f>ROUND((IF('Ground Base'!C$154&gt;ROUND(((1-GroundCommDiscount31Up-GroundCommIncentive)*'Ground Base'!C146),2),ROUND('Ground Base'!C$154*(1+GroundFuelSurcharge),2),ROUND(((1-GroundCommDiscount31Up-GroundCommIncentive)*'Ground Base'!C146)*(1+GroundFuelSurcharge),2)))*(1+FedEx_Markup),2)</f>
        <v>74.569999999999993</v>
      </c>
      <c r="D151" s="218">
        <f>ROUND((IF('Ground Base'!D$154&gt;ROUND(((1-GroundCommDiscount31Up-GroundCommIncentive)*'Ground Base'!D146),2),ROUND('Ground Base'!D$154*(1+GroundFuelSurcharge),2),ROUND(((1-GroundCommDiscount31Up-GroundCommIncentive)*'Ground Base'!D146)*(1+GroundFuelSurcharge),2)))*(1+FedEx_Markup),2)</f>
        <v>80.03</v>
      </c>
      <c r="E151" s="218">
        <f>ROUND((IF('Ground Base'!E$154&gt;ROUND(((1-GroundCommDiscount31Up-GroundCommIncentive)*'Ground Base'!E146),2),ROUND('Ground Base'!E$154*(1+GroundFuelSurcharge),2),ROUND(((1-GroundCommDiscount31Up-GroundCommIncentive)*'Ground Base'!E146)*(1+GroundFuelSurcharge),2)))*(1+FedEx_Markup),2)</f>
        <v>81.56</v>
      </c>
      <c r="F151" s="218">
        <f>ROUND((IF('Ground Base'!F$154&gt;ROUND(((1-GroundCommDiscount31Up-GroundCommIncentive)*'Ground Base'!F146),2),ROUND('Ground Base'!F$154*(1+GroundFuelSurcharge),2),ROUND(((1-GroundCommDiscount31Up-GroundCommIncentive)*'Ground Base'!F146)*(1+GroundFuelSurcharge),2)))*(1+FedEx_Markup),2)</f>
        <v>91</v>
      </c>
      <c r="G151" s="218">
        <f>ROUND((IF('Ground Base'!G$154&gt;ROUND(((1-GroundCommDiscount31Up-GroundCommIncentive)*'Ground Base'!G146),2),ROUND('Ground Base'!G$154*(1+GroundFuelSurcharge),2),ROUND(((1-GroundCommDiscount31Up-GroundCommIncentive)*'Ground Base'!G146)*(1+GroundFuelSurcharge),2)))*(1+FedEx_Markup),2)</f>
        <v>99.82</v>
      </c>
      <c r="H151" s="218">
        <f>ROUND((IF('Ground Base'!H$154&gt;ROUND(((1-GroundCommDiscount31Up-GroundCommIncentive)*'Ground Base'!H146),2),ROUND('Ground Base'!H$154*(1+GroundFuelSurcharge),2),ROUND(((1-GroundCommDiscount31Up-GroundCommIncentive)*'Ground Base'!H146)*(1+GroundFuelSurcharge),2)))*(1+FedEx_Markup),2)</f>
        <v>111.67</v>
      </c>
      <c r="I151" s="218">
        <f>ROUND((IF('Ground Base'!I$154&gt;ROUND(((1-GroundAKHIDiscount)*'Ground Base'!I146),2),ROUND('Ground Base'!I$154*(1+GroundFuelSurcharge),2),ROUND(((1-GroundAKHIDiscount)*'Ground Base'!I146)*(1+GroundFuelSurcharge),2)))*(1+FedEx_Markup),2)</f>
        <v>687.08</v>
      </c>
      <c r="J151" s="218">
        <f>ROUND((IF('Ground Base'!J$154&gt;ROUND(((1-GroundAKHIDiscount)*'Ground Base'!J146),2),ROUND('Ground Base'!J$154*(1+GroundFuelSurcharge),2),ROUND(((1-GroundAKHIDiscount)*'Ground Base'!J146)*(1+GroundFuelSurcharge),2)))*(1+FedEx_Markup),2)</f>
        <v>687.08</v>
      </c>
      <c r="K151" s="218">
        <f>ROUND((IF('Ground Base'!K$154&gt;ROUND(((1-GroundZone51Discount)*'Ground Base'!K146),2),ROUND('Ground Base'!K$154*(1+GroundFuelSurcharge),2),ROUND(((1-GroundZone51Discount)*'Ground Base'!K146)*(1+GroundFuelSurcharge),2)))*(1+FedEx_Markup),2)</f>
        <v>136.53</v>
      </c>
      <c r="L151" s="218">
        <f>ROUND((IF('Ground Base'!L$154&gt;ROUND(((1-GroundZone54Discount)*'Ground Base'!L146),2),ROUND('Ground Base'!L$154*(1+GroundFuelSurcharge),2),ROUND(((1-GroundZone54Discount)*'Ground Base'!L146)*(1+GroundFuelSurcharge),2)))*(1+FedEx_Markup),2)</f>
        <v>196.63</v>
      </c>
    </row>
    <row r="152" spans="1:12" ht="12.75" customHeight="1">
      <c r="A152" s="217">
        <v>145</v>
      </c>
      <c r="B152" s="218">
        <f>ROUND((IF('Ground Base'!B$154&gt;ROUND(((1-GroundCommDiscount31Up-GroundCommIncentive)*'Ground Base'!B147),2),ROUND('Ground Base'!B$154*(1+GroundFuelSurcharge),2),ROUND(((1-GroundCommDiscount31Up-GroundCommIncentive)*'Ground Base'!B147)*(1+GroundFuelSurcharge),2)))*(1+FedEx_Markup),2)</f>
        <v>73.58</v>
      </c>
      <c r="C152" s="218">
        <f>ROUND((IF('Ground Base'!C$154&gt;ROUND(((1-GroundCommDiscount31Up-GroundCommIncentive)*'Ground Base'!C147),2),ROUND('Ground Base'!C$154*(1+GroundFuelSurcharge),2),ROUND(((1-GroundCommDiscount31Up-GroundCommIncentive)*'Ground Base'!C147)*(1+GroundFuelSurcharge),2)))*(1+FedEx_Markup),2)</f>
        <v>75.31</v>
      </c>
      <c r="D152" s="218">
        <f>ROUND((IF('Ground Base'!D$154&gt;ROUND(((1-GroundCommDiscount31Up-GroundCommIncentive)*'Ground Base'!D147),2),ROUND('Ground Base'!D$154*(1+GroundFuelSurcharge),2),ROUND(((1-GroundCommDiscount31Up-GroundCommIncentive)*'Ground Base'!D147)*(1+GroundFuelSurcharge),2)))*(1+FedEx_Markup),2)</f>
        <v>80.03</v>
      </c>
      <c r="E152" s="218">
        <f>ROUND((IF('Ground Base'!E$154&gt;ROUND(((1-GroundCommDiscount31Up-GroundCommIncentive)*'Ground Base'!E147),2),ROUND('Ground Base'!E$154*(1+GroundFuelSurcharge),2),ROUND(((1-GroundCommDiscount31Up-GroundCommIncentive)*'Ground Base'!E147)*(1+GroundFuelSurcharge),2)))*(1+FedEx_Markup),2)</f>
        <v>81.569999999999993</v>
      </c>
      <c r="F152" s="218">
        <f>ROUND((IF('Ground Base'!F$154&gt;ROUND(((1-GroundCommDiscount31Up-GroundCommIncentive)*'Ground Base'!F147),2),ROUND('Ground Base'!F$154*(1+GroundFuelSurcharge),2),ROUND(((1-GroundCommDiscount31Up-GroundCommIncentive)*'Ground Base'!F147)*(1+GroundFuelSurcharge),2)))*(1+FedEx_Markup),2)</f>
        <v>92.36</v>
      </c>
      <c r="G152" s="218">
        <f>ROUND((IF('Ground Base'!G$154&gt;ROUND(((1-GroundCommDiscount31Up-GroundCommIncentive)*'Ground Base'!G147),2),ROUND('Ground Base'!G$154*(1+GroundFuelSurcharge),2),ROUND(((1-GroundCommDiscount31Up-GroundCommIncentive)*'Ground Base'!G147)*(1+GroundFuelSurcharge),2)))*(1+FedEx_Markup),2)</f>
        <v>100.04</v>
      </c>
      <c r="H152" s="218">
        <f>ROUND((IF('Ground Base'!H$154&gt;ROUND(((1-GroundCommDiscount31Up-GroundCommIncentive)*'Ground Base'!H147),2),ROUND('Ground Base'!H$154*(1+GroundFuelSurcharge),2),ROUND(((1-GroundCommDiscount31Up-GroundCommIncentive)*'Ground Base'!H147)*(1+GroundFuelSurcharge),2)))*(1+FedEx_Markup),2)</f>
        <v>111.68</v>
      </c>
      <c r="I152" s="218">
        <f>ROUND((IF('Ground Base'!I$154&gt;ROUND(((1-GroundAKHIDiscount)*'Ground Base'!I147),2),ROUND('Ground Base'!I$154*(1+GroundFuelSurcharge),2),ROUND(((1-GroundAKHIDiscount)*'Ground Base'!I147)*(1+GroundFuelSurcharge),2)))*(1+FedEx_Markup),2)</f>
        <v>687.09</v>
      </c>
      <c r="J152" s="218">
        <f>ROUND((IF('Ground Base'!J$154&gt;ROUND(((1-GroundAKHIDiscount)*'Ground Base'!J147),2),ROUND('Ground Base'!J$154*(1+GroundFuelSurcharge),2),ROUND(((1-GroundAKHIDiscount)*'Ground Base'!J147)*(1+GroundFuelSurcharge),2)))*(1+FedEx_Markup),2)</f>
        <v>687.09</v>
      </c>
      <c r="K152" s="218">
        <f>ROUND((IF('Ground Base'!K$154&gt;ROUND(((1-GroundZone51Discount)*'Ground Base'!K147),2),ROUND('Ground Base'!K$154*(1+GroundFuelSurcharge),2),ROUND(((1-GroundZone51Discount)*'Ground Base'!K147)*(1+GroundFuelSurcharge),2)))*(1+FedEx_Markup),2)</f>
        <v>136.55000000000001</v>
      </c>
      <c r="L152" s="218">
        <f>ROUND((IF('Ground Base'!L$154&gt;ROUND(((1-GroundZone54Discount)*'Ground Base'!L147),2),ROUND('Ground Base'!L$154*(1+GroundFuelSurcharge),2),ROUND(((1-GroundZone54Discount)*'Ground Base'!L147)*(1+GroundFuelSurcharge),2)))*(1+FedEx_Markup),2)</f>
        <v>198.54</v>
      </c>
    </row>
    <row r="153" spans="1:12" ht="12.75" customHeight="1">
      <c r="A153" s="217">
        <v>146</v>
      </c>
      <c r="B153" s="218">
        <f>ROUND((IF('Ground Base'!B$154&gt;ROUND(((1-GroundCommDiscount31Up-GroundCommIncentive)*'Ground Base'!B148),2),ROUND('Ground Base'!B$154*(1+GroundFuelSurcharge),2),ROUND(((1-GroundCommDiscount31Up-GroundCommIncentive)*'Ground Base'!B148)*(1+GroundFuelSurcharge),2)))*(1+FedEx_Markup),2)</f>
        <v>73.59</v>
      </c>
      <c r="C153" s="218">
        <f>ROUND((IF('Ground Base'!C$154&gt;ROUND(((1-GroundCommDiscount31Up-GroundCommIncentive)*'Ground Base'!C148),2),ROUND('Ground Base'!C$154*(1+GroundFuelSurcharge),2),ROUND(((1-GroundCommDiscount31Up-GroundCommIncentive)*'Ground Base'!C148)*(1+GroundFuelSurcharge),2)))*(1+FedEx_Markup),2)</f>
        <v>75.33</v>
      </c>
      <c r="D153" s="218">
        <f>ROUND((IF('Ground Base'!D$154&gt;ROUND(((1-GroundCommDiscount31Up-GroundCommIncentive)*'Ground Base'!D148),2),ROUND('Ground Base'!D$154*(1+GroundFuelSurcharge),2),ROUND(((1-GroundCommDiscount31Up-GroundCommIncentive)*'Ground Base'!D148)*(1+GroundFuelSurcharge),2)))*(1+FedEx_Markup),2)</f>
        <v>80.040000000000006</v>
      </c>
      <c r="E153" s="218">
        <f>ROUND((IF('Ground Base'!E$154&gt;ROUND(((1-GroundCommDiscount31Up-GroundCommIncentive)*'Ground Base'!E148),2),ROUND('Ground Base'!E$154*(1+GroundFuelSurcharge),2),ROUND(((1-GroundCommDiscount31Up-GroundCommIncentive)*'Ground Base'!E148)*(1+GroundFuelSurcharge),2)))*(1+FedEx_Markup),2)</f>
        <v>81.569999999999993</v>
      </c>
      <c r="F153" s="218">
        <f>ROUND((IF('Ground Base'!F$154&gt;ROUND(((1-GroundCommDiscount31Up-GroundCommIncentive)*'Ground Base'!F148),2),ROUND('Ground Base'!F$154*(1+GroundFuelSurcharge),2),ROUND(((1-GroundCommDiscount31Up-GroundCommIncentive)*'Ground Base'!F148)*(1+GroundFuelSurcharge),2)))*(1+FedEx_Markup),2)</f>
        <v>92.36</v>
      </c>
      <c r="G153" s="218">
        <f>ROUND((IF('Ground Base'!G$154&gt;ROUND(((1-GroundCommDiscount31Up-GroundCommIncentive)*'Ground Base'!G148),2),ROUND('Ground Base'!G$154*(1+GroundFuelSurcharge),2),ROUND(((1-GroundCommDiscount31Up-GroundCommIncentive)*'Ground Base'!G148)*(1+GroundFuelSurcharge),2)))*(1+FedEx_Markup),2)</f>
        <v>100.05</v>
      </c>
      <c r="H153" s="218">
        <f>ROUND((IF('Ground Base'!H$154&gt;ROUND(((1-GroundCommDiscount31Up-GroundCommIncentive)*'Ground Base'!H148),2),ROUND('Ground Base'!H$154*(1+GroundFuelSurcharge),2),ROUND(((1-GroundCommDiscount31Up-GroundCommIncentive)*'Ground Base'!H148)*(1+GroundFuelSurcharge),2)))*(1+FedEx_Markup),2)</f>
        <v>111.68</v>
      </c>
      <c r="I153" s="218">
        <f>ROUND((IF('Ground Base'!I$154&gt;ROUND(((1-GroundAKHIDiscount)*'Ground Base'!I148),2),ROUND('Ground Base'!I$154*(1+GroundFuelSurcharge),2),ROUND(((1-GroundAKHIDiscount)*'Ground Base'!I148)*(1+GroundFuelSurcharge),2)))*(1+FedEx_Markup),2)</f>
        <v>690.28</v>
      </c>
      <c r="J153" s="218">
        <f>ROUND((IF('Ground Base'!J$154&gt;ROUND(((1-GroundAKHIDiscount)*'Ground Base'!J148),2),ROUND('Ground Base'!J$154*(1+GroundFuelSurcharge),2),ROUND(((1-GroundAKHIDiscount)*'Ground Base'!J148)*(1+GroundFuelSurcharge),2)))*(1+FedEx_Markup),2)</f>
        <v>690.28</v>
      </c>
      <c r="K153" s="218">
        <f>ROUND((IF('Ground Base'!K$154&gt;ROUND(((1-GroundZone51Discount)*'Ground Base'!K148),2),ROUND('Ground Base'!K$154*(1+GroundFuelSurcharge),2),ROUND(((1-GroundZone51Discount)*'Ground Base'!K148)*(1+GroundFuelSurcharge),2)))*(1+FedEx_Markup),2)</f>
        <v>139.33000000000001</v>
      </c>
      <c r="L153" s="218">
        <f>ROUND((IF('Ground Base'!L$154&gt;ROUND(((1-GroundZone54Discount)*'Ground Base'!L148),2),ROUND('Ground Base'!L$154*(1+GroundFuelSurcharge),2),ROUND(((1-GroundZone54Discount)*'Ground Base'!L148)*(1+GroundFuelSurcharge),2)))*(1+FedEx_Markup),2)</f>
        <v>202.58</v>
      </c>
    </row>
    <row r="154" spans="1:12" ht="12.75" customHeight="1">
      <c r="A154" s="217">
        <v>147</v>
      </c>
      <c r="B154" s="218">
        <f>ROUND((IF('Ground Base'!B$154&gt;ROUND(((1-GroundCommDiscount31Up-GroundCommIncentive)*'Ground Base'!B149),2),ROUND('Ground Base'!B$154*(1+GroundFuelSurcharge),2),ROUND(((1-GroundCommDiscount31Up-GroundCommIncentive)*'Ground Base'!B149)*(1+GroundFuelSurcharge),2)))*(1+FedEx_Markup),2)</f>
        <v>74.47</v>
      </c>
      <c r="C154" s="218">
        <f>ROUND((IF('Ground Base'!C$154&gt;ROUND(((1-GroundCommDiscount31Up-GroundCommIncentive)*'Ground Base'!C149),2),ROUND('Ground Base'!C$154*(1+GroundFuelSurcharge),2),ROUND(((1-GroundCommDiscount31Up-GroundCommIncentive)*'Ground Base'!C149)*(1+GroundFuelSurcharge),2)))*(1+FedEx_Markup),2)</f>
        <v>76.06</v>
      </c>
      <c r="D154" s="218">
        <f>ROUND((IF('Ground Base'!D$154&gt;ROUND(((1-GroundCommDiscount31Up-GroundCommIncentive)*'Ground Base'!D149),2),ROUND('Ground Base'!D$154*(1+GroundFuelSurcharge),2),ROUND(((1-GroundCommDiscount31Up-GroundCommIncentive)*'Ground Base'!D149)*(1+GroundFuelSurcharge),2)))*(1+FedEx_Markup),2)</f>
        <v>81.44</v>
      </c>
      <c r="E154" s="218">
        <f>ROUND((IF('Ground Base'!E$154&gt;ROUND(((1-GroundCommDiscount31Up-GroundCommIncentive)*'Ground Base'!E149),2),ROUND('Ground Base'!E$154*(1+GroundFuelSurcharge),2),ROUND(((1-GroundCommDiscount31Up-GroundCommIncentive)*'Ground Base'!E149)*(1+GroundFuelSurcharge),2)))*(1+FedEx_Markup),2)</f>
        <v>82.4</v>
      </c>
      <c r="F154" s="218">
        <f>ROUND((IF('Ground Base'!F$154&gt;ROUND(((1-GroundCommDiscount31Up-GroundCommIncentive)*'Ground Base'!F149),2),ROUND('Ground Base'!F$154*(1+GroundFuelSurcharge),2),ROUND(((1-GroundCommDiscount31Up-GroundCommIncentive)*'Ground Base'!F149)*(1+GroundFuelSurcharge),2)))*(1+FedEx_Markup),2)</f>
        <v>93.02</v>
      </c>
      <c r="G154" s="218">
        <f>ROUND((IF('Ground Base'!G$154&gt;ROUND(((1-GroundCommDiscount31Up-GroundCommIncentive)*'Ground Base'!G149),2),ROUND('Ground Base'!G$154*(1+GroundFuelSurcharge),2),ROUND(((1-GroundCommDiscount31Up-GroundCommIncentive)*'Ground Base'!G149)*(1+GroundFuelSurcharge),2)))*(1+FedEx_Markup),2)</f>
        <v>100.05</v>
      </c>
      <c r="H154" s="218">
        <f>ROUND((IF('Ground Base'!H$154&gt;ROUND(((1-GroundCommDiscount31Up-GroundCommIncentive)*'Ground Base'!H149),2),ROUND('Ground Base'!H$154*(1+GroundFuelSurcharge),2),ROUND(((1-GroundCommDiscount31Up-GroundCommIncentive)*'Ground Base'!H149)*(1+GroundFuelSurcharge),2)))*(1+FedEx_Markup),2)</f>
        <v>112.71</v>
      </c>
      <c r="I154" s="218">
        <f>ROUND((IF('Ground Base'!I$154&gt;ROUND(((1-GroundAKHIDiscount)*'Ground Base'!I149),2),ROUND('Ground Base'!I$154*(1+GroundFuelSurcharge),2),ROUND(((1-GroundAKHIDiscount)*'Ground Base'!I149)*(1+GroundFuelSurcharge),2)))*(1+FedEx_Markup),2)</f>
        <v>706.72</v>
      </c>
      <c r="J154" s="218">
        <f>ROUND((IF('Ground Base'!J$154&gt;ROUND(((1-GroundAKHIDiscount)*'Ground Base'!J149),2),ROUND('Ground Base'!J$154*(1+GroundFuelSurcharge),2),ROUND(((1-GroundAKHIDiscount)*'Ground Base'!J149)*(1+GroundFuelSurcharge),2)))*(1+FedEx_Markup),2)</f>
        <v>706.72</v>
      </c>
      <c r="K154" s="218">
        <f>ROUND((IF('Ground Base'!K$154&gt;ROUND(((1-GroundZone51Discount)*'Ground Base'!K149),2),ROUND('Ground Base'!K$154*(1+GroundFuelSurcharge),2),ROUND(((1-GroundZone51Discount)*'Ground Base'!K149)*(1+GroundFuelSurcharge),2)))*(1+FedEx_Markup),2)</f>
        <v>139.35</v>
      </c>
      <c r="L154" s="218">
        <f>ROUND((IF('Ground Base'!L$154&gt;ROUND(((1-GroundZone54Discount)*'Ground Base'!L149),2),ROUND('Ground Base'!L$154*(1+GroundFuelSurcharge),2),ROUND(((1-GroundZone54Discount)*'Ground Base'!L149)*(1+GroundFuelSurcharge),2)))*(1+FedEx_Markup),2)</f>
        <v>202.61</v>
      </c>
    </row>
    <row r="155" spans="1:12" ht="12.75" customHeight="1">
      <c r="A155" s="217">
        <v>148</v>
      </c>
      <c r="B155" s="218">
        <f>ROUND((IF('Ground Base'!B$154&gt;ROUND(((1-GroundCommDiscount31Up-GroundCommIncentive)*'Ground Base'!B150),2),ROUND('Ground Base'!B$154*(1+GroundFuelSurcharge),2),ROUND(((1-GroundCommDiscount31Up-GroundCommIncentive)*'Ground Base'!B150)*(1+GroundFuelSurcharge),2)))*(1+FedEx_Markup),2)</f>
        <v>74.489999999999995</v>
      </c>
      <c r="C155" s="218">
        <f>ROUND((IF('Ground Base'!C$154&gt;ROUND(((1-GroundCommDiscount31Up-GroundCommIncentive)*'Ground Base'!C150),2),ROUND('Ground Base'!C$154*(1+GroundFuelSurcharge),2),ROUND(((1-GroundCommDiscount31Up-GroundCommIncentive)*'Ground Base'!C150)*(1+GroundFuelSurcharge),2)))*(1+FedEx_Markup),2)</f>
        <v>76.510000000000005</v>
      </c>
      <c r="D155" s="218">
        <f>ROUND((IF('Ground Base'!D$154&gt;ROUND(((1-GroundCommDiscount31Up-GroundCommIncentive)*'Ground Base'!D150),2),ROUND('Ground Base'!D$154*(1+GroundFuelSurcharge),2),ROUND(((1-GroundCommDiscount31Up-GroundCommIncentive)*'Ground Base'!D150)*(1+GroundFuelSurcharge),2)))*(1+FedEx_Markup),2)</f>
        <v>81.55</v>
      </c>
      <c r="E155" s="218">
        <f>ROUND((IF('Ground Base'!E$154&gt;ROUND(((1-GroundCommDiscount31Up-GroundCommIncentive)*'Ground Base'!E150),2),ROUND('Ground Base'!E$154*(1+GroundFuelSurcharge),2),ROUND(((1-GroundCommDiscount31Up-GroundCommIncentive)*'Ground Base'!E150)*(1+GroundFuelSurcharge),2)))*(1+FedEx_Markup),2)</f>
        <v>82.4</v>
      </c>
      <c r="F155" s="218">
        <f>ROUND((IF('Ground Base'!F$154&gt;ROUND(((1-GroundCommDiscount31Up-GroundCommIncentive)*'Ground Base'!F150),2),ROUND('Ground Base'!F$154*(1+GroundFuelSurcharge),2),ROUND(((1-GroundCommDiscount31Up-GroundCommIncentive)*'Ground Base'!F150)*(1+GroundFuelSurcharge),2)))*(1+FedEx_Markup),2)</f>
        <v>93.02</v>
      </c>
      <c r="G155" s="218">
        <f>ROUND((IF('Ground Base'!G$154&gt;ROUND(((1-GroundCommDiscount31Up-GroundCommIncentive)*'Ground Base'!G150),2),ROUND('Ground Base'!G$154*(1+GroundFuelSurcharge),2),ROUND(((1-GroundCommDiscount31Up-GroundCommIncentive)*'Ground Base'!G150)*(1+GroundFuelSurcharge),2)))*(1+FedEx_Markup),2)</f>
        <v>100.06</v>
      </c>
      <c r="H155" s="218">
        <f>ROUND((IF('Ground Base'!H$154&gt;ROUND(((1-GroundCommDiscount31Up-GroundCommIncentive)*'Ground Base'!H150),2),ROUND('Ground Base'!H$154*(1+GroundFuelSurcharge),2),ROUND(((1-GroundCommDiscount31Up-GroundCommIncentive)*'Ground Base'!H150)*(1+GroundFuelSurcharge),2)))*(1+FedEx_Markup),2)</f>
        <v>112.72</v>
      </c>
      <c r="I155" s="218">
        <f>ROUND((IF('Ground Base'!I$154&gt;ROUND(((1-GroundAKHIDiscount)*'Ground Base'!I150),2),ROUND('Ground Base'!I$154*(1+GroundFuelSurcharge),2),ROUND(((1-GroundAKHIDiscount)*'Ground Base'!I150)*(1+GroundFuelSurcharge),2)))*(1+FedEx_Markup),2)</f>
        <v>706.73</v>
      </c>
      <c r="J155" s="218">
        <f>ROUND((IF('Ground Base'!J$154&gt;ROUND(((1-GroundAKHIDiscount)*'Ground Base'!J150),2),ROUND('Ground Base'!J$154*(1+GroundFuelSurcharge),2),ROUND(((1-GroundAKHIDiscount)*'Ground Base'!J150)*(1+GroundFuelSurcharge),2)))*(1+FedEx_Markup),2)</f>
        <v>706.73</v>
      </c>
      <c r="K155" s="218">
        <f>ROUND((IF('Ground Base'!K$154&gt;ROUND(((1-GroundZone51Discount)*'Ground Base'!K150),2),ROUND('Ground Base'!K$154*(1+GroundFuelSurcharge),2),ROUND(((1-GroundZone51Discount)*'Ground Base'!K150)*(1+GroundFuelSurcharge),2)))*(1+FedEx_Markup),2)</f>
        <v>139.35</v>
      </c>
      <c r="L155" s="218">
        <f>ROUND((IF('Ground Base'!L$154&gt;ROUND(((1-GroundZone54Discount)*'Ground Base'!L150),2),ROUND('Ground Base'!L$154*(1+GroundFuelSurcharge),2),ROUND(((1-GroundZone54Discount)*'Ground Base'!L150)*(1+GroundFuelSurcharge),2)))*(1+FedEx_Markup),2)</f>
        <v>202.62</v>
      </c>
    </row>
    <row r="156" spans="1:12" ht="12.75" customHeight="1">
      <c r="A156" s="217">
        <v>149</v>
      </c>
      <c r="B156" s="218">
        <f>ROUND((IF('Ground Base'!B$154&gt;ROUND(((1-GroundCommDiscount31Up-GroundCommIncentive)*'Ground Base'!B151),2),ROUND('Ground Base'!B$154*(1+GroundFuelSurcharge),2),ROUND(((1-GroundCommDiscount31Up-GroundCommIncentive)*'Ground Base'!B151)*(1+GroundFuelSurcharge),2)))*(1+FedEx_Markup),2)</f>
        <v>74.5</v>
      </c>
      <c r="C156" s="218">
        <f>ROUND((IF('Ground Base'!C$154&gt;ROUND(((1-GroundCommDiscount31Up-GroundCommIncentive)*'Ground Base'!C151),2),ROUND('Ground Base'!C$154*(1+GroundFuelSurcharge),2),ROUND(((1-GroundCommDiscount31Up-GroundCommIncentive)*'Ground Base'!C151)*(1+GroundFuelSurcharge),2)))*(1+FedEx_Markup),2)</f>
        <v>76.52</v>
      </c>
      <c r="D156" s="218">
        <f>ROUND((IF('Ground Base'!D$154&gt;ROUND(((1-GroundCommDiscount31Up-GroundCommIncentive)*'Ground Base'!D151),2),ROUND('Ground Base'!D$154*(1+GroundFuelSurcharge),2),ROUND(((1-GroundCommDiscount31Up-GroundCommIncentive)*'Ground Base'!D151)*(1+GroundFuelSurcharge),2)))*(1+FedEx_Markup),2)</f>
        <v>82.66</v>
      </c>
      <c r="E156" s="218">
        <f>ROUND((IF('Ground Base'!E$154&gt;ROUND(((1-GroundCommDiscount31Up-GroundCommIncentive)*'Ground Base'!E151),2),ROUND('Ground Base'!E$154*(1+GroundFuelSurcharge),2),ROUND(((1-GroundCommDiscount31Up-GroundCommIncentive)*'Ground Base'!E151)*(1+GroundFuelSurcharge),2)))*(1+FedEx_Markup),2)</f>
        <v>83.7</v>
      </c>
      <c r="F156" s="218">
        <f>ROUND((IF('Ground Base'!F$154&gt;ROUND(((1-GroundCommDiscount31Up-GroundCommIncentive)*'Ground Base'!F151),2),ROUND('Ground Base'!F$154*(1+GroundFuelSurcharge),2),ROUND(((1-GroundCommDiscount31Up-GroundCommIncentive)*'Ground Base'!F151)*(1+GroundFuelSurcharge),2)))*(1+FedEx_Markup),2)</f>
        <v>93.33</v>
      </c>
      <c r="G156" s="218">
        <f>ROUND((IF('Ground Base'!G$154&gt;ROUND(((1-GroundCommDiscount31Up-GroundCommIncentive)*'Ground Base'!G151),2),ROUND('Ground Base'!G$154*(1+GroundFuelSurcharge),2),ROUND(((1-GroundCommDiscount31Up-GroundCommIncentive)*'Ground Base'!G151)*(1+GroundFuelSurcharge),2)))*(1+FedEx_Markup),2)</f>
        <v>101</v>
      </c>
      <c r="H156" s="218">
        <f>ROUND((IF('Ground Base'!H$154&gt;ROUND(((1-GroundCommDiscount31Up-GroundCommIncentive)*'Ground Base'!H151),2),ROUND('Ground Base'!H$154*(1+GroundFuelSurcharge),2),ROUND(((1-GroundCommDiscount31Up-GroundCommIncentive)*'Ground Base'!H151)*(1+GroundFuelSurcharge),2)))*(1+FedEx_Markup),2)</f>
        <v>113.79</v>
      </c>
      <c r="I156" s="218">
        <f>ROUND((IF('Ground Base'!I$154&gt;ROUND(((1-GroundAKHIDiscount)*'Ground Base'!I151),2),ROUND('Ground Base'!I$154*(1+GroundFuelSurcharge),2),ROUND(((1-GroundAKHIDiscount)*'Ground Base'!I151)*(1+GroundFuelSurcharge),2)))*(1+FedEx_Markup),2)</f>
        <v>708.24</v>
      </c>
      <c r="J156" s="218">
        <f>ROUND((IF('Ground Base'!J$154&gt;ROUND(((1-GroundAKHIDiscount)*'Ground Base'!J151),2),ROUND('Ground Base'!J$154*(1+GroundFuelSurcharge),2),ROUND(((1-GroundAKHIDiscount)*'Ground Base'!J151)*(1+GroundFuelSurcharge),2)))*(1+FedEx_Markup),2)</f>
        <v>708.24</v>
      </c>
      <c r="K156" s="218">
        <f>ROUND((IF('Ground Base'!K$154&gt;ROUND(((1-GroundZone51Discount)*'Ground Base'!K151),2),ROUND('Ground Base'!K$154*(1+GroundFuelSurcharge),2),ROUND(((1-GroundZone51Discount)*'Ground Base'!K151)*(1+GroundFuelSurcharge),2)))*(1+FedEx_Markup),2)</f>
        <v>139.36000000000001</v>
      </c>
      <c r="L156" s="218">
        <f>ROUND((IF('Ground Base'!L$154&gt;ROUND(((1-GroundZone54Discount)*'Ground Base'!L151),2),ROUND('Ground Base'!L$154*(1+GroundFuelSurcharge),2),ROUND(((1-GroundZone54Discount)*'Ground Base'!L151)*(1+GroundFuelSurcharge),2)))*(1+FedEx_Markup),2)</f>
        <v>202.63</v>
      </c>
    </row>
    <row r="157" spans="1:12" ht="12.75" customHeight="1">
      <c r="A157" s="217">
        <v>150</v>
      </c>
      <c r="B157" s="218">
        <f>ROUND((IF('Ground Base'!B$154&gt;ROUND(((1-GroundCommDiscount31Up-GroundCommIncentive)*'Ground Base'!B152),2),ROUND('Ground Base'!B$154*(1+GroundFuelSurcharge),2),ROUND(((1-GroundCommDiscount31Up-GroundCommIncentive)*'Ground Base'!B152)*(1+GroundFuelSurcharge),2)))*(1+FedEx_Markup),2)</f>
        <v>74.5</v>
      </c>
      <c r="C157" s="218">
        <f>ROUND((IF('Ground Base'!C$154&gt;ROUND(((1-GroundCommDiscount31Up-GroundCommIncentive)*'Ground Base'!C152),2),ROUND('Ground Base'!C$154*(1+GroundFuelSurcharge),2),ROUND(((1-GroundCommDiscount31Up-GroundCommIncentive)*'Ground Base'!C152)*(1+GroundFuelSurcharge),2)))*(1+FedEx_Markup),2)</f>
        <v>76.52</v>
      </c>
      <c r="D157" s="218">
        <f>ROUND((IF('Ground Base'!D$154&gt;ROUND(((1-GroundCommDiscount31Up-GroundCommIncentive)*'Ground Base'!D152),2),ROUND('Ground Base'!D$154*(1+GroundFuelSurcharge),2),ROUND(((1-GroundCommDiscount31Up-GroundCommIncentive)*'Ground Base'!D152)*(1+GroundFuelSurcharge),2)))*(1+FedEx_Markup),2)</f>
        <v>82.67</v>
      </c>
      <c r="E157" s="218">
        <f>ROUND((IF('Ground Base'!E$154&gt;ROUND(((1-GroundCommDiscount31Up-GroundCommIncentive)*'Ground Base'!E152),2),ROUND('Ground Base'!E$154*(1+GroundFuelSurcharge),2),ROUND(((1-GroundCommDiscount31Up-GroundCommIncentive)*'Ground Base'!E152)*(1+GroundFuelSurcharge),2)))*(1+FedEx_Markup),2)</f>
        <v>84.88</v>
      </c>
      <c r="F157" s="218">
        <f>ROUND((IF('Ground Base'!F$154&gt;ROUND(((1-GroundCommDiscount31Up-GroundCommIncentive)*'Ground Base'!F152),2),ROUND('Ground Base'!F$154*(1+GroundFuelSurcharge),2),ROUND(((1-GroundCommDiscount31Up-GroundCommIncentive)*'Ground Base'!F152)*(1+GroundFuelSurcharge),2)))*(1+FedEx_Markup),2)</f>
        <v>93.35</v>
      </c>
      <c r="G157" s="218">
        <f>ROUND((IF('Ground Base'!G$154&gt;ROUND(((1-GroundCommDiscount31Up-GroundCommIncentive)*'Ground Base'!G152),2),ROUND('Ground Base'!G$154*(1+GroundFuelSurcharge),2),ROUND(((1-GroundCommDiscount31Up-GroundCommIncentive)*'Ground Base'!G152)*(1+GroundFuelSurcharge),2)))*(1+FedEx_Markup),2)</f>
        <v>101.02</v>
      </c>
      <c r="H157" s="218">
        <f>ROUND((IF('Ground Base'!H$154&gt;ROUND(((1-GroundCommDiscount31Up-GroundCommIncentive)*'Ground Base'!H152),2),ROUND('Ground Base'!H$154*(1+GroundFuelSurcharge),2),ROUND(((1-GroundCommDiscount31Up-GroundCommIncentive)*'Ground Base'!H152)*(1+GroundFuelSurcharge),2)))*(1+FedEx_Markup),2)</f>
        <v>113.79</v>
      </c>
      <c r="I157" s="218">
        <f>ROUND((IF('Ground Base'!I$154&gt;ROUND(((1-GroundAKHIDiscount)*'Ground Base'!I152),2),ROUND('Ground Base'!I$154*(1+GroundFuelSurcharge),2),ROUND(((1-GroundAKHIDiscount)*'Ground Base'!I152)*(1+GroundFuelSurcharge),2)))*(1+FedEx_Markup),2)</f>
        <v>713.1</v>
      </c>
      <c r="J157" s="218">
        <f>ROUND((IF('Ground Base'!J$154&gt;ROUND(((1-GroundAKHIDiscount)*'Ground Base'!J152),2),ROUND('Ground Base'!J$154*(1+GroundFuelSurcharge),2),ROUND(((1-GroundAKHIDiscount)*'Ground Base'!J152)*(1+GroundFuelSurcharge),2)))*(1+FedEx_Markup),2)</f>
        <v>713.1</v>
      </c>
      <c r="K157" s="218">
        <f>ROUND((IF('Ground Base'!K$154&gt;ROUND(((1-GroundZone51Discount)*'Ground Base'!K152),2),ROUND('Ground Base'!K$154*(1+GroundFuelSurcharge),2),ROUND(((1-GroundZone51Discount)*'Ground Base'!K152)*(1+GroundFuelSurcharge),2)))*(1+FedEx_Markup),2)</f>
        <v>139.37</v>
      </c>
      <c r="L157" s="218">
        <f>ROUND((IF('Ground Base'!L$154&gt;ROUND(((1-GroundZone54Discount)*'Ground Base'!L152),2),ROUND('Ground Base'!L$154*(1+GroundFuelSurcharge),2),ROUND(((1-GroundZone54Discount)*'Ground Base'!L152)*(1+GroundFuelSurcharge),2)))*(1+FedEx_Markup),2)</f>
        <v>202.63</v>
      </c>
    </row>
    <row r="158" spans="1:12" ht="12.75" customHeight="1"/>
    <row r="159" spans="1:12" ht="12.75" customHeight="1"/>
    <row r="160" spans="1:12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3:G3"/>
  </mergeCells>
  <conditionalFormatting sqref="A8:L157">
    <cfRule type="expression" dxfId="13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3300"/>
  </sheetPr>
  <dimension ref="A1:Z1000"/>
  <sheetViews>
    <sheetView showGridLines="0" workbookViewId="0">
      <pane ySplit="7" topLeftCell="A8" activePane="bottomLeft" state="frozen"/>
      <selection pane="bottomLeft" activeCell="B9" sqref="B9"/>
    </sheetView>
  </sheetViews>
  <sheetFormatPr defaultColWidth="12.5703125" defaultRowHeight="15" customHeight="1"/>
  <cols>
    <col min="1" max="1" width="6" customWidth="1"/>
    <col min="2" max="2" width="6.7109375" customWidth="1"/>
    <col min="3" max="3" width="6.85546875" customWidth="1"/>
    <col min="4" max="6" width="6.42578125" customWidth="1"/>
    <col min="7" max="7" width="7.85546875" customWidth="1"/>
    <col min="8" max="8" width="6.42578125" customWidth="1"/>
    <col min="9" max="12" width="7.28515625" customWidth="1"/>
    <col min="13" max="13" width="3.5703125" customWidth="1"/>
    <col min="14" max="14" width="24.5703125" customWidth="1"/>
    <col min="15" max="26" width="8.5703125" customWidth="1"/>
  </cols>
  <sheetData>
    <row r="1" spans="1:26" ht="12.75" customHeight="1">
      <c r="A1" s="212" t="s">
        <v>84</v>
      </c>
      <c r="B1" s="232"/>
      <c r="C1" s="232"/>
      <c r="D1" s="232"/>
    </row>
    <row r="2" spans="1:26" ht="12.75" customHeight="1">
      <c r="A2" s="212" t="s">
        <v>89</v>
      </c>
      <c r="B2" s="232"/>
      <c r="C2" s="232"/>
      <c r="D2" s="233"/>
    </row>
    <row r="3" spans="1:26" ht="12.75" customHeight="1">
      <c r="A3" s="227"/>
      <c r="B3" s="227"/>
      <c r="C3" s="227"/>
      <c r="D3" s="227"/>
    </row>
    <row r="4" spans="1:26" ht="12.75" customHeight="1">
      <c r="B4" s="234" t="s">
        <v>85</v>
      </c>
      <c r="F4" s="235"/>
    </row>
    <row r="5" spans="1:26" ht="12.75" customHeight="1">
      <c r="B5" s="213" t="s">
        <v>101</v>
      </c>
      <c r="F5" s="235"/>
    </row>
    <row r="6" spans="1:26" ht="12.75" customHeight="1">
      <c r="A6" s="215" t="s">
        <v>5</v>
      </c>
      <c r="B6" s="214" t="s">
        <v>0</v>
      </c>
      <c r="C6" s="214" t="s">
        <v>0</v>
      </c>
      <c r="D6" s="214" t="s">
        <v>0</v>
      </c>
      <c r="E6" s="214" t="s">
        <v>0</v>
      </c>
      <c r="F6" s="214" t="s">
        <v>0</v>
      </c>
      <c r="G6" s="214" t="s">
        <v>0</v>
      </c>
      <c r="H6" s="214" t="s">
        <v>0</v>
      </c>
      <c r="I6" s="214" t="s">
        <v>14</v>
      </c>
      <c r="J6" s="214" t="s">
        <v>15</v>
      </c>
      <c r="K6" s="214" t="s">
        <v>16</v>
      </c>
      <c r="L6" s="214" t="s">
        <v>16</v>
      </c>
    </row>
    <row r="7" spans="1:26" ht="12.75" customHeight="1">
      <c r="A7" s="215" t="s">
        <v>49</v>
      </c>
      <c r="B7" s="216">
        <v>2</v>
      </c>
      <c r="C7" s="216">
        <v>3</v>
      </c>
      <c r="D7" s="216">
        <v>4</v>
      </c>
      <c r="E7" s="216">
        <v>5</v>
      </c>
      <c r="F7" s="216">
        <v>6</v>
      </c>
      <c r="G7" s="216">
        <v>7</v>
      </c>
      <c r="H7" s="216">
        <v>8</v>
      </c>
      <c r="I7" s="216">
        <v>9</v>
      </c>
      <c r="J7" s="216">
        <v>17</v>
      </c>
      <c r="K7" s="216">
        <v>51</v>
      </c>
      <c r="L7" s="216">
        <v>54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217" t="s">
        <v>88</v>
      </c>
      <c r="B8" s="218">
        <f ca="1">IFERROR(__xludf.DUMMYFUNCTION("ROUND((IF(SINGLE('Ground Base'!B$154)&gt;ROUND(((1-GroundResDiscount01to05-GroundResIncentive)*'Ground Base'!B4),2),ROUND((SINGLE('Ground Base'!B$154)+GroundResidentialFee)*(1+GroundFuelSurcharge),2),ROUND((((1-GroundResDiscount01to05-GroundResIncentive)*'Gr"&amp;"ound Base'!B4)+GroundResidentialFee)*(1+GroundFuelSurcharge),2)))*(1+FedEx_Markup),2)"),19.02)</f>
        <v>19.02</v>
      </c>
      <c r="C8" s="218">
        <f ca="1">IFERROR(__xludf.DUMMYFUNCTION("ROUND((IF(SINGLE('Ground Base'!C$154)&gt;ROUND(((1-GroundResDiscount01to05-GroundResIncentive)*'Ground Base'!C4),2),ROUND((SINGLE('Ground Base'!C$154)+GroundResidentialFee)*(1+GroundFuelSurcharge),2),ROUND((((1-GroundResDiscount01to05-GroundResIncentive)*'Gr"&amp;"ound Base'!C4)+GroundResidentialFee)*(1+GroundFuelSurcharge),2)))*(1+FedEx_Markup),2)"),19.02)</f>
        <v>19.02</v>
      </c>
      <c r="D8" s="218">
        <f ca="1">IFERROR(__xludf.DUMMYFUNCTION("ROUND((IF(SINGLE('Ground Base'!D$154)&gt;ROUND(((1-GroundResDiscount01to05-GroundResIncentive)*'Ground Base'!D4),2),ROUND((SINGLE('Ground Base'!D$154)+GroundResidentialFee)*(1+GroundFuelSurcharge),2),ROUND((((1-GroundResDiscount01to05-GroundResIncentive)*'Gr"&amp;"ound Base'!D4)+GroundResidentialFee)*(1+GroundFuelSurcharge),2)))*(1+FedEx_Markup),2)"),19.02)</f>
        <v>19.02</v>
      </c>
      <c r="E8" s="218">
        <f ca="1">IFERROR(__xludf.DUMMYFUNCTION("ROUND((IF(SINGLE('Ground Base'!E$154)&gt;ROUND(((1-GroundResDiscount01to05-GroundResIncentive)*'Ground Base'!E4),2),ROUND((SINGLE('Ground Base'!E$154)+GroundResidentialFee)*(1+GroundFuelSurcharge),2),ROUND((((1-GroundResDiscount01to05-GroundResIncentive)*'Gr"&amp;"ound Base'!E4)+GroundResidentialFee)*(1+GroundFuelSurcharge),2)))*(1+FedEx_Markup),2)"),19.02)</f>
        <v>19.02</v>
      </c>
      <c r="F8" s="218">
        <f ca="1">IFERROR(__xludf.DUMMYFUNCTION("ROUND((IF(SINGLE('Ground Base'!F$154)&gt;ROUND(((1-GroundResDiscount01to05-GroundResIncentive)*'Ground Base'!F4),2),ROUND((SINGLE('Ground Base'!F$154)+GroundResidentialFee)*(1+GroundFuelSurcharge),2),ROUND((((1-GroundResDiscount01to05-GroundResIncentive)*'Gr"&amp;"ound Base'!F4)+GroundResidentialFee)*(1+GroundFuelSurcharge),2)))*(1+FedEx_Markup),2)"),19.02)</f>
        <v>19.02</v>
      </c>
      <c r="G8" s="218">
        <f ca="1">IFERROR(__xludf.DUMMYFUNCTION("ROUND((IF(SINGLE('Ground Base'!G$154)&gt;ROUND(((1-GroundResDiscount01to05-GroundResIncentive)*'Ground Base'!G4),2),ROUND((SINGLE('Ground Base'!G$154)+GroundResidentialFee)*(1+GroundFuelSurcharge),2),ROUND((((1-GroundResDiscount01to05-GroundResIncentive)*'Gr"&amp;"ound Base'!G4)+GroundResidentialFee)*(1+GroundFuelSurcharge),2)))*(1+FedEx_Markup),2)"),19.02)</f>
        <v>19.02</v>
      </c>
      <c r="H8" s="218">
        <f ca="1">IFERROR(__xludf.DUMMYFUNCTION("ROUND((IF(SINGLE('Ground Base'!H$154)&gt;ROUND(((1-GroundResDiscount01to05-GroundResIncentive)*'Ground Base'!H4),2),ROUND((SINGLE('Ground Base'!H$154)+GroundResidentialFee)*(1+GroundFuelSurcharge),2),ROUND((((1-GroundResDiscount01to05-GroundResIncentive)*'Gr"&amp;"ound Base'!H4)+GroundResidentialFee)*(1+GroundFuelSurcharge),2)))*(1+FedEx_Markup),2)"),19.02)</f>
        <v>19.02</v>
      </c>
      <c r="I8" s="218">
        <f>ROUND((IF('Ground Base'!I$154&gt;ROUND(((1-GroundAKHIDiscount)*'Ground Base'!I3),2),ROUND(('Ground Base'!I$154+GroundResidentialFee)*(1+GroundFuelSurcharge),2),ROUND((((1-GroundAKHIDiscount)*'Ground Base'!I3)+GroundResidentialFee)*(1+GroundFuelSurcharge),2)))*(1+FedEx_Markup),2)</f>
        <v>50.96</v>
      </c>
      <c r="J8" s="218">
        <f>ROUND((IF('Ground Base'!J$154&gt;ROUND(((1-GroundAKHIDiscount)*'Ground Base'!J3),2),ROUND(('Ground Base'!J$154+GroundResidentialFee)*(1+GroundFuelSurcharge),2),ROUND((((1-GroundAKHIDiscount)*'Ground Base'!J3)+GroundResidentialFee)*(1+GroundFuelSurcharge),2)))*(1+FedEx_Markup),2)</f>
        <v>50.96</v>
      </c>
      <c r="K8" s="218">
        <f>ROUND((IF('Ground Base'!K$154&gt;ROUND(((1-GroundZone51Discount)*'Ground Base'!K3),2),ROUND(('Ground Base'!K$154+GroundResidentialFee)*(1+GroundFuelSurcharge),2),ROUND((((1-GroundZone51Discount)*'Ground Base'!K3)+GroundResidentialFee)*(1+GroundFuelSurcharge),2)))*(1+FedEx_Markup),2)</f>
        <v>37.71</v>
      </c>
      <c r="L8" s="218">
        <f>ROUND((IF('Ground Base'!L$154&gt;ROUND(((1-GroundZone54Discount)*'Ground Base'!L3),2),ROUND(('Ground Base'!L$154+GroundResidentialFee)*(1+GroundFuelSurcharge),2),ROUND((((1-GroundZone54Discount)*'Ground Base'!L3)+GroundResidentialFee)*(1+GroundFuelSurcharge),2)))*(1+FedEx_Markup),2)</f>
        <v>47.46</v>
      </c>
      <c r="M8" s="8"/>
      <c r="N8" s="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>
      <c r="A9" s="217">
        <v>2</v>
      </c>
      <c r="B9" s="218">
        <f ca="1">IFERROR(__xludf.DUMMYFUNCTION("ROUND((IF(SINGLE('Ground Base'!B$154)&gt;ROUND(((1-GroundResDiscount01to05-GroundResIncentive)*'Ground Base'!B4),2),ROUND((SINGLE('Ground Base'!B$154)+GroundResidentialFee)*(1+GroundFuelSurcharge),2),ROUND((((1-GroundResDiscount01to05-GroundResIncentive)*'Gr"&amp;"ound Base'!B4)+GroundResidentialFee)*(1+GroundFuelSurcharge),2)))*(1+FedEx_Markup),2)"),19.02)</f>
        <v>19.02</v>
      </c>
      <c r="C9" s="218">
        <f ca="1">IFERROR(__xludf.DUMMYFUNCTION("ROUND((IF(SINGLE('Ground Base'!C$154)&gt;ROUND(((1-GroundResDiscount01to05-GroundResIncentive)*'Ground Base'!C4),2),ROUND((SINGLE('Ground Base'!C$154)+GroundResidentialFee)*(1+GroundFuelSurcharge),2),ROUND((((1-GroundResDiscount01to05-GroundResIncentive)*'Gr"&amp;"ound Base'!C4)+GroundResidentialFee)*(1+GroundFuelSurcharge),2)))*(1+FedEx_Markup),2)"),19.02)</f>
        <v>19.02</v>
      </c>
      <c r="D9" s="218">
        <f ca="1">IFERROR(__xludf.DUMMYFUNCTION("ROUND((IF(SINGLE('Ground Base'!D$154)&gt;ROUND(((1-GroundResDiscount01to05-GroundResIncentive)*'Ground Base'!D4),2),ROUND((SINGLE('Ground Base'!D$154)+GroundResidentialFee)*(1+GroundFuelSurcharge),2),ROUND((((1-GroundResDiscount01to05-GroundResIncentive)*'Gr"&amp;"ound Base'!D4)+GroundResidentialFee)*(1+GroundFuelSurcharge),2)))*(1+FedEx_Markup),2)"),19.02)</f>
        <v>19.02</v>
      </c>
      <c r="E9" s="218">
        <f ca="1">IFERROR(__xludf.DUMMYFUNCTION("ROUND((IF(SINGLE('Ground Base'!E$154)&gt;ROUND(((1-GroundResDiscount01to05-GroundResIncentive)*'Ground Base'!E4),2),ROUND((SINGLE('Ground Base'!E$154)+GroundResidentialFee)*(1+GroundFuelSurcharge),2),ROUND((((1-GroundResDiscount01to05-GroundResIncentive)*'Gr"&amp;"ound Base'!E4)+GroundResidentialFee)*(1+GroundFuelSurcharge),2)))*(1+FedEx_Markup),2)"),19.02)</f>
        <v>19.02</v>
      </c>
      <c r="F9" s="218">
        <f ca="1">IFERROR(__xludf.DUMMYFUNCTION("ROUND((IF(SINGLE('Ground Base'!F$154)&gt;ROUND(((1-GroundResDiscount01to05-GroundResIncentive)*'Ground Base'!F4),2),ROUND((SINGLE('Ground Base'!F$154)+GroundResidentialFee)*(1+GroundFuelSurcharge),2),ROUND((((1-GroundResDiscount01to05-GroundResIncentive)*'Gr"&amp;"ound Base'!F4)+GroundResidentialFee)*(1+GroundFuelSurcharge),2)))*(1+FedEx_Markup),2)"),19.02)</f>
        <v>19.02</v>
      </c>
      <c r="G9" s="218">
        <f ca="1">IFERROR(__xludf.DUMMYFUNCTION("ROUND((IF(SINGLE('Ground Base'!G$154)&gt;ROUND(((1-GroundResDiscount01to05-GroundResIncentive)*'Ground Base'!G4),2),ROUND((SINGLE('Ground Base'!G$154)+GroundResidentialFee)*(1+GroundFuelSurcharge),2),ROUND((((1-GroundResDiscount01to05-GroundResIncentive)*'Gr"&amp;"ound Base'!G4)+GroundResidentialFee)*(1+GroundFuelSurcharge),2)))*(1+FedEx_Markup),2)"),19.02)</f>
        <v>19.02</v>
      </c>
      <c r="H9" s="218">
        <f ca="1">IFERROR(__xludf.DUMMYFUNCTION("ROUND((IF(SINGLE('Ground Base'!H$154)&gt;ROUND(((1-GroundResDiscount01to05-GroundResIncentive)*'Ground Base'!H4),2),ROUND((SINGLE('Ground Base'!H$154)+GroundResidentialFee)*(1+GroundFuelSurcharge),2),ROUND((((1-GroundResDiscount01to05-GroundResIncentive)*'Gr"&amp;"ound Base'!H4)+GroundResidentialFee)*(1+GroundFuelSurcharge),2)))*(1+FedEx_Markup),2)"),19.02)</f>
        <v>19.02</v>
      </c>
      <c r="I9" s="218">
        <f>ROUND((IF('Ground Base'!I$154&gt;ROUND(((1-GroundAKHIDiscount)*'Ground Base'!I4),2),ROUND(('Ground Base'!I$154+GroundResidentialFee)*(1+GroundFuelSurcharge),2),ROUND((((1-GroundAKHIDiscount)*'Ground Base'!I4)+GroundResidentialFee)*(1+GroundFuelSurcharge),2)))*(1+FedEx_Markup),2)</f>
        <v>56.29</v>
      </c>
      <c r="J9" s="218">
        <f>ROUND((IF('Ground Base'!J$154&gt;ROUND(((1-GroundAKHIDiscount)*'Ground Base'!J4),2),ROUND(('Ground Base'!J$154+GroundResidentialFee)*(1+GroundFuelSurcharge),2),ROUND((((1-GroundAKHIDiscount)*'Ground Base'!J4)+GroundResidentialFee)*(1+GroundFuelSurcharge),2)))*(1+FedEx_Markup),2)</f>
        <v>56.29</v>
      </c>
      <c r="K9" s="218">
        <f>ROUND((IF('Ground Base'!K$154&gt;ROUND(((1-GroundZone51Discount)*'Ground Base'!K4),2),ROUND(('Ground Base'!K$154+GroundResidentialFee)*(1+GroundFuelSurcharge),2),ROUND((((1-GroundZone51Discount)*'Ground Base'!K4)+GroundResidentialFee)*(1+GroundFuelSurcharge),2)))*(1+FedEx_Markup),2)</f>
        <v>37.71</v>
      </c>
      <c r="L9" s="218">
        <f>ROUND((IF('Ground Base'!L$154&gt;ROUND(((1-GroundZone54Discount)*'Ground Base'!L4),2),ROUND(('Ground Base'!L$154+GroundResidentialFee)*(1+GroundFuelSurcharge),2),ROUND((((1-GroundZone54Discount)*'Ground Base'!L4)+GroundResidentialFee)*(1+GroundFuelSurcharge),2)))*(1+FedEx_Markup),2)</f>
        <v>47.46</v>
      </c>
      <c r="M9" s="12"/>
      <c r="N9" s="4"/>
      <c r="O9" s="236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3</v>
      </c>
      <c r="B10" s="218">
        <f ca="1">IFERROR(__xludf.DUMMYFUNCTION("ROUND((IF(SINGLE('Ground Base'!B$154)&gt;ROUND(((1-GroundResDiscount01to05-GroundResIncentive)*'Ground Base'!B5),2),ROUND((SINGLE('Ground Base'!B$154)+GroundResidentialFee)*(1+GroundFuelSurcharge),2),ROUND((((1-GroundResDiscount01to05-GroundResIncentive)*'Gr"&amp;"ound Base'!B5)+GroundResidentialFee)*(1+GroundFuelSurcharge),2)))*(1+FedEx_Markup),2)"),19.02)</f>
        <v>19.02</v>
      </c>
      <c r="C10" s="218">
        <f ca="1">IFERROR(__xludf.DUMMYFUNCTION("ROUND((IF(SINGLE('Ground Base'!C$154)&gt;ROUND(((1-GroundResDiscount01to05-GroundResIncentive)*'Ground Base'!C5),2),ROUND((SINGLE('Ground Base'!C$154)+GroundResidentialFee)*(1+GroundFuelSurcharge),2),ROUND((((1-GroundResDiscount01to05-GroundResIncentive)*'Gr"&amp;"ound Base'!C5)+GroundResidentialFee)*(1+GroundFuelSurcharge),2)))*(1+FedEx_Markup),2)"),19.02)</f>
        <v>19.02</v>
      </c>
      <c r="D10" s="218">
        <f ca="1">IFERROR(__xludf.DUMMYFUNCTION("ROUND((IF(SINGLE('Ground Base'!D$154)&gt;ROUND(((1-GroundResDiscount01to05-GroundResIncentive)*'Ground Base'!D5),2),ROUND((SINGLE('Ground Base'!D$154)+GroundResidentialFee)*(1+GroundFuelSurcharge),2),ROUND((((1-GroundResDiscount01to05-GroundResIncentive)*'Gr"&amp;"ound Base'!D5)+GroundResidentialFee)*(1+GroundFuelSurcharge),2)))*(1+FedEx_Markup),2)"),19.02)</f>
        <v>19.02</v>
      </c>
      <c r="E10" s="218">
        <f ca="1">IFERROR(__xludf.DUMMYFUNCTION("ROUND((IF(SINGLE('Ground Base'!E$154)&gt;ROUND(((1-GroundResDiscount01to05-GroundResIncentive)*'Ground Base'!E5),2),ROUND((SINGLE('Ground Base'!E$154)+GroundResidentialFee)*(1+GroundFuelSurcharge),2),ROUND((((1-GroundResDiscount01to05-GroundResIncentive)*'Gr"&amp;"ound Base'!E5)+GroundResidentialFee)*(1+GroundFuelSurcharge),2)))*(1+FedEx_Markup),2)"),19.02)</f>
        <v>19.02</v>
      </c>
      <c r="F10" s="218">
        <f ca="1">IFERROR(__xludf.DUMMYFUNCTION("ROUND((IF(SINGLE('Ground Base'!F$154)&gt;ROUND(((1-GroundResDiscount01to05-GroundResIncentive)*'Ground Base'!F5),2),ROUND((SINGLE('Ground Base'!F$154)+GroundResidentialFee)*(1+GroundFuelSurcharge),2),ROUND((((1-GroundResDiscount01to05-GroundResIncentive)*'Gr"&amp;"ound Base'!F5)+GroundResidentialFee)*(1+GroundFuelSurcharge),2)))*(1+FedEx_Markup),2)"),19.02)</f>
        <v>19.02</v>
      </c>
      <c r="G10" s="218">
        <f ca="1">IFERROR(__xludf.DUMMYFUNCTION("ROUND((IF(SINGLE('Ground Base'!G$154)&gt;ROUND(((1-GroundResDiscount01to05-GroundResIncentive)*'Ground Base'!G5),2),ROUND((SINGLE('Ground Base'!G$154)+GroundResidentialFee)*(1+GroundFuelSurcharge),2),ROUND((((1-GroundResDiscount01to05-GroundResIncentive)*'Gr"&amp;"ound Base'!G5)+GroundResidentialFee)*(1+GroundFuelSurcharge),2)))*(1+FedEx_Markup),2)"),19.02)</f>
        <v>19.02</v>
      </c>
      <c r="H10" s="218">
        <f ca="1">IFERROR(__xludf.DUMMYFUNCTION("ROUND((IF(SINGLE('Ground Base'!H$154)&gt;ROUND(((1-GroundResDiscount01to05-GroundResIncentive)*'Ground Base'!H5),2),ROUND((SINGLE('Ground Base'!H$154)+GroundResidentialFee)*(1+GroundFuelSurcharge),2),ROUND((((1-GroundResDiscount01to05-GroundResIncentive)*'Gr"&amp;"ound Base'!H5)+GroundResidentialFee)*(1+GroundFuelSurcharge),2)))*(1+FedEx_Markup),2)"),19.02)</f>
        <v>19.02</v>
      </c>
      <c r="I10" s="218">
        <f>ROUND((IF('Ground Base'!I$154&gt;ROUND(((1-GroundAKHIDiscount)*'Ground Base'!I5),2),ROUND(('Ground Base'!I$154+GroundResidentialFee)*(1+GroundFuelSurcharge),2),ROUND((((1-GroundAKHIDiscount)*'Ground Base'!I5)+GroundResidentialFee)*(1+GroundFuelSurcharge),2)))*(1+FedEx_Markup),2)</f>
        <v>60.89</v>
      </c>
      <c r="J10" s="218">
        <f>ROUND((IF('Ground Base'!J$154&gt;ROUND(((1-GroundAKHIDiscount)*'Ground Base'!J5),2),ROUND(('Ground Base'!J$154+GroundResidentialFee)*(1+GroundFuelSurcharge),2),ROUND((((1-GroundAKHIDiscount)*'Ground Base'!J5)+GroundResidentialFee)*(1+GroundFuelSurcharge),2)))*(1+FedEx_Markup),2)</f>
        <v>60.89</v>
      </c>
      <c r="K10" s="218">
        <f>ROUND((IF('Ground Base'!K$154&gt;ROUND(((1-GroundZone51Discount)*'Ground Base'!K5),2),ROUND(('Ground Base'!K$154+GroundResidentialFee)*(1+GroundFuelSurcharge),2),ROUND((((1-GroundZone51Discount)*'Ground Base'!K5)+GroundResidentialFee)*(1+GroundFuelSurcharge),2)))*(1+FedEx_Markup),2)</f>
        <v>37.71</v>
      </c>
      <c r="L10" s="218">
        <f>ROUND((IF('Ground Base'!L$154&gt;ROUND(((1-GroundZone54Discount)*'Ground Base'!L5),2),ROUND(('Ground Base'!L$154+GroundResidentialFee)*(1+GroundFuelSurcharge),2),ROUND((((1-GroundZone54Discount)*'Ground Base'!L5)+GroundResidentialFee)*(1+GroundFuelSurcharge),2)))*(1+FedEx_Markup),2)</f>
        <v>47.46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4</v>
      </c>
      <c r="B11" s="218">
        <f ca="1">IFERROR(__xludf.DUMMYFUNCTION("ROUND((IF(SINGLE('Ground Base'!B$154)&gt;ROUND(((1-GroundResDiscount01to05-GroundResIncentive)*'Ground Base'!B6),2),ROUND((SINGLE('Ground Base'!B$154)+GroundResidentialFee)*(1+GroundFuelSurcharge),2),ROUND((((1-GroundResDiscount01to05-GroundResIncentive)*'Gr"&amp;"ound Base'!B6)+GroundResidentialFee)*(1+GroundFuelSurcharge),2)))*(1+FedEx_Markup),2)"),19.02)</f>
        <v>19.02</v>
      </c>
      <c r="C11" s="218">
        <f ca="1">IFERROR(__xludf.DUMMYFUNCTION("ROUND((IF(SINGLE('Ground Base'!C$154)&gt;ROUND(((1-GroundResDiscount01to05-GroundResIncentive)*'Ground Base'!C6),2),ROUND((SINGLE('Ground Base'!C$154)+GroundResidentialFee)*(1+GroundFuelSurcharge),2),ROUND((((1-GroundResDiscount01to05-GroundResIncentive)*'Gr"&amp;"ound Base'!C6)+GroundResidentialFee)*(1+GroundFuelSurcharge),2)))*(1+FedEx_Markup),2)"),19.02)</f>
        <v>19.02</v>
      </c>
      <c r="D11" s="218">
        <f ca="1">IFERROR(__xludf.DUMMYFUNCTION("ROUND((IF(SINGLE('Ground Base'!D$154)&gt;ROUND(((1-GroundResDiscount01to05-GroundResIncentive)*'Ground Base'!D6),2),ROUND((SINGLE('Ground Base'!D$154)+GroundResidentialFee)*(1+GroundFuelSurcharge),2),ROUND((((1-GroundResDiscount01to05-GroundResIncentive)*'Gr"&amp;"ound Base'!D6)+GroundResidentialFee)*(1+GroundFuelSurcharge),2)))*(1+FedEx_Markup),2)"),19.02)</f>
        <v>19.02</v>
      </c>
      <c r="E11" s="218">
        <f ca="1">IFERROR(__xludf.DUMMYFUNCTION("ROUND((IF(SINGLE('Ground Base'!E$154)&gt;ROUND(((1-GroundResDiscount01to05-GroundResIncentive)*'Ground Base'!E6),2),ROUND((SINGLE('Ground Base'!E$154)+GroundResidentialFee)*(1+GroundFuelSurcharge),2),ROUND((((1-GroundResDiscount01to05-GroundResIncentive)*'Gr"&amp;"ound Base'!E6)+GroundResidentialFee)*(1+GroundFuelSurcharge),2)))*(1+FedEx_Markup),2)"),19.02)</f>
        <v>19.02</v>
      </c>
      <c r="F11" s="218">
        <f ca="1">IFERROR(__xludf.DUMMYFUNCTION("ROUND((IF(SINGLE('Ground Base'!F$154)&gt;ROUND(((1-GroundResDiscount01to05-GroundResIncentive)*'Ground Base'!F6),2),ROUND((SINGLE('Ground Base'!F$154)+GroundResidentialFee)*(1+GroundFuelSurcharge),2),ROUND((((1-GroundResDiscount01to05-GroundResIncentive)*'Gr"&amp;"ound Base'!F6)+GroundResidentialFee)*(1+GroundFuelSurcharge),2)))*(1+FedEx_Markup),2)"),19.02)</f>
        <v>19.02</v>
      </c>
      <c r="G11" s="218">
        <f ca="1">IFERROR(__xludf.DUMMYFUNCTION("ROUND((IF(SINGLE('Ground Base'!G$154)&gt;ROUND(((1-GroundResDiscount01to05-GroundResIncentive)*'Ground Base'!G6),2),ROUND((SINGLE('Ground Base'!G$154)+GroundResidentialFee)*(1+GroundFuelSurcharge),2),ROUND((((1-GroundResDiscount01to05-GroundResIncentive)*'Gr"&amp;"ound Base'!G6)+GroundResidentialFee)*(1+GroundFuelSurcharge),2)))*(1+FedEx_Markup),2)"),19.02)</f>
        <v>19.02</v>
      </c>
      <c r="H11" s="218">
        <f ca="1">IFERROR(__xludf.DUMMYFUNCTION("ROUND((IF(SINGLE('Ground Base'!H$154)&gt;ROUND(((1-GroundResDiscount01to05-GroundResIncentive)*'Ground Base'!H6),2),ROUND((SINGLE('Ground Base'!H$154)+GroundResidentialFee)*(1+GroundFuelSurcharge),2),ROUND((((1-GroundResDiscount01to05-GroundResIncentive)*'Gr"&amp;"ound Base'!H6)+GroundResidentialFee)*(1+GroundFuelSurcharge),2)))*(1+FedEx_Markup),2)"),19.19)</f>
        <v>19.190000000000001</v>
      </c>
      <c r="I11" s="218">
        <f>ROUND((IF('Ground Base'!I$154&gt;ROUND(((1-GroundAKHIDiscount)*'Ground Base'!I6),2),ROUND(('Ground Base'!I$154+GroundResidentialFee)*(1+GroundFuelSurcharge),2),ROUND((((1-GroundAKHIDiscount)*'Ground Base'!I6)+GroundResidentialFee)*(1+GroundFuelSurcharge),2)))*(1+FedEx_Markup),2)</f>
        <v>66.540000000000006</v>
      </c>
      <c r="J11" s="218">
        <f>ROUND((IF('Ground Base'!J$154&gt;ROUND(((1-GroundAKHIDiscount)*'Ground Base'!J6),2),ROUND(('Ground Base'!J$154+GroundResidentialFee)*(1+GroundFuelSurcharge),2),ROUND((((1-GroundAKHIDiscount)*'Ground Base'!J6)+GroundResidentialFee)*(1+GroundFuelSurcharge),2)))*(1+FedEx_Markup),2)</f>
        <v>66.540000000000006</v>
      </c>
      <c r="K11" s="218">
        <f>ROUND((IF('Ground Base'!K$154&gt;ROUND(((1-GroundZone51Discount)*'Ground Base'!K6),2),ROUND(('Ground Base'!K$154+GroundResidentialFee)*(1+GroundFuelSurcharge),2),ROUND((((1-GroundZone51Discount)*'Ground Base'!K6)+GroundResidentialFee)*(1+GroundFuelSurcharge),2)))*(1+FedEx_Markup),2)</f>
        <v>37.71</v>
      </c>
      <c r="L11" s="218">
        <f>ROUND((IF('Ground Base'!L$154&gt;ROUND(((1-GroundZone54Discount)*'Ground Base'!L6),2),ROUND(('Ground Base'!L$154+GroundResidentialFee)*(1+GroundFuelSurcharge),2),ROUND((((1-GroundZone54Discount)*'Ground Base'!L6)+GroundResidentialFee)*(1+GroundFuelSurcharge),2)))*(1+FedEx_Markup),2)</f>
        <v>47.46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5</v>
      </c>
      <c r="B12" s="218">
        <f ca="1">IFERROR(__xludf.DUMMYFUNCTION("ROUND((IF(SINGLE('Ground Base'!B$154)&gt;ROUND(((1-GroundResDiscount01to05-GroundResIncentive)*'Ground Base'!B7),2),ROUND((SINGLE('Ground Base'!B$154)+GroundResidentialFee)*(1+GroundFuelSurcharge),2),ROUND((((1-GroundResDiscount01to05-GroundResIncentive)*'Gr"&amp;"ound Base'!B7)+GroundResidentialFee)*(1+GroundFuelSurcharge),2)))*(1+FedEx_Markup),2)"),19.02)</f>
        <v>19.02</v>
      </c>
      <c r="C12" s="218">
        <f ca="1">IFERROR(__xludf.DUMMYFUNCTION("ROUND((IF(SINGLE('Ground Base'!C$154)&gt;ROUND(((1-GroundResDiscount01to05-GroundResIncentive)*'Ground Base'!C7),2),ROUND((SINGLE('Ground Base'!C$154)+GroundResidentialFee)*(1+GroundFuelSurcharge),2),ROUND((((1-GroundResDiscount01to05-GroundResIncentive)*'Gr"&amp;"ound Base'!C7)+GroundResidentialFee)*(1+GroundFuelSurcharge),2)))*(1+FedEx_Markup),2)"),19.02)</f>
        <v>19.02</v>
      </c>
      <c r="D12" s="218">
        <f ca="1">IFERROR(__xludf.DUMMYFUNCTION("ROUND((IF(SINGLE('Ground Base'!D$154)&gt;ROUND(((1-GroundResDiscount01to05-GroundResIncentive)*'Ground Base'!D7),2),ROUND((SINGLE('Ground Base'!D$154)+GroundResidentialFee)*(1+GroundFuelSurcharge),2),ROUND((((1-GroundResDiscount01to05-GroundResIncentive)*'Gr"&amp;"ound Base'!D7)+GroundResidentialFee)*(1+GroundFuelSurcharge),2)))*(1+FedEx_Markup),2)"),19.02)</f>
        <v>19.02</v>
      </c>
      <c r="E12" s="218">
        <f ca="1">IFERROR(__xludf.DUMMYFUNCTION("ROUND((IF(SINGLE('Ground Base'!E$154)&gt;ROUND(((1-GroundResDiscount01to05-GroundResIncentive)*'Ground Base'!E7),2),ROUND((SINGLE('Ground Base'!E$154)+GroundResidentialFee)*(1+GroundFuelSurcharge),2),ROUND((((1-GroundResDiscount01to05-GroundResIncentive)*'Gr"&amp;"ound Base'!E7)+GroundResidentialFee)*(1+GroundFuelSurcharge),2)))*(1+FedEx_Markup),2)"),19.02)</f>
        <v>19.02</v>
      </c>
      <c r="F12" s="218">
        <f ca="1">IFERROR(__xludf.DUMMYFUNCTION("ROUND((IF(SINGLE('Ground Base'!F$154)&gt;ROUND(((1-GroundResDiscount01to05-GroundResIncentive)*'Ground Base'!F7),2),ROUND((SINGLE('Ground Base'!F$154)+GroundResidentialFee)*(1+GroundFuelSurcharge),2),ROUND((((1-GroundResDiscount01to05-GroundResIncentive)*'Gr"&amp;"ound Base'!F7)+GroundResidentialFee)*(1+GroundFuelSurcharge),2)))*(1+FedEx_Markup),2)"),19.02)</f>
        <v>19.02</v>
      </c>
      <c r="G12" s="218">
        <f ca="1">IFERROR(__xludf.DUMMYFUNCTION("ROUND((IF(SINGLE('Ground Base'!G$154)&gt;ROUND(((1-GroundResDiscount01to05-GroundResIncentive)*'Ground Base'!G7),2),ROUND((SINGLE('Ground Base'!G$154)+GroundResidentialFee)*(1+GroundFuelSurcharge),2),ROUND((((1-GroundResDiscount01to05-GroundResIncentive)*'Gr"&amp;"ound Base'!G7)+GroundResidentialFee)*(1+GroundFuelSurcharge),2)))*(1+FedEx_Markup),2)"),19.18)</f>
        <v>19.18</v>
      </c>
      <c r="H12" s="218">
        <f ca="1">IFERROR(__xludf.DUMMYFUNCTION("ROUND((IF(SINGLE('Ground Base'!H$154)&gt;ROUND(((1-GroundResDiscount01to05-GroundResIncentive)*'Ground Base'!H7),2),ROUND((SINGLE('Ground Base'!H$154)+GroundResidentialFee)*(1+GroundFuelSurcharge),2),ROUND((((1-GroundResDiscount01to05-GroundResIncentive)*'Gr"&amp;"ound Base'!H7)+GroundResidentialFee)*(1+GroundFuelSurcharge),2)))*(1+FedEx_Markup),2)"),20.13)</f>
        <v>20.13</v>
      </c>
      <c r="I12" s="218">
        <f>ROUND((IF('Ground Base'!I$154&gt;ROUND(((1-GroundAKHIDiscount)*'Ground Base'!I7),2),ROUND(('Ground Base'!I$154+GroundResidentialFee)*(1+GroundFuelSurcharge),2),ROUND((((1-GroundAKHIDiscount)*'Ground Base'!I7)+GroundResidentialFee)*(1+GroundFuelSurcharge),2)))*(1+FedEx_Markup),2)</f>
        <v>71.849999999999994</v>
      </c>
      <c r="J12" s="218">
        <f>ROUND((IF('Ground Base'!J$154&gt;ROUND(((1-GroundAKHIDiscount)*'Ground Base'!J7),2),ROUND(('Ground Base'!J$154+GroundResidentialFee)*(1+GroundFuelSurcharge),2),ROUND((((1-GroundAKHIDiscount)*'Ground Base'!J7)+GroundResidentialFee)*(1+GroundFuelSurcharge),2)))*(1+FedEx_Markup),2)</f>
        <v>71.849999999999994</v>
      </c>
      <c r="K12" s="218">
        <f>ROUND((IF('Ground Base'!K$154&gt;ROUND(((1-GroundZone51Discount)*'Ground Base'!K7),2),ROUND(('Ground Base'!K$154+GroundResidentialFee)*(1+GroundFuelSurcharge),2),ROUND((((1-GroundZone51Discount)*'Ground Base'!K7)+GroundResidentialFee)*(1+GroundFuelSurcharge),2)))*(1+FedEx_Markup),2)</f>
        <v>37.71</v>
      </c>
      <c r="L12" s="218">
        <f>ROUND((IF('Ground Base'!L$154&gt;ROUND(((1-GroundZone54Discount)*'Ground Base'!L7),2),ROUND(('Ground Base'!L$154+GroundResidentialFee)*(1+GroundFuelSurcharge),2),ROUND((((1-GroundZone54Discount)*'Ground Base'!L7)+GroundResidentialFee)*(1+GroundFuelSurcharge),2)))*(1+FedEx_Markup),2)</f>
        <v>47.46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6</v>
      </c>
      <c r="B13" s="218">
        <f ca="1">IFERROR(__xludf.DUMMYFUNCTION("ROUND((IF(SINGLE('Ground Base'!B$154)&gt;ROUND(((1-GroundResDiscount06to10-GroundResIncentive)*'Ground Base'!B8),2),ROUND((SINGLE('Ground Base'!B$154)+GroundResidentialFee)*(1+GroundFuelSurcharge),2),ROUND((((1-GroundResDiscount06to10-GroundResIncentive)*'Gr"&amp;"ound Base'!B8)+GroundResidentialFee)*(1+GroundFuelSurcharge),2)))*(1+FedEx_Markup),2)"),19.02)</f>
        <v>19.02</v>
      </c>
      <c r="C13" s="218">
        <f ca="1">IFERROR(__xludf.DUMMYFUNCTION("ROUND((IF(SINGLE('Ground Base'!C$154)&gt;ROUND(((1-GroundResDiscount06to10-GroundResIncentive)*'Ground Base'!C8),2),ROUND((SINGLE('Ground Base'!C$154)+GroundResidentialFee)*(1+GroundFuelSurcharge),2),ROUND((((1-GroundResDiscount06to10-GroundResIncentive)*'Gr"&amp;"ound Base'!C8)+GroundResidentialFee)*(1+GroundFuelSurcharge),2)))*(1+FedEx_Markup),2)"),19.02)</f>
        <v>19.02</v>
      </c>
      <c r="D13" s="218">
        <f ca="1">IFERROR(__xludf.DUMMYFUNCTION("ROUND((IF(SINGLE('Ground Base'!D$154)&gt;ROUND(((1-GroundResDiscount06to10-GroundResIncentive)*'Ground Base'!D8),2),ROUND((SINGLE('Ground Base'!D$154)+GroundResidentialFee)*(1+GroundFuelSurcharge),2),ROUND((((1-GroundResDiscount06to10-GroundResIncentive)*'Gr"&amp;"ound Base'!D8)+GroundResidentialFee)*(1+GroundFuelSurcharge),2)))*(1+FedEx_Markup),2)"),19.02)</f>
        <v>19.02</v>
      </c>
      <c r="E13" s="218">
        <f ca="1">IFERROR(__xludf.DUMMYFUNCTION("ROUND((IF(SINGLE('Ground Base'!E$154)&gt;ROUND(((1-GroundResDiscount06to10-GroundResIncentive)*'Ground Base'!E8),2),ROUND((SINGLE('Ground Base'!E$154)+GroundResidentialFee)*(1+GroundFuelSurcharge),2),ROUND((((1-GroundResDiscount06to10-GroundResIncentive)*'Gr"&amp;"ound Base'!E8)+GroundResidentialFee)*(1+GroundFuelSurcharge),2)))*(1+FedEx_Markup),2)"),19.02)</f>
        <v>19.02</v>
      </c>
      <c r="F13" s="218">
        <f ca="1">IFERROR(__xludf.DUMMYFUNCTION("ROUND((IF(SINGLE('Ground Base'!F$154)&gt;ROUND(((1-GroundResDiscount06to10-GroundResIncentive)*'Ground Base'!F8),2),ROUND((SINGLE('Ground Base'!F$154)+GroundResidentialFee)*(1+GroundFuelSurcharge),2),ROUND((((1-GroundResDiscount06to10-GroundResIncentive)*'Gr"&amp;"ound Base'!F8)+GroundResidentialFee)*(1+GroundFuelSurcharge),2)))*(1+FedEx_Markup),2)"),19.02)</f>
        <v>19.02</v>
      </c>
      <c r="G13" s="218">
        <f ca="1">IFERROR(__xludf.DUMMYFUNCTION("ROUND((IF(SINGLE('Ground Base'!G$154)&gt;ROUND(((1-GroundResDiscount06to10-GroundResIncentive)*'Ground Base'!G8),2),ROUND((SINGLE('Ground Base'!G$154)+GroundResidentialFee)*(1+GroundFuelSurcharge),2),ROUND((((1-GroundResDiscount06to10-GroundResIncentive)*'Gr"&amp;"ound Base'!G8)+GroundResidentialFee)*(1+GroundFuelSurcharge),2)))*(1+FedEx_Markup),2)"),19.02)</f>
        <v>19.02</v>
      </c>
      <c r="H13" s="218">
        <f ca="1">IFERROR(__xludf.DUMMYFUNCTION("ROUND((IF(SINGLE('Ground Base'!H$154)&gt;ROUND(((1-GroundResDiscount06to10-GroundResIncentive)*'Ground Base'!H8),2),ROUND((SINGLE('Ground Base'!H$154)+GroundResidentialFee)*(1+GroundFuelSurcharge),2),ROUND((((1-GroundResDiscount06to10-GroundResIncentive)*'Gr"&amp;"ound Base'!H8)+GroundResidentialFee)*(1+GroundFuelSurcharge),2)))*(1+FedEx_Markup),2)"),19.5)</f>
        <v>19.5</v>
      </c>
      <c r="I13" s="218">
        <f>ROUND((IF('Ground Base'!I$154&gt;ROUND(((1-GroundAKHIDiscount)*'Ground Base'!I8),2),ROUND(('Ground Base'!I$154+GroundResidentialFee)*(1+GroundFuelSurcharge),2),ROUND((((1-GroundAKHIDiscount)*'Ground Base'!I8)+GroundResidentialFee)*(1+GroundFuelSurcharge),2)))*(1+FedEx_Markup),2)</f>
        <v>77.27</v>
      </c>
      <c r="J13" s="218">
        <f>ROUND((IF('Ground Base'!J$154&gt;ROUND(((1-GroundAKHIDiscount)*'Ground Base'!J8),2),ROUND(('Ground Base'!J$154+GroundResidentialFee)*(1+GroundFuelSurcharge),2),ROUND((((1-GroundAKHIDiscount)*'Ground Base'!J8)+GroundResidentialFee)*(1+GroundFuelSurcharge),2)))*(1+FedEx_Markup),2)</f>
        <v>77.27</v>
      </c>
      <c r="K13" s="218">
        <f>ROUND((IF('Ground Base'!K$154&gt;ROUND(((1-GroundZone51Discount)*'Ground Base'!K8),2),ROUND(('Ground Base'!K$154+GroundResidentialFee)*(1+GroundFuelSurcharge),2),ROUND((((1-GroundZone51Discount)*'Ground Base'!K8)+GroundResidentialFee)*(1+GroundFuelSurcharge),2)))*(1+FedEx_Markup),2)</f>
        <v>37.71</v>
      </c>
      <c r="L13" s="218">
        <f>ROUND((IF('Ground Base'!L$154&gt;ROUND(((1-GroundZone54Discount)*'Ground Base'!L8),2),ROUND(('Ground Base'!L$154+GroundResidentialFee)*(1+GroundFuelSurcharge),2),ROUND((((1-GroundZone54Discount)*'Ground Base'!L8)+GroundResidentialFee)*(1+GroundFuelSurcharge),2)))*(1+FedEx_Markup),2)</f>
        <v>47.46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7</v>
      </c>
      <c r="B14" s="218">
        <f ca="1">IFERROR(__xludf.DUMMYFUNCTION("ROUND((IF(SINGLE('Ground Base'!B$154)&gt;ROUND(((1-GroundResDiscount06to10-GroundResIncentive)*'Ground Base'!B9),2),ROUND((SINGLE('Ground Base'!B$154)+GroundResidentialFee)*(1+GroundFuelSurcharge),2),ROUND((((1-GroundResDiscount06to10-GroundResIncentive)*'Gr"&amp;"ound Base'!B9)+GroundResidentialFee)*(1+GroundFuelSurcharge),2)))*(1+FedEx_Markup),2)"),19.02)</f>
        <v>19.02</v>
      </c>
      <c r="C14" s="218">
        <f ca="1">IFERROR(__xludf.DUMMYFUNCTION("ROUND((IF(SINGLE('Ground Base'!C$154)&gt;ROUND(((1-GroundResDiscount06to10-GroundResIncentive)*'Ground Base'!C9),2),ROUND((SINGLE('Ground Base'!C$154)+GroundResidentialFee)*(1+GroundFuelSurcharge),2),ROUND((((1-GroundResDiscount06to10-GroundResIncentive)*'Gr"&amp;"ound Base'!C9)+GroundResidentialFee)*(1+GroundFuelSurcharge),2)))*(1+FedEx_Markup),2)"),19.02)</f>
        <v>19.02</v>
      </c>
      <c r="D14" s="218">
        <f ca="1">IFERROR(__xludf.DUMMYFUNCTION("ROUND((IF(SINGLE('Ground Base'!D$154)&gt;ROUND(((1-GroundResDiscount06to10-GroundResIncentive)*'Ground Base'!D9),2),ROUND((SINGLE('Ground Base'!D$154)+GroundResidentialFee)*(1+GroundFuelSurcharge),2),ROUND((((1-GroundResDiscount06to10-GroundResIncentive)*'Gr"&amp;"ound Base'!D9)+GroundResidentialFee)*(1+GroundFuelSurcharge),2)))*(1+FedEx_Markup),2)"),19.02)</f>
        <v>19.02</v>
      </c>
      <c r="E14" s="218">
        <f ca="1">IFERROR(__xludf.DUMMYFUNCTION("ROUND((IF(SINGLE('Ground Base'!E$154)&gt;ROUND(((1-GroundResDiscount06to10-GroundResIncentive)*'Ground Base'!E9),2),ROUND((SINGLE('Ground Base'!E$154)+GroundResidentialFee)*(1+GroundFuelSurcharge),2),ROUND((((1-GroundResDiscount06to10-GroundResIncentive)*'Gr"&amp;"ound Base'!E9)+GroundResidentialFee)*(1+GroundFuelSurcharge),2)))*(1+FedEx_Markup),2)"),19.02)</f>
        <v>19.02</v>
      </c>
      <c r="F14" s="218">
        <f ca="1">IFERROR(__xludf.DUMMYFUNCTION("ROUND((IF(SINGLE('Ground Base'!F$154)&gt;ROUND(((1-GroundResDiscount06to10-GroundResIncentive)*'Ground Base'!F9),2),ROUND((SINGLE('Ground Base'!F$154)+GroundResidentialFee)*(1+GroundFuelSurcharge),2),ROUND((((1-GroundResDiscount06to10-GroundResIncentive)*'Gr"&amp;"ound Base'!F9)+GroundResidentialFee)*(1+GroundFuelSurcharge),2)))*(1+FedEx_Markup),2)"),19.02)</f>
        <v>19.02</v>
      </c>
      <c r="G14" s="218">
        <f ca="1">IFERROR(__xludf.DUMMYFUNCTION("ROUND((IF(SINGLE('Ground Base'!G$154)&gt;ROUND(((1-GroundResDiscount06to10-GroundResIncentive)*'Ground Base'!G9),2),ROUND((SINGLE('Ground Base'!G$154)+GroundResidentialFee)*(1+GroundFuelSurcharge),2),ROUND((((1-GroundResDiscount06to10-GroundResIncentive)*'Gr"&amp;"ound Base'!G9)+GroundResidentialFee)*(1+GroundFuelSurcharge),2)))*(1+FedEx_Markup),2)"),19.02)</f>
        <v>19.02</v>
      </c>
      <c r="H14" s="218">
        <f ca="1">IFERROR(__xludf.DUMMYFUNCTION("ROUND((IF(SINGLE('Ground Base'!H$154)&gt;ROUND(((1-GroundResDiscount06to10-GroundResIncentive)*'Ground Base'!H9),2),ROUND((SINGLE('Ground Base'!H$154)+GroundResidentialFee)*(1+GroundFuelSurcharge),2),ROUND((((1-GroundResDiscount06to10-GroundResIncentive)*'Gr"&amp;"ound Base'!H9)+GroundResidentialFee)*(1+GroundFuelSurcharge),2)))*(1+FedEx_Markup),2)"),20.1)</f>
        <v>20.100000000000001</v>
      </c>
      <c r="I14" s="218">
        <f>ROUND((IF('Ground Base'!I$154&gt;ROUND(((1-GroundAKHIDiscount)*'Ground Base'!I9),2),ROUND(('Ground Base'!I$154+GroundResidentialFee)*(1+GroundFuelSurcharge),2),ROUND((((1-GroundAKHIDiscount)*'Ground Base'!I9)+GroundResidentialFee)*(1+GroundFuelSurcharge),2)))*(1+FedEx_Markup),2)</f>
        <v>82.27</v>
      </c>
      <c r="J14" s="218">
        <f>ROUND((IF('Ground Base'!J$154&gt;ROUND(((1-GroundAKHIDiscount)*'Ground Base'!J9),2),ROUND(('Ground Base'!J$154+GroundResidentialFee)*(1+GroundFuelSurcharge),2),ROUND((((1-GroundAKHIDiscount)*'Ground Base'!J9)+GroundResidentialFee)*(1+GroundFuelSurcharge),2)))*(1+FedEx_Markup),2)</f>
        <v>82.27</v>
      </c>
      <c r="K14" s="218">
        <f>ROUND((IF('Ground Base'!K$154&gt;ROUND(((1-GroundZone51Discount)*'Ground Base'!K9),2),ROUND(('Ground Base'!K$154+GroundResidentialFee)*(1+GroundFuelSurcharge),2),ROUND((((1-GroundZone51Discount)*'Ground Base'!K9)+GroundResidentialFee)*(1+GroundFuelSurcharge),2)))*(1+FedEx_Markup),2)</f>
        <v>37.71</v>
      </c>
      <c r="L14" s="218">
        <f>ROUND((IF('Ground Base'!L$154&gt;ROUND(((1-GroundZone54Discount)*'Ground Base'!L9),2),ROUND(('Ground Base'!L$154+GroundResidentialFee)*(1+GroundFuelSurcharge),2),ROUND((((1-GroundZone54Discount)*'Ground Base'!L9)+GroundResidentialFee)*(1+GroundFuelSurcharge),2)))*(1+FedEx_Markup),2)</f>
        <v>47.46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8</v>
      </c>
      <c r="B15" s="218">
        <f ca="1">IFERROR(__xludf.DUMMYFUNCTION("ROUND((IF(SINGLE('Ground Base'!B$154)&gt;ROUND(((1-GroundResDiscount06to10-GroundResIncentive)*'Ground Base'!B10),2),ROUND((SINGLE('Ground Base'!B$154)+GroundResidentialFee)*(1+GroundFuelSurcharge),2),ROUND((((1-GroundResDiscount06to10-GroundResIncentive)*'G"&amp;"round Base'!B10)+GroundResidentialFee)*(1+GroundFuelSurcharge),2)))*(1+FedEx_Markup),2)"),19.02)</f>
        <v>19.02</v>
      </c>
      <c r="C15" s="218">
        <f ca="1">IFERROR(__xludf.DUMMYFUNCTION("ROUND((IF(SINGLE('Ground Base'!C$154)&gt;ROUND(((1-GroundResDiscount06to10-GroundResIncentive)*'Ground Base'!C10),2),ROUND((SINGLE('Ground Base'!C$154)+GroundResidentialFee)*(1+GroundFuelSurcharge),2),ROUND((((1-GroundResDiscount06to10-GroundResIncentive)*'G"&amp;"round Base'!C10)+GroundResidentialFee)*(1+GroundFuelSurcharge),2)))*(1+FedEx_Markup),2)"),19.02)</f>
        <v>19.02</v>
      </c>
      <c r="D15" s="218">
        <f ca="1">IFERROR(__xludf.DUMMYFUNCTION("ROUND((IF(SINGLE('Ground Base'!D$154)&gt;ROUND(((1-GroundResDiscount06to10-GroundResIncentive)*'Ground Base'!D10),2),ROUND((SINGLE('Ground Base'!D$154)+GroundResidentialFee)*(1+GroundFuelSurcharge),2),ROUND((((1-GroundResDiscount06to10-GroundResIncentive)*'G"&amp;"round Base'!D10)+GroundResidentialFee)*(1+GroundFuelSurcharge),2)))*(1+FedEx_Markup),2)"),19.02)</f>
        <v>19.02</v>
      </c>
      <c r="E15" s="218">
        <f ca="1">IFERROR(__xludf.DUMMYFUNCTION("ROUND((IF(SINGLE('Ground Base'!E$154)&gt;ROUND(((1-GroundResDiscount06to10-GroundResIncentive)*'Ground Base'!E10),2),ROUND((SINGLE('Ground Base'!E$154)+GroundResidentialFee)*(1+GroundFuelSurcharge),2),ROUND((((1-GroundResDiscount06to10-GroundResIncentive)*'G"&amp;"round Base'!E10)+GroundResidentialFee)*(1+GroundFuelSurcharge),2)))*(1+FedEx_Markup),2)"),19.02)</f>
        <v>19.02</v>
      </c>
      <c r="F15" s="218">
        <f ca="1">IFERROR(__xludf.DUMMYFUNCTION("ROUND((IF(SINGLE('Ground Base'!F$154)&gt;ROUND(((1-GroundResDiscount06to10-GroundResIncentive)*'Ground Base'!F10),2),ROUND((SINGLE('Ground Base'!F$154)+GroundResidentialFee)*(1+GroundFuelSurcharge),2),ROUND((((1-GroundResDiscount06to10-GroundResIncentive)*'G"&amp;"round Base'!F10)+GroundResidentialFee)*(1+GroundFuelSurcharge),2)))*(1+FedEx_Markup),2)"),19.02)</f>
        <v>19.02</v>
      </c>
      <c r="G15" s="218">
        <f ca="1">IFERROR(__xludf.DUMMYFUNCTION("ROUND((IF(SINGLE('Ground Base'!G$154)&gt;ROUND(((1-GroundResDiscount06to10-GroundResIncentive)*'Ground Base'!G10),2),ROUND((SINGLE('Ground Base'!G$154)+GroundResidentialFee)*(1+GroundFuelSurcharge),2),ROUND((((1-GroundResDiscount06to10-GroundResIncentive)*'G"&amp;"round Base'!G10)+GroundResidentialFee)*(1+GroundFuelSurcharge),2)))*(1+FedEx_Markup),2)"),19.64)</f>
        <v>19.64</v>
      </c>
      <c r="H15" s="218">
        <f ca="1">IFERROR(__xludf.DUMMYFUNCTION("ROUND((IF(SINGLE('Ground Base'!H$154)&gt;ROUND(((1-GroundResDiscount06to10-GroundResIncentive)*'Ground Base'!H10),2),ROUND((SINGLE('Ground Base'!H$154)+GroundResidentialFee)*(1+GroundFuelSurcharge),2),ROUND((((1-GroundResDiscount06to10-GroundResIncentive)*'G"&amp;"round Base'!H10)+GroundResidentialFee)*(1+GroundFuelSurcharge),2)))*(1+FedEx_Markup),2)"),20.85)</f>
        <v>20.85</v>
      </c>
      <c r="I15" s="218">
        <f>ROUND((IF('Ground Base'!I$154&gt;ROUND(((1-GroundAKHIDiscount)*'Ground Base'!I10),2),ROUND(('Ground Base'!I$154+GroundResidentialFee)*(1+GroundFuelSurcharge),2),ROUND((((1-GroundAKHIDiscount)*'Ground Base'!I10)+GroundResidentialFee)*(1+GroundFuelSurcharge),2)))*(1+FedEx_Markup),2)</f>
        <v>85.36</v>
      </c>
      <c r="J15" s="218">
        <f>ROUND((IF('Ground Base'!J$154&gt;ROUND(((1-GroundAKHIDiscount)*'Ground Base'!J10),2),ROUND(('Ground Base'!J$154+GroundResidentialFee)*(1+GroundFuelSurcharge),2),ROUND((((1-GroundAKHIDiscount)*'Ground Base'!J10)+GroundResidentialFee)*(1+GroundFuelSurcharge),2)))*(1+FedEx_Markup),2)</f>
        <v>85.36</v>
      </c>
      <c r="K15" s="218">
        <f>ROUND((IF('Ground Base'!K$154&gt;ROUND(((1-GroundZone51Discount)*'Ground Base'!K10),2),ROUND(('Ground Base'!K$154+GroundResidentialFee)*(1+GroundFuelSurcharge),2),ROUND((((1-GroundZone51Discount)*'Ground Base'!K10)+GroundResidentialFee)*(1+GroundFuelSurcharge),2)))*(1+FedEx_Markup),2)</f>
        <v>37.71</v>
      </c>
      <c r="L15" s="218">
        <f>ROUND((IF('Ground Base'!L$154&gt;ROUND(((1-GroundZone54Discount)*'Ground Base'!L10),2),ROUND(('Ground Base'!L$154+GroundResidentialFee)*(1+GroundFuelSurcharge),2),ROUND((((1-GroundZone54Discount)*'Ground Base'!L10)+GroundResidentialFee)*(1+GroundFuelSurcharge),2)))*(1+FedEx_Markup),2)</f>
        <v>47.46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9</v>
      </c>
      <c r="B16" s="218">
        <f ca="1">IFERROR(__xludf.DUMMYFUNCTION("ROUND((IF(SINGLE('Ground Base'!B$154)&gt;ROUND(((1-GroundResDiscount06to10-GroundResIncentive)*'Ground Base'!B11),2),ROUND((SINGLE('Ground Base'!B$154)+GroundResidentialFee)*(1+GroundFuelSurcharge),2),ROUND((((1-GroundResDiscount06to10-GroundResIncentive)*'G"&amp;"round Base'!B11)+GroundResidentialFee)*(1+GroundFuelSurcharge),2)))*(1+FedEx_Markup),2)"),19.02)</f>
        <v>19.02</v>
      </c>
      <c r="C16" s="218">
        <f ca="1">IFERROR(__xludf.DUMMYFUNCTION("ROUND((IF(SINGLE('Ground Base'!C$154)&gt;ROUND(((1-GroundResDiscount06to10-GroundResIncentive)*'Ground Base'!C11),2),ROUND((SINGLE('Ground Base'!C$154)+GroundResidentialFee)*(1+GroundFuelSurcharge),2),ROUND((((1-GroundResDiscount06to10-GroundResIncentive)*'G"&amp;"round Base'!C11)+GroundResidentialFee)*(1+GroundFuelSurcharge),2)))*(1+FedEx_Markup),2)"),19.02)</f>
        <v>19.02</v>
      </c>
      <c r="D16" s="218">
        <f ca="1">IFERROR(__xludf.DUMMYFUNCTION("ROUND((IF(SINGLE('Ground Base'!D$154)&gt;ROUND(((1-GroundResDiscount06to10-GroundResIncentive)*'Ground Base'!D11),2),ROUND((SINGLE('Ground Base'!D$154)+GroundResidentialFee)*(1+GroundFuelSurcharge),2),ROUND((((1-GroundResDiscount06to10-GroundResIncentive)*'G"&amp;"round Base'!D11)+GroundResidentialFee)*(1+GroundFuelSurcharge),2)))*(1+FedEx_Markup),2)"),19.02)</f>
        <v>19.02</v>
      </c>
      <c r="E16" s="218">
        <f ca="1">IFERROR(__xludf.DUMMYFUNCTION("ROUND((IF(SINGLE('Ground Base'!E$154)&gt;ROUND(((1-GroundResDiscount06to10-GroundResIncentive)*'Ground Base'!E11),2),ROUND((SINGLE('Ground Base'!E$154)+GroundResidentialFee)*(1+GroundFuelSurcharge),2),ROUND((((1-GroundResDiscount06to10-GroundResIncentive)*'G"&amp;"round Base'!E11)+GroundResidentialFee)*(1+GroundFuelSurcharge),2)))*(1+FedEx_Markup),2)"),19.02)</f>
        <v>19.02</v>
      </c>
      <c r="F16" s="218">
        <f ca="1">IFERROR(__xludf.DUMMYFUNCTION("ROUND((IF(SINGLE('Ground Base'!F$154)&gt;ROUND(((1-GroundResDiscount06to10-GroundResIncentive)*'Ground Base'!F11),2),ROUND((SINGLE('Ground Base'!F$154)+GroundResidentialFee)*(1+GroundFuelSurcharge),2),ROUND((((1-GroundResDiscount06to10-GroundResIncentive)*'G"&amp;"round Base'!F11)+GroundResidentialFee)*(1+GroundFuelSurcharge),2)))*(1+FedEx_Markup),2)"),19.02)</f>
        <v>19.02</v>
      </c>
      <c r="G16" s="218">
        <f ca="1">IFERROR(__xludf.DUMMYFUNCTION("ROUND((IF(SINGLE('Ground Base'!G$154)&gt;ROUND(((1-GroundResDiscount06to10-GroundResIncentive)*'Ground Base'!G11),2),ROUND((SINGLE('Ground Base'!G$154)+GroundResidentialFee)*(1+GroundFuelSurcharge),2),ROUND((((1-GroundResDiscount06to10-GroundResIncentive)*'G"&amp;"round Base'!G11)+GroundResidentialFee)*(1+GroundFuelSurcharge),2)))*(1+FedEx_Markup),2)"),20.32)</f>
        <v>20.32</v>
      </c>
      <c r="H16" s="218">
        <f ca="1">IFERROR(__xludf.DUMMYFUNCTION("ROUND((IF(SINGLE('Ground Base'!H$154)&gt;ROUND(((1-GroundResDiscount06to10-GroundResIncentive)*'Ground Base'!H11),2),ROUND((SINGLE('Ground Base'!H$154)+GroundResidentialFee)*(1+GroundFuelSurcharge),2),ROUND((((1-GroundResDiscount06to10-GroundResIncentive)*'G"&amp;"round Base'!H11)+GroundResidentialFee)*(1+GroundFuelSurcharge),2)))*(1+FedEx_Markup),2)"),21.78)</f>
        <v>21.78</v>
      </c>
      <c r="I16" s="218">
        <f>ROUND((IF('Ground Base'!I$154&gt;ROUND(((1-GroundAKHIDiscount)*'Ground Base'!I11),2),ROUND(('Ground Base'!I$154+GroundResidentialFee)*(1+GroundFuelSurcharge),2),ROUND((((1-GroundAKHIDiscount)*'Ground Base'!I11)+GroundResidentialFee)*(1+GroundFuelSurcharge),2)))*(1+FedEx_Markup),2)</f>
        <v>91.14</v>
      </c>
      <c r="J16" s="218">
        <f>ROUND((IF('Ground Base'!J$154&gt;ROUND(((1-GroundAKHIDiscount)*'Ground Base'!J11),2),ROUND(('Ground Base'!J$154+GroundResidentialFee)*(1+GroundFuelSurcharge),2),ROUND((((1-GroundAKHIDiscount)*'Ground Base'!J11)+GroundResidentialFee)*(1+GroundFuelSurcharge),2)))*(1+FedEx_Markup),2)</f>
        <v>91.14</v>
      </c>
      <c r="K16" s="218">
        <f>ROUND((IF('Ground Base'!K$154&gt;ROUND(((1-GroundZone51Discount)*'Ground Base'!K11),2),ROUND(('Ground Base'!K$154+GroundResidentialFee)*(1+GroundFuelSurcharge),2),ROUND((((1-GroundZone51Discount)*'Ground Base'!K11)+GroundResidentialFee)*(1+GroundFuelSurcharge),2)))*(1+FedEx_Markup),2)</f>
        <v>37.71</v>
      </c>
      <c r="L16" s="218">
        <f>ROUND((IF('Ground Base'!L$154&gt;ROUND(((1-GroundZone54Discount)*'Ground Base'!L11),2),ROUND(('Ground Base'!L$154+GroundResidentialFee)*(1+GroundFuelSurcharge),2),ROUND((((1-GroundZone54Discount)*'Ground Base'!L11)+GroundResidentialFee)*(1+GroundFuelSurcharge),2)))*(1+FedEx_Markup),2)</f>
        <v>47.46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10</v>
      </c>
      <c r="B17" s="218">
        <f ca="1">IFERROR(__xludf.DUMMYFUNCTION("ROUND((IF(SINGLE('Ground Base'!B$154)&gt;ROUND(((1-GroundResDiscount06to10-GroundResIncentive)*'Ground Base'!B12),2),ROUND((SINGLE('Ground Base'!B$154)+GroundResidentialFee)*(1+GroundFuelSurcharge),2),ROUND((((1-GroundResDiscount06to10-GroundResIncentive)*'G"&amp;"round Base'!B12)+GroundResidentialFee)*(1+GroundFuelSurcharge),2)))*(1+FedEx_Markup),2)"),19.02)</f>
        <v>19.02</v>
      </c>
      <c r="C17" s="218">
        <f ca="1">IFERROR(__xludf.DUMMYFUNCTION("ROUND((IF(SINGLE('Ground Base'!C$154)&gt;ROUND(((1-GroundResDiscount06to10-GroundResIncentive)*'Ground Base'!C12),2),ROUND((SINGLE('Ground Base'!C$154)+GroundResidentialFee)*(1+GroundFuelSurcharge),2),ROUND((((1-GroundResDiscount06to10-GroundResIncentive)*'G"&amp;"round Base'!C12)+GroundResidentialFee)*(1+GroundFuelSurcharge),2)))*(1+FedEx_Markup),2)"),19.02)</f>
        <v>19.02</v>
      </c>
      <c r="D17" s="218">
        <f ca="1">IFERROR(__xludf.DUMMYFUNCTION("ROUND((IF(SINGLE('Ground Base'!D$154)&gt;ROUND(((1-GroundResDiscount06to10-GroundResIncentive)*'Ground Base'!D12),2),ROUND((SINGLE('Ground Base'!D$154)+GroundResidentialFee)*(1+GroundFuelSurcharge),2),ROUND((((1-GroundResDiscount06to10-GroundResIncentive)*'G"&amp;"round Base'!D12)+GroundResidentialFee)*(1+GroundFuelSurcharge),2)))*(1+FedEx_Markup),2)"),19.02)</f>
        <v>19.02</v>
      </c>
      <c r="E17" s="218">
        <f ca="1">IFERROR(__xludf.DUMMYFUNCTION("ROUND((IF(SINGLE('Ground Base'!E$154)&gt;ROUND(((1-GroundResDiscount06to10-GroundResIncentive)*'Ground Base'!E12),2),ROUND((SINGLE('Ground Base'!E$154)+GroundResidentialFee)*(1+GroundFuelSurcharge),2),ROUND((((1-GroundResDiscount06to10-GroundResIncentive)*'G"&amp;"round Base'!E12)+GroundResidentialFee)*(1+GroundFuelSurcharge),2)))*(1+FedEx_Markup),2)"),19.02)</f>
        <v>19.02</v>
      </c>
      <c r="F17" s="218">
        <f ca="1">IFERROR(__xludf.DUMMYFUNCTION("ROUND((IF(SINGLE('Ground Base'!F$154)&gt;ROUND(((1-GroundResDiscount06to10-GroundResIncentive)*'Ground Base'!F12),2),ROUND((SINGLE('Ground Base'!F$154)+GroundResidentialFee)*(1+GroundFuelSurcharge),2),ROUND((((1-GroundResDiscount06to10-GroundResIncentive)*'G"&amp;"round Base'!F12)+GroundResidentialFee)*(1+GroundFuelSurcharge),2)))*(1+FedEx_Markup),2)"),19.06)</f>
        <v>19.059999999999999</v>
      </c>
      <c r="G17" s="218">
        <f ca="1">IFERROR(__xludf.DUMMYFUNCTION("ROUND((IF(SINGLE('Ground Base'!G$154)&gt;ROUND(((1-GroundResDiscount06to10-GroundResIncentive)*'Ground Base'!G12),2),ROUND((SINGLE('Ground Base'!G$154)+GroundResidentialFee)*(1+GroundFuelSurcharge),2),ROUND((((1-GroundResDiscount06to10-GroundResIncentive)*'G"&amp;"round Base'!G12)+GroundResidentialFee)*(1+GroundFuelSurcharge),2)))*(1+FedEx_Markup),2)"),21.13)</f>
        <v>21.13</v>
      </c>
      <c r="H17" s="218">
        <f ca="1">IFERROR(__xludf.DUMMYFUNCTION("ROUND((IF(SINGLE('Ground Base'!H$154)&gt;ROUND(((1-GroundResDiscount06to10-GroundResIncentive)*'Ground Base'!H12),2),ROUND((SINGLE('Ground Base'!H$154)+GroundResidentialFee)*(1+GroundFuelSurcharge),2),ROUND((((1-GroundResDiscount06to10-GroundResIncentive)*'G"&amp;"round Base'!H12)+GroundResidentialFee)*(1+GroundFuelSurcharge),2)))*(1+FedEx_Markup),2)"),23)</f>
        <v>23</v>
      </c>
      <c r="I17" s="218">
        <f>ROUND((IF('Ground Base'!I$154&gt;ROUND(((1-GroundAKHIDiscount)*'Ground Base'!I12),2),ROUND(('Ground Base'!I$154+GroundResidentialFee)*(1+GroundFuelSurcharge),2),ROUND((((1-GroundAKHIDiscount)*'Ground Base'!I12)+GroundResidentialFee)*(1+GroundFuelSurcharge),2)))*(1+FedEx_Markup),2)</f>
        <v>96.65</v>
      </c>
      <c r="J17" s="218">
        <f>ROUND((IF('Ground Base'!J$154&gt;ROUND(((1-GroundAKHIDiscount)*'Ground Base'!J12),2),ROUND(('Ground Base'!J$154+GroundResidentialFee)*(1+GroundFuelSurcharge),2),ROUND((((1-GroundAKHIDiscount)*'Ground Base'!J12)+GroundResidentialFee)*(1+GroundFuelSurcharge),2)))*(1+FedEx_Markup),2)</f>
        <v>96.65</v>
      </c>
      <c r="K17" s="218">
        <f>ROUND((IF('Ground Base'!K$154&gt;ROUND(((1-GroundZone51Discount)*'Ground Base'!K12),2),ROUND(('Ground Base'!K$154+GroundResidentialFee)*(1+GroundFuelSurcharge),2),ROUND((((1-GroundZone51Discount)*'Ground Base'!K12)+GroundResidentialFee)*(1+GroundFuelSurcharge),2)))*(1+FedEx_Markup),2)</f>
        <v>37.71</v>
      </c>
      <c r="L17" s="218">
        <f>ROUND((IF('Ground Base'!L$154&gt;ROUND(((1-GroundZone54Discount)*'Ground Base'!L12),2),ROUND(('Ground Base'!L$154+GroundResidentialFee)*(1+GroundFuelSurcharge),2),ROUND((((1-GroundZone54Discount)*'Ground Base'!L12)+GroundResidentialFee)*(1+GroundFuelSurcharge),2)))*(1+FedEx_Markup),2)</f>
        <v>47.46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11</v>
      </c>
      <c r="B18" s="218">
        <f>ROUND((IF('Ground Base'!B$154&gt;ROUND(((1-GroundResDiscount11to20-GroundResIncentive)*'Ground Base'!B13),2),ROUND(('Ground Base'!B$154+GroundResidentialFee)*(1+GroundFuelSurcharge),2),ROUND((((1-GroundResDiscount11to20-GroundResIncentive)*'Ground Base'!B13)+GroundResidentialFee)*(1+GroundFuelSurcharge),2)))*(1+FedEx_Markup),2)</f>
        <v>19.02</v>
      </c>
      <c r="C18" s="218">
        <f>ROUND((IF('Ground Base'!C$154&gt;ROUND(((1-GroundResDiscount11to20-GroundResIncentive)*'Ground Base'!C13),2),ROUND(('Ground Base'!C$154+GroundResidentialFee)*(1+GroundFuelSurcharge),2),ROUND((((1-GroundResDiscount11to20-GroundResIncentive)*'Ground Base'!C13)+GroundResidentialFee)*(1+GroundFuelSurcharge),2)))*(1+FedEx_Markup),2)</f>
        <v>19.02</v>
      </c>
      <c r="D18" s="218">
        <f>ROUND((IF('Ground Base'!D$154&gt;ROUND(((1-GroundResDiscount11to20-GroundResIncentive)*'Ground Base'!D13),2),ROUND(('Ground Base'!D$154+GroundResidentialFee)*(1+GroundFuelSurcharge),2),ROUND((((1-GroundResDiscount11to20-GroundResIncentive)*'Ground Base'!D13)+GroundResidentialFee)*(1+GroundFuelSurcharge),2)))*(1+FedEx_Markup),2)</f>
        <v>19.02</v>
      </c>
      <c r="E18" s="218">
        <f>ROUND((IF('Ground Base'!E$154&gt;ROUND(((1-GroundResDiscount11to20-GroundResIncentive)*'Ground Base'!E13),2),ROUND(('Ground Base'!E$154+GroundResidentialFee)*(1+GroundFuelSurcharge),2),ROUND((((1-GroundResDiscount11to20-GroundResIncentive)*'Ground Base'!E13)+GroundResidentialFee)*(1+GroundFuelSurcharge),2)))*(1+FedEx_Markup),2)</f>
        <v>19.02</v>
      </c>
      <c r="F18" s="218">
        <f>ROUND((IF('Ground Base'!F$154&gt;ROUND(((1-GroundResDiscount11to20-GroundResIncentive)*'Ground Base'!F13),2),ROUND(('Ground Base'!F$154+GroundResidentialFee)*(1+GroundFuelSurcharge),2),ROUND((((1-GroundResDiscount11to20-GroundResIncentive)*'Ground Base'!F13)+GroundResidentialFee)*(1+GroundFuelSurcharge),2)))*(1+FedEx_Markup),2)</f>
        <v>19.02</v>
      </c>
      <c r="G18" s="218">
        <f>ROUND((IF('Ground Base'!G$154&gt;ROUND(((1-GroundResDiscount11to20-GroundResIncentive)*'Ground Base'!G13),2),ROUND(('Ground Base'!G$154+GroundResidentialFee)*(1+GroundFuelSurcharge),2),ROUND((((1-GroundResDiscount11to20-GroundResIncentive)*'Ground Base'!G13)+GroundResidentialFee)*(1+GroundFuelSurcharge),2)))*(1+FedEx_Markup),2)</f>
        <v>21.79</v>
      </c>
      <c r="H18" s="218">
        <f>ROUND((IF('Ground Base'!H$154&gt;ROUND(((1-GroundResDiscount11to20-GroundResIncentive)*'Ground Base'!H13),2),ROUND(('Ground Base'!H$154+GroundResidentialFee)*(1+GroundFuelSurcharge),2),ROUND((((1-GroundResDiscount11to20-GroundResIncentive)*'Ground Base'!H13)+GroundResidentialFee)*(1+GroundFuelSurcharge),2)))*(1+FedEx_Markup),2)</f>
        <v>23.38</v>
      </c>
      <c r="I18" s="218">
        <f>ROUND((IF('Ground Base'!I$154&gt;ROUND(((1-GroundAKHIDiscount)*'Ground Base'!I13),2),ROUND(('Ground Base'!I$154+GroundResidentialFee)*(1+GroundFuelSurcharge),2),ROUND((((1-GroundAKHIDiscount)*'Ground Base'!I13)+GroundResidentialFee)*(1+GroundFuelSurcharge),2)))*(1+FedEx_Markup),2)</f>
        <v>102.71</v>
      </c>
      <c r="J18" s="218">
        <f>ROUND((IF('Ground Base'!J$154&gt;ROUND(((1-GroundAKHIDiscount)*'Ground Base'!J13),2),ROUND(('Ground Base'!J$154+GroundResidentialFee)*(1+GroundFuelSurcharge),2),ROUND((((1-GroundAKHIDiscount)*'Ground Base'!J13)+GroundResidentialFee)*(1+GroundFuelSurcharge),2)))*(1+FedEx_Markup),2)</f>
        <v>102.71</v>
      </c>
      <c r="K18" s="218">
        <f>ROUND((IF('Ground Base'!K$154&gt;ROUND(((1-GroundZone51Discount)*'Ground Base'!K13),2),ROUND(('Ground Base'!K$154+GroundResidentialFee)*(1+GroundFuelSurcharge),2),ROUND((((1-GroundZone51Discount)*'Ground Base'!K13)+GroundResidentialFee)*(1+GroundFuelSurcharge),2)))*(1+FedEx_Markup),2)</f>
        <v>38.33</v>
      </c>
      <c r="L18" s="218">
        <f>ROUND((IF('Ground Base'!L$154&gt;ROUND(((1-GroundZone54Discount)*'Ground Base'!L13),2),ROUND(('Ground Base'!L$154+GroundResidentialFee)*(1+GroundFuelSurcharge),2),ROUND((((1-GroundZone54Discount)*'Ground Base'!L13)+GroundResidentialFee)*(1+GroundFuelSurcharge),2)))*(1+FedEx_Markup),2)</f>
        <v>47.46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12</v>
      </c>
      <c r="B19" s="218">
        <f>ROUND((IF('Ground Base'!B$154&gt;ROUND(((1-GroundResDiscount11to20-GroundResIncentive)*'Ground Base'!B14),2),ROUND(('Ground Base'!B$154+GroundResidentialFee)*(1+GroundFuelSurcharge),2),ROUND((((1-GroundResDiscount11to20-GroundResIncentive)*'Ground Base'!B14)+GroundResidentialFee)*(1+GroundFuelSurcharge),2)))*(1+FedEx_Markup),2)</f>
        <v>19.02</v>
      </c>
      <c r="C19" s="218">
        <f>ROUND((IF('Ground Base'!C$154&gt;ROUND(((1-GroundResDiscount11to20-GroundResIncentive)*'Ground Base'!C14),2),ROUND(('Ground Base'!C$154+GroundResidentialFee)*(1+GroundFuelSurcharge),2),ROUND((((1-GroundResDiscount11to20-GroundResIncentive)*'Ground Base'!C14)+GroundResidentialFee)*(1+GroundFuelSurcharge),2)))*(1+FedEx_Markup),2)</f>
        <v>19.02</v>
      </c>
      <c r="D19" s="218">
        <f>ROUND((IF('Ground Base'!D$154&gt;ROUND(((1-GroundResDiscount11to20-GroundResIncentive)*'Ground Base'!D14),2),ROUND(('Ground Base'!D$154+GroundResidentialFee)*(1+GroundFuelSurcharge),2),ROUND((((1-GroundResDiscount11to20-GroundResIncentive)*'Ground Base'!D14)+GroundResidentialFee)*(1+GroundFuelSurcharge),2)))*(1+FedEx_Markup),2)</f>
        <v>19.02</v>
      </c>
      <c r="E19" s="218">
        <f>ROUND((IF('Ground Base'!E$154&gt;ROUND(((1-GroundResDiscount11to20-GroundResIncentive)*'Ground Base'!E14),2),ROUND(('Ground Base'!E$154+GroundResidentialFee)*(1+GroundFuelSurcharge),2),ROUND((((1-GroundResDiscount11to20-GroundResIncentive)*'Ground Base'!E14)+GroundResidentialFee)*(1+GroundFuelSurcharge),2)))*(1+FedEx_Markup),2)</f>
        <v>19.02</v>
      </c>
      <c r="F19" s="218">
        <f>ROUND((IF('Ground Base'!F$154&gt;ROUND(((1-GroundResDiscount11to20-GroundResIncentive)*'Ground Base'!F14),2),ROUND(('Ground Base'!F$154+GroundResidentialFee)*(1+GroundFuelSurcharge),2),ROUND((((1-GroundResDiscount11to20-GroundResIncentive)*'Ground Base'!F14)+GroundResidentialFee)*(1+GroundFuelSurcharge),2)))*(1+FedEx_Markup),2)</f>
        <v>19.489999999999998</v>
      </c>
      <c r="G19" s="218">
        <f>ROUND((IF('Ground Base'!G$154&gt;ROUND(((1-GroundResDiscount11to20-GroundResIncentive)*'Ground Base'!G14),2),ROUND(('Ground Base'!G$154+GroundResidentialFee)*(1+GroundFuelSurcharge),2),ROUND((((1-GroundResDiscount11to20-GroundResIncentive)*'Ground Base'!G14)+GroundResidentialFee)*(1+GroundFuelSurcharge),2)))*(1+FedEx_Markup),2)</f>
        <v>22.53</v>
      </c>
      <c r="H19" s="218">
        <f>ROUND((IF('Ground Base'!H$154&gt;ROUND(((1-GroundResDiscount11to20-GroundResIncentive)*'Ground Base'!H14),2),ROUND(('Ground Base'!H$154+GroundResidentialFee)*(1+GroundFuelSurcharge),2),ROUND((((1-GroundResDiscount11to20-GroundResIncentive)*'Ground Base'!H14)+GroundResidentialFee)*(1+GroundFuelSurcharge),2)))*(1+FedEx_Markup),2)</f>
        <v>24.32</v>
      </c>
      <c r="I19" s="218">
        <f>ROUND((IF('Ground Base'!I$154&gt;ROUND(((1-GroundAKHIDiscount)*'Ground Base'!I14),2),ROUND(('Ground Base'!I$154+GroundResidentialFee)*(1+GroundFuelSurcharge),2),ROUND((((1-GroundAKHIDiscount)*'Ground Base'!I14)+GroundResidentialFee)*(1+GroundFuelSurcharge),2)))*(1+FedEx_Markup),2)</f>
        <v>106.97</v>
      </c>
      <c r="J19" s="218">
        <f>ROUND((IF('Ground Base'!J$154&gt;ROUND(((1-GroundAKHIDiscount)*'Ground Base'!J14),2),ROUND(('Ground Base'!J$154+GroundResidentialFee)*(1+GroundFuelSurcharge),2),ROUND((((1-GroundAKHIDiscount)*'Ground Base'!J14)+GroundResidentialFee)*(1+GroundFuelSurcharge),2)))*(1+FedEx_Markup),2)</f>
        <v>106.97</v>
      </c>
      <c r="K19" s="218">
        <f>ROUND((IF('Ground Base'!K$154&gt;ROUND(((1-GroundZone51Discount)*'Ground Base'!K14),2),ROUND(('Ground Base'!K$154+GroundResidentialFee)*(1+GroundFuelSurcharge),2),ROUND((((1-GroundZone51Discount)*'Ground Base'!K14)+GroundResidentialFee)*(1+GroundFuelSurcharge),2)))*(1+FedEx_Markup),2)</f>
        <v>39.53</v>
      </c>
      <c r="L19" s="218">
        <f>ROUND((IF('Ground Base'!L$154&gt;ROUND(((1-GroundZone54Discount)*'Ground Base'!L14),2),ROUND(('Ground Base'!L$154+GroundResidentialFee)*(1+GroundFuelSurcharge),2),ROUND((((1-GroundZone54Discount)*'Ground Base'!L14)+GroundResidentialFee)*(1+GroundFuelSurcharge),2)))*(1+FedEx_Markup),2)</f>
        <v>47.46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13</v>
      </c>
      <c r="B20" s="218">
        <f>ROUND((IF('Ground Base'!B$154&gt;ROUND(((1-GroundResDiscount11to20-GroundResIncentive)*'Ground Base'!B15),2),ROUND(('Ground Base'!B$154+GroundResidentialFee)*(1+GroundFuelSurcharge),2),ROUND((((1-GroundResDiscount11to20-GroundResIncentive)*'Ground Base'!B15)+GroundResidentialFee)*(1+GroundFuelSurcharge),2)))*(1+FedEx_Markup),2)</f>
        <v>19.02</v>
      </c>
      <c r="C20" s="218">
        <f>ROUND((IF('Ground Base'!C$154&gt;ROUND(((1-GroundResDiscount11to20-GroundResIncentive)*'Ground Base'!C15),2),ROUND(('Ground Base'!C$154+GroundResidentialFee)*(1+GroundFuelSurcharge),2),ROUND((((1-GroundResDiscount11to20-GroundResIncentive)*'Ground Base'!C15)+GroundResidentialFee)*(1+GroundFuelSurcharge),2)))*(1+FedEx_Markup),2)</f>
        <v>19.02</v>
      </c>
      <c r="D20" s="218">
        <f>ROUND((IF('Ground Base'!D$154&gt;ROUND(((1-GroundResDiscount11to20-GroundResIncentive)*'Ground Base'!D15),2),ROUND(('Ground Base'!D$154+GroundResidentialFee)*(1+GroundFuelSurcharge),2),ROUND((((1-GroundResDiscount11to20-GroundResIncentive)*'Ground Base'!D15)+GroundResidentialFee)*(1+GroundFuelSurcharge),2)))*(1+FedEx_Markup),2)</f>
        <v>19.02</v>
      </c>
      <c r="E20" s="218">
        <f>ROUND((IF('Ground Base'!E$154&gt;ROUND(((1-GroundResDiscount11to20-GroundResIncentive)*'Ground Base'!E15),2),ROUND(('Ground Base'!E$154+GroundResidentialFee)*(1+GroundFuelSurcharge),2),ROUND((((1-GroundResDiscount11to20-GroundResIncentive)*'Ground Base'!E15)+GroundResidentialFee)*(1+GroundFuelSurcharge),2)))*(1+FedEx_Markup),2)</f>
        <v>19.02</v>
      </c>
      <c r="F20" s="218">
        <f>ROUND((IF('Ground Base'!F$154&gt;ROUND(((1-GroundResDiscount11to20-GroundResIncentive)*'Ground Base'!F15),2),ROUND(('Ground Base'!F$154+GroundResidentialFee)*(1+GroundFuelSurcharge),2),ROUND((((1-GroundResDiscount11to20-GroundResIncentive)*'Ground Base'!F15)+GroundResidentialFee)*(1+GroundFuelSurcharge),2)))*(1+FedEx_Markup),2)</f>
        <v>20</v>
      </c>
      <c r="G20" s="218">
        <f>ROUND((IF('Ground Base'!G$154&gt;ROUND(((1-GroundResDiscount11to20-GroundResIncentive)*'Ground Base'!G15),2),ROUND(('Ground Base'!G$154+GroundResidentialFee)*(1+GroundFuelSurcharge),2),ROUND((((1-GroundResDiscount11to20-GroundResIncentive)*'Ground Base'!G15)+GroundResidentialFee)*(1+GroundFuelSurcharge),2)))*(1+FedEx_Markup),2)</f>
        <v>23.7</v>
      </c>
      <c r="H20" s="218">
        <f>ROUND((IF('Ground Base'!H$154&gt;ROUND(((1-GroundResDiscount11to20-GroundResIncentive)*'Ground Base'!H15),2),ROUND(('Ground Base'!H$154+GroundResidentialFee)*(1+GroundFuelSurcharge),2),ROUND((((1-GroundResDiscount11to20-GroundResIncentive)*'Ground Base'!H15)+GroundResidentialFee)*(1+GroundFuelSurcharge),2)))*(1+FedEx_Markup),2)</f>
        <v>25.28</v>
      </c>
      <c r="I20" s="218">
        <f>ROUND((IF('Ground Base'!I$154&gt;ROUND(((1-GroundAKHIDiscount)*'Ground Base'!I15),2),ROUND(('Ground Base'!I$154+GroundResidentialFee)*(1+GroundFuelSurcharge),2),ROUND((((1-GroundAKHIDiscount)*'Ground Base'!I15)+GroundResidentialFee)*(1+GroundFuelSurcharge),2)))*(1+FedEx_Markup),2)</f>
        <v>111.27</v>
      </c>
      <c r="J20" s="218">
        <f>ROUND((IF('Ground Base'!J$154&gt;ROUND(((1-GroundAKHIDiscount)*'Ground Base'!J15),2),ROUND(('Ground Base'!J$154+GroundResidentialFee)*(1+GroundFuelSurcharge),2),ROUND((((1-GroundAKHIDiscount)*'Ground Base'!J15)+GroundResidentialFee)*(1+GroundFuelSurcharge),2)))*(1+FedEx_Markup),2)</f>
        <v>111.27</v>
      </c>
      <c r="K20" s="218">
        <f>ROUND((IF('Ground Base'!K$154&gt;ROUND(((1-GroundZone51Discount)*'Ground Base'!K15),2),ROUND(('Ground Base'!K$154+GroundResidentialFee)*(1+GroundFuelSurcharge),2),ROUND((((1-GroundZone51Discount)*'Ground Base'!K15)+GroundResidentialFee)*(1+GroundFuelSurcharge),2)))*(1+FedEx_Markup),2)</f>
        <v>40.99</v>
      </c>
      <c r="L20" s="218">
        <f>ROUND((IF('Ground Base'!L$154&gt;ROUND(((1-GroundZone54Discount)*'Ground Base'!L15),2),ROUND(('Ground Base'!L$154+GroundResidentialFee)*(1+GroundFuelSurcharge),2),ROUND((((1-GroundZone54Discount)*'Ground Base'!L15)+GroundResidentialFee)*(1+GroundFuelSurcharge),2)))*(1+FedEx_Markup),2)</f>
        <v>48.27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14</v>
      </c>
      <c r="B21" s="218">
        <f>ROUND((IF('Ground Base'!B$154&gt;ROUND(((1-GroundResDiscount11to20-GroundResIncentive)*'Ground Base'!B16),2),ROUND(('Ground Base'!B$154+GroundResidentialFee)*(1+GroundFuelSurcharge),2),ROUND((((1-GroundResDiscount11to20-GroundResIncentive)*'Ground Base'!B16)+GroundResidentialFee)*(1+GroundFuelSurcharge),2)))*(1+FedEx_Markup),2)</f>
        <v>19.02</v>
      </c>
      <c r="C21" s="218">
        <f>ROUND((IF('Ground Base'!C$154&gt;ROUND(((1-GroundResDiscount11to20-GroundResIncentive)*'Ground Base'!C16),2),ROUND(('Ground Base'!C$154+GroundResidentialFee)*(1+GroundFuelSurcharge),2),ROUND((((1-GroundResDiscount11to20-GroundResIncentive)*'Ground Base'!C16)+GroundResidentialFee)*(1+GroundFuelSurcharge),2)))*(1+FedEx_Markup),2)</f>
        <v>19.02</v>
      </c>
      <c r="D21" s="218">
        <f>ROUND((IF('Ground Base'!D$154&gt;ROUND(((1-GroundResDiscount11to20-GroundResIncentive)*'Ground Base'!D16),2),ROUND(('Ground Base'!D$154+GroundResidentialFee)*(1+GroundFuelSurcharge),2),ROUND((((1-GroundResDiscount11to20-GroundResIncentive)*'Ground Base'!D16)+GroundResidentialFee)*(1+GroundFuelSurcharge),2)))*(1+FedEx_Markup),2)</f>
        <v>19.02</v>
      </c>
      <c r="E21" s="218">
        <f>ROUND((IF('Ground Base'!E$154&gt;ROUND(((1-GroundResDiscount11to20-GroundResIncentive)*'Ground Base'!E16),2),ROUND(('Ground Base'!E$154+GroundResidentialFee)*(1+GroundFuelSurcharge),2),ROUND((((1-GroundResDiscount11to20-GroundResIncentive)*'Ground Base'!E16)+GroundResidentialFee)*(1+GroundFuelSurcharge),2)))*(1+FedEx_Markup),2)</f>
        <v>19.02</v>
      </c>
      <c r="F21" s="218">
        <f>ROUND((IF('Ground Base'!F$154&gt;ROUND(((1-GroundResDiscount11to20-GroundResIncentive)*'Ground Base'!F16),2),ROUND(('Ground Base'!F$154+GroundResidentialFee)*(1+GroundFuelSurcharge),2),ROUND((((1-GroundResDiscount11to20-GroundResIncentive)*'Ground Base'!F16)+GroundResidentialFee)*(1+GroundFuelSurcharge),2)))*(1+FedEx_Markup),2)</f>
        <v>20.98</v>
      </c>
      <c r="G21" s="218">
        <f>ROUND((IF('Ground Base'!G$154&gt;ROUND(((1-GroundResDiscount11to20-GroundResIncentive)*'Ground Base'!G16),2),ROUND(('Ground Base'!G$154+GroundResidentialFee)*(1+GroundFuelSurcharge),2),ROUND((((1-GroundResDiscount11to20-GroundResIncentive)*'Ground Base'!G16)+GroundResidentialFee)*(1+GroundFuelSurcharge),2)))*(1+FedEx_Markup),2)</f>
        <v>25.16</v>
      </c>
      <c r="H21" s="218">
        <f>ROUND((IF('Ground Base'!H$154&gt;ROUND(((1-GroundResDiscount11to20-GroundResIncentive)*'Ground Base'!H16),2),ROUND(('Ground Base'!H$154+GroundResidentialFee)*(1+GroundFuelSurcharge),2),ROUND((((1-GroundResDiscount11to20-GroundResIncentive)*'Ground Base'!H16)+GroundResidentialFee)*(1+GroundFuelSurcharge),2)))*(1+FedEx_Markup),2)</f>
        <v>27.2</v>
      </c>
      <c r="I21" s="218">
        <f>ROUND((IF('Ground Base'!I$154&gt;ROUND(((1-GroundAKHIDiscount)*'Ground Base'!I16),2),ROUND(('Ground Base'!I$154+GroundResidentialFee)*(1+GroundFuelSurcharge),2),ROUND((((1-GroundAKHIDiscount)*'Ground Base'!I16)+GroundResidentialFee)*(1+GroundFuelSurcharge),2)))*(1+FedEx_Markup),2)</f>
        <v>115.74</v>
      </c>
      <c r="J21" s="218">
        <f>ROUND((IF('Ground Base'!J$154&gt;ROUND(((1-GroundAKHIDiscount)*'Ground Base'!J16),2),ROUND(('Ground Base'!J$154+GroundResidentialFee)*(1+GroundFuelSurcharge),2),ROUND((((1-GroundAKHIDiscount)*'Ground Base'!J16)+GroundResidentialFee)*(1+GroundFuelSurcharge),2)))*(1+FedEx_Markup),2)</f>
        <v>115.74</v>
      </c>
      <c r="K21" s="218">
        <f>ROUND((IF('Ground Base'!K$154&gt;ROUND(((1-GroundZone51Discount)*'Ground Base'!K16),2),ROUND(('Ground Base'!K$154+GroundResidentialFee)*(1+GroundFuelSurcharge),2),ROUND((((1-GroundZone51Discount)*'Ground Base'!K16)+GroundResidentialFee)*(1+GroundFuelSurcharge),2)))*(1+FedEx_Markup),2)</f>
        <v>41</v>
      </c>
      <c r="L21" s="218">
        <f>ROUND((IF('Ground Base'!L$154&gt;ROUND(((1-GroundZone54Discount)*'Ground Base'!L16),2),ROUND(('Ground Base'!L$154+GroundResidentialFee)*(1+GroundFuelSurcharge),2),ROUND((((1-GroundZone54Discount)*'Ground Base'!L16)+GroundResidentialFee)*(1+GroundFuelSurcharge),2)))*(1+FedEx_Markup),2)</f>
        <v>48.28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15</v>
      </c>
      <c r="B22" s="218">
        <f>ROUND((IF('Ground Base'!B$154&gt;ROUND(((1-GroundResDiscount11to20-GroundResIncentive)*'Ground Base'!B17),2),ROUND(('Ground Base'!B$154+GroundResidentialFee)*(1+GroundFuelSurcharge),2),ROUND((((1-GroundResDiscount11to20-GroundResIncentive)*'Ground Base'!B17)+GroundResidentialFee)*(1+GroundFuelSurcharge),2)))*(1+FedEx_Markup),2)</f>
        <v>19.02</v>
      </c>
      <c r="C22" s="218">
        <f>ROUND((IF('Ground Base'!C$154&gt;ROUND(((1-GroundResDiscount11to20-GroundResIncentive)*'Ground Base'!C17),2),ROUND(('Ground Base'!C$154+GroundResidentialFee)*(1+GroundFuelSurcharge),2),ROUND((((1-GroundResDiscount11to20-GroundResIncentive)*'Ground Base'!C17)+GroundResidentialFee)*(1+GroundFuelSurcharge),2)))*(1+FedEx_Markup),2)</f>
        <v>19.02</v>
      </c>
      <c r="D22" s="218">
        <f>ROUND((IF('Ground Base'!D$154&gt;ROUND(((1-GroundResDiscount11to20-GroundResIncentive)*'Ground Base'!D17),2),ROUND(('Ground Base'!D$154+GroundResidentialFee)*(1+GroundFuelSurcharge),2),ROUND((((1-GroundResDiscount11to20-GroundResIncentive)*'Ground Base'!D17)+GroundResidentialFee)*(1+GroundFuelSurcharge),2)))*(1+FedEx_Markup),2)</f>
        <v>19.02</v>
      </c>
      <c r="E22" s="218">
        <f>ROUND((IF('Ground Base'!E$154&gt;ROUND(((1-GroundResDiscount11to20-GroundResIncentive)*'Ground Base'!E17),2),ROUND(('Ground Base'!E$154+GroundResidentialFee)*(1+GroundFuelSurcharge),2),ROUND((((1-GroundResDiscount11to20-GroundResIncentive)*'Ground Base'!E17)+GroundResidentialFee)*(1+GroundFuelSurcharge),2)))*(1+FedEx_Markup),2)</f>
        <v>19.47</v>
      </c>
      <c r="F22" s="218">
        <f>ROUND((IF('Ground Base'!F$154&gt;ROUND(((1-GroundResDiscount11to20-GroundResIncentive)*'Ground Base'!F17),2),ROUND(('Ground Base'!F$154+GroundResidentialFee)*(1+GroundFuelSurcharge),2),ROUND((((1-GroundResDiscount11to20-GroundResIncentive)*'Ground Base'!F17)+GroundResidentialFee)*(1+GroundFuelSurcharge),2)))*(1+FedEx_Markup),2)</f>
        <v>21.95</v>
      </c>
      <c r="G22" s="218">
        <f>ROUND((IF('Ground Base'!G$154&gt;ROUND(((1-GroundResDiscount11to20-GroundResIncentive)*'Ground Base'!G17),2),ROUND(('Ground Base'!G$154+GroundResidentialFee)*(1+GroundFuelSurcharge),2),ROUND((((1-GroundResDiscount11to20-GroundResIncentive)*'Ground Base'!G17)+GroundResidentialFee)*(1+GroundFuelSurcharge),2)))*(1+FedEx_Markup),2)</f>
        <v>25.84</v>
      </c>
      <c r="H22" s="218">
        <f>ROUND((IF('Ground Base'!H$154&gt;ROUND(((1-GroundResDiscount11to20-GroundResIncentive)*'Ground Base'!H17),2),ROUND(('Ground Base'!H$154+GroundResidentialFee)*(1+GroundFuelSurcharge),2),ROUND((((1-GroundResDiscount11to20-GroundResIncentive)*'Ground Base'!H17)+GroundResidentialFee)*(1+GroundFuelSurcharge),2)))*(1+FedEx_Markup),2)</f>
        <v>28.18</v>
      </c>
      <c r="I22" s="218">
        <f>ROUND((IF('Ground Base'!I$154&gt;ROUND(((1-GroundAKHIDiscount)*'Ground Base'!I17),2),ROUND(('Ground Base'!I$154+GroundResidentialFee)*(1+GroundFuelSurcharge),2),ROUND((((1-GroundAKHIDiscount)*'Ground Base'!I17)+GroundResidentialFee)*(1+GroundFuelSurcharge),2)))*(1+FedEx_Markup),2)</f>
        <v>119.88</v>
      </c>
      <c r="J22" s="218">
        <f>ROUND((IF('Ground Base'!J$154&gt;ROUND(((1-GroundAKHIDiscount)*'Ground Base'!J17),2),ROUND(('Ground Base'!J$154+GroundResidentialFee)*(1+GroundFuelSurcharge),2),ROUND((((1-GroundAKHIDiscount)*'Ground Base'!J17)+GroundResidentialFee)*(1+GroundFuelSurcharge),2)))*(1+FedEx_Markup),2)</f>
        <v>119.88</v>
      </c>
      <c r="K22" s="218">
        <f>ROUND((IF('Ground Base'!K$154&gt;ROUND(((1-GroundZone51Discount)*'Ground Base'!K17),2),ROUND(('Ground Base'!K$154+GroundResidentialFee)*(1+GroundFuelSurcharge),2),ROUND((((1-GroundZone51Discount)*'Ground Base'!K17)+GroundResidentialFee)*(1+GroundFuelSurcharge),2)))*(1+FedEx_Markup),2)</f>
        <v>42.07</v>
      </c>
      <c r="L22" s="218">
        <f>ROUND((IF('Ground Base'!L$154&gt;ROUND(((1-GroundZone54Discount)*'Ground Base'!L17),2),ROUND(('Ground Base'!L$154+GroundResidentialFee)*(1+GroundFuelSurcharge),2),ROUND((((1-GroundZone54Discount)*'Ground Base'!L17)+GroundResidentialFee)*(1+GroundFuelSurcharge),2)))*(1+FedEx_Markup),2)</f>
        <v>49.11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16</v>
      </c>
      <c r="B23" s="218">
        <f>ROUND((IF('Ground Base'!B$154&gt;ROUND(((1-GroundResDiscount11to20-GroundResIncentive)*'Ground Base'!B18),2),ROUND(('Ground Base'!B$154+GroundResidentialFee)*(1+GroundFuelSurcharge),2),ROUND((((1-GroundResDiscount11to20-GroundResIncentive)*'Ground Base'!B18)+GroundResidentialFee)*(1+GroundFuelSurcharge),2)))*(1+FedEx_Markup),2)</f>
        <v>19.02</v>
      </c>
      <c r="C23" s="218">
        <f>ROUND((IF('Ground Base'!C$154&gt;ROUND(((1-GroundResDiscount11to20-GroundResIncentive)*'Ground Base'!C18),2),ROUND(('Ground Base'!C$154+GroundResidentialFee)*(1+GroundFuelSurcharge),2),ROUND((((1-GroundResDiscount11to20-GroundResIncentive)*'Ground Base'!C18)+GroundResidentialFee)*(1+GroundFuelSurcharge),2)))*(1+FedEx_Markup),2)</f>
        <v>19.02</v>
      </c>
      <c r="D23" s="218">
        <f>ROUND((IF('Ground Base'!D$154&gt;ROUND(((1-GroundResDiscount11to20-GroundResIncentive)*'Ground Base'!D18),2),ROUND(('Ground Base'!D$154+GroundResidentialFee)*(1+GroundFuelSurcharge),2),ROUND((((1-GroundResDiscount11to20-GroundResIncentive)*'Ground Base'!D18)+GroundResidentialFee)*(1+GroundFuelSurcharge),2)))*(1+FedEx_Markup),2)</f>
        <v>19.02</v>
      </c>
      <c r="E23" s="218">
        <f>ROUND((IF('Ground Base'!E$154&gt;ROUND(((1-GroundResDiscount11to20-GroundResIncentive)*'Ground Base'!E18),2),ROUND(('Ground Base'!E$154+GroundResidentialFee)*(1+GroundFuelSurcharge),2),ROUND((((1-GroundResDiscount11to20-GroundResIncentive)*'Ground Base'!E18)+GroundResidentialFee)*(1+GroundFuelSurcharge),2)))*(1+FedEx_Markup),2)</f>
        <v>19.75</v>
      </c>
      <c r="F23" s="218">
        <f>ROUND((IF('Ground Base'!F$154&gt;ROUND(((1-GroundResDiscount11to20-GroundResIncentive)*'Ground Base'!F18),2),ROUND(('Ground Base'!F$154+GroundResidentialFee)*(1+GroundFuelSurcharge),2),ROUND((((1-GroundResDiscount11to20-GroundResIncentive)*'Ground Base'!F18)+GroundResidentialFee)*(1+GroundFuelSurcharge),2)))*(1+FedEx_Markup),2)</f>
        <v>22.55</v>
      </c>
      <c r="G23" s="218">
        <f>ROUND((IF('Ground Base'!G$154&gt;ROUND(((1-GroundResDiscount11to20-GroundResIncentive)*'Ground Base'!G18),2),ROUND(('Ground Base'!G$154+GroundResidentialFee)*(1+GroundFuelSurcharge),2),ROUND((((1-GroundResDiscount11to20-GroundResIncentive)*'Ground Base'!G18)+GroundResidentialFee)*(1+GroundFuelSurcharge),2)))*(1+FedEx_Markup),2)</f>
        <v>27.04</v>
      </c>
      <c r="H23" s="218">
        <f>ROUND((IF('Ground Base'!H$154&gt;ROUND(((1-GroundResDiscount11to20-GroundResIncentive)*'Ground Base'!H18),2),ROUND(('Ground Base'!H$154+GroundResidentialFee)*(1+GroundFuelSurcharge),2),ROUND((((1-GroundResDiscount11to20-GroundResIncentive)*'Ground Base'!H18)+GroundResidentialFee)*(1+GroundFuelSurcharge),2)))*(1+FedEx_Markup),2)</f>
        <v>29.41</v>
      </c>
      <c r="I23" s="218">
        <f>ROUND((IF('Ground Base'!I$154&gt;ROUND(((1-GroundAKHIDiscount)*'Ground Base'!I18),2),ROUND(('Ground Base'!I$154+GroundResidentialFee)*(1+GroundFuelSurcharge),2),ROUND((((1-GroundAKHIDiscount)*'Ground Base'!I18)+GroundResidentialFee)*(1+GroundFuelSurcharge),2)))*(1+FedEx_Markup),2)</f>
        <v>125.09</v>
      </c>
      <c r="J23" s="218">
        <f>ROUND((IF('Ground Base'!J$154&gt;ROUND(((1-GroundAKHIDiscount)*'Ground Base'!J18),2),ROUND(('Ground Base'!J$154+GroundResidentialFee)*(1+GroundFuelSurcharge),2),ROUND((((1-GroundAKHIDiscount)*'Ground Base'!J18)+GroundResidentialFee)*(1+GroundFuelSurcharge),2)))*(1+FedEx_Markup),2)</f>
        <v>125.09</v>
      </c>
      <c r="K23" s="218">
        <f>ROUND((IF('Ground Base'!K$154&gt;ROUND(((1-GroundZone51Discount)*'Ground Base'!K18),2),ROUND(('Ground Base'!K$154+GroundResidentialFee)*(1+GroundFuelSurcharge),2),ROUND((((1-GroundZone51Discount)*'Ground Base'!K18)+GroundResidentialFee)*(1+GroundFuelSurcharge),2)))*(1+FedEx_Markup),2)</f>
        <v>43.37</v>
      </c>
      <c r="L23" s="218">
        <f>ROUND((IF('Ground Base'!L$154&gt;ROUND(((1-GroundZone54Discount)*'Ground Base'!L18),2),ROUND(('Ground Base'!L$154+GroundResidentialFee)*(1+GroundFuelSurcharge),2),ROUND((((1-GroundZone54Discount)*'Ground Base'!L18)+GroundResidentialFee)*(1+GroundFuelSurcharge),2)))*(1+FedEx_Markup),2)</f>
        <v>50.69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17</v>
      </c>
      <c r="B24" s="218">
        <f>ROUND((IF('Ground Base'!B$154&gt;ROUND(((1-GroundResDiscount11to20-GroundResIncentive)*'Ground Base'!B19),2),ROUND(('Ground Base'!B$154+GroundResidentialFee)*(1+GroundFuelSurcharge),2),ROUND((((1-GroundResDiscount11to20-GroundResIncentive)*'Ground Base'!B19)+GroundResidentialFee)*(1+GroundFuelSurcharge),2)))*(1+FedEx_Markup),2)</f>
        <v>19.02</v>
      </c>
      <c r="C24" s="218">
        <f>ROUND((IF('Ground Base'!C$154&gt;ROUND(((1-GroundResDiscount11to20-GroundResIncentive)*'Ground Base'!C19),2),ROUND(('Ground Base'!C$154+GroundResidentialFee)*(1+GroundFuelSurcharge),2),ROUND((((1-GroundResDiscount11to20-GroundResIncentive)*'Ground Base'!C19)+GroundResidentialFee)*(1+GroundFuelSurcharge),2)))*(1+FedEx_Markup),2)</f>
        <v>19.02</v>
      </c>
      <c r="D24" s="218">
        <f>ROUND((IF('Ground Base'!D$154&gt;ROUND(((1-GroundResDiscount11to20-GroundResIncentive)*'Ground Base'!D19),2),ROUND(('Ground Base'!D$154+GroundResidentialFee)*(1+GroundFuelSurcharge),2),ROUND((((1-GroundResDiscount11to20-GroundResIncentive)*'Ground Base'!D19)+GroundResidentialFee)*(1+GroundFuelSurcharge),2)))*(1+FedEx_Markup),2)</f>
        <v>19.02</v>
      </c>
      <c r="E24" s="218">
        <f>ROUND((IF('Ground Base'!E$154&gt;ROUND(((1-GroundResDiscount11to20-GroundResIncentive)*'Ground Base'!E19),2),ROUND(('Ground Base'!E$154+GroundResidentialFee)*(1+GroundFuelSurcharge),2),ROUND((((1-GroundResDiscount11to20-GroundResIncentive)*'Ground Base'!E19)+GroundResidentialFee)*(1+GroundFuelSurcharge),2)))*(1+FedEx_Markup),2)</f>
        <v>20.22</v>
      </c>
      <c r="F24" s="218">
        <f>ROUND((IF('Ground Base'!F$154&gt;ROUND(((1-GroundResDiscount11to20-GroundResIncentive)*'Ground Base'!F19),2),ROUND(('Ground Base'!F$154+GroundResidentialFee)*(1+GroundFuelSurcharge),2),ROUND((((1-GroundResDiscount11to20-GroundResIncentive)*'Ground Base'!F19)+GroundResidentialFee)*(1+GroundFuelSurcharge),2)))*(1+FedEx_Markup),2)</f>
        <v>23.37</v>
      </c>
      <c r="G24" s="218">
        <f>ROUND((IF('Ground Base'!G$154&gt;ROUND(((1-GroundResDiscount11to20-GroundResIncentive)*'Ground Base'!G19),2),ROUND(('Ground Base'!G$154+GroundResidentialFee)*(1+GroundFuelSurcharge),2),ROUND((((1-GroundResDiscount11to20-GroundResIncentive)*'Ground Base'!G19)+GroundResidentialFee)*(1+GroundFuelSurcharge),2)))*(1+FedEx_Markup),2)</f>
        <v>28.26</v>
      </c>
      <c r="H24" s="218">
        <f>ROUND((IF('Ground Base'!H$154&gt;ROUND(((1-GroundResDiscount11to20-GroundResIncentive)*'Ground Base'!H19),2),ROUND(('Ground Base'!H$154+GroundResidentialFee)*(1+GroundFuelSurcharge),2),ROUND((((1-GroundResDiscount11to20-GroundResIncentive)*'Ground Base'!H19)+GroundResidentialFee)*(1+GroundFuelSurcharge),2)))*(1+FedEx_Markup),2)</f>
        <v>29.42</v>
      </c>
      <c r="I24" s="218">
        <f>ROUND((IF('Ground Base'!I$154&gt;ROUND(((1-GroundAKHIDiscount)*'Ground Base'!I19),2),ROUND(('Ground Base'!I$154+GroundResidentialFee)*(1+GroundFuelSurcharge),2),ROUND((((1-GroundAKHIDiscount)*'Ground Base'!I19)+GroundResidentialFee)*(1+GroundFuelSurcharge),2)))*(1+FedEx_Markup),2)</f>
        <v>130.28</v>
      </c>
      <c r="J24" s="218">
        <f>ROUND((IF('Ground Base'!J$154&gt;ROUND(((1-GroundAKHIDiscount)*'Ground Base'!J19),2),ROUND(('Ground Base'!J$154+GroundResidentialFee)*(1+GroundFuelSurcharge),2),ROUND((((1-GroundAKHIDiscount)*'Ground Base'!J19)+GroundResidentialFee)*(1+GroundFuelSurcharge),2)))*(1+FedEx_Markup),2)</f>
        <v>130.28</v>
      </c>
      <c r="K24" s="218">
        <f>ROUND((IF('Ground Base'!K$154&gt;ROUND(((1-GroundZone51Discount)*'Ground Base'!K19),2),ROUND(('Ground Base'!K$154+GroundResidentialFee)*(1+GroundFuelSurcharge),2),ROUND((((1-GroundZone51Discount)*'Ground Base'!K19)+GroundResidentialFee)*(1+GroundFuelSurcharge),2)))*(1+FedEx_Markup),2)</f>
        <v>44.44</v>
      </c>
      <c r="L24" s="218">
        <f>ROUND((IF('Ground Base'!L$154&gt;ROUND(((1-GroundZone54Discount)*'Ground Base'!L19),2),ROUND(('Ground Base'!L$154+GroundResidentialFee)*(1+GroundFuelSurcharge),2),ROUND((((1-GroundZone54Discount)*'Ground Base'!L19)+GroundResidentialFee)*(1+GroundFuelSurcharge),2)))*(1+FedEx_Markup),2)</f>
        <v>52.01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18</v>
      </c>
      <c r="B25" s="218">
        <f>ROUND((IF('Ground Base'!B$154&gt;ROUND(((1-GroundResDiscount11to20-GroundResIncentive)*'Ground Base'!B20),2),ROUND(('Ground Base'!B$154+GroundResidentialFee)*(1+GroundFuelSurcharge),2),ROUND((((1-GroundResDiscount11to20-GroundResIncentive)*'Ground Base'!B20)+GroundResidentialFee)*(1+GroundFuelSurcharge),2)))*(1+FedEx_Markup),2)</f>
        <v>19.02</v>
      </c>
      <c r="C25" s="218">
        <f>ROUND((IF('Ground Base'!C$154&gt;ROUND(((1-GroundResDiscount11to20-GroundResIncentive)*'Ground Base'!C20),2),ROUND(('Ground Base'!C$154+GroundResidentialFee)*(1+GroundFuelSurcharge),2),ROUND((((1-GroundResDiscount11to20-GroundResIncentive)*'Ground Base'!C20)+GroundResidentialFee)*(1+GroundFuelSurcharge),2)))*(1+FedEx_Markup),2)</f>
        <v>19.02</v>
      </c>
      <c r="D25" s="218">
        <f>ROUND((IF('Ground Base'!D$154&gt;ROUND(((1-GroundResDiscount11to20-GroundResIncentive)*'Ground Base'!D20),2),ROUND(('Ground Base'!D$154+GroundResidentialFee)*(1+GroundFuelSurcharge),2),ROUND((((1-GroundResDiscount11to20-GroundResIncentive)*'Ground Base'!D20)+GroundResidentialFee)*(1+GroundFuelSurcharge),2)))*(1+FedEx_Markup),2)</f>
        <v>19.02</v>
      </c>
      <c r="E25" s="218">
        <f>ROUND((IF('Ground Base'!E$154&gt;ROUND(((1-GroundResDiscount11to20-GroundResIncentive)*'Ground Base'!E20),2),ROUND(('Ground Base'!E$154+GroundResidentialFee)*(1+GroundFuelSurcharge),2),ROUND((((1-GroundResDiscount11to20-GroundResIncentive)*'Ground Base'!E20)+GroundResidentialFee)*(1+GroundFuelSurcharge),2)))*(1+FedEx_Markup),2)</f>
        <v>21.03</v>
      </c>
      <c r="F25" s="218">
        <f>ROUND((IF('Ground Base'!F$154&gt;ROUND(((1-GroundResDiscount11to20-GroundResIncentive)*'Ground Base'!F20),2),ROUND(('Ground Base'!F$154+GroundResidentialFee)*(1+GroundFuelSurcharge),2),ROUND((((1-GroundResDiscount11to20-GroundResIncentive)*'Ground Base'!F20)+GroundResidentialFee)*(1+GroundFuelSurcharge),2)))*(1+FedEx_Markup),2)</f>
        <v>24.41</v>
      </c>
      <c r="G25" s="218">
        <f>ROUND((IF('Ground Base'!G$154&gt;ROUND(((1-GroundResDiscount11to20-GroundResIncentive)*'Ground Base'!G20),2),ROUND(('Ground Base'!G$154+GroundResidentialFee)*(1+GroundFuelSurcharge),2),ROUND((((1-GroundResDiscount11to20-GroundResIncentive)*'Ground Base'!G20)+GroundResidentialFee)*(1+GroundFuelSurcharge),2)))*(1+FedEx_Markup),2)</f>
        <v>28.99</v>
      </c>
      <c r="H25" s="218">
        <f>ROUND((IF('Ground Base'!H$154&gt;ROUND(((1-GroundResDiscount11to20-GroundResIncentive)*'Ground Base'!H20),2),ROUND(('Ground Base'!H$154+GroundResidentialFee)*(1+GroundFuelSurcharge),2),ROUND((((1-GroundResDiscount11to20-GroundResIncentive)*'Ground Base'!H20)+GroundResidentialFee)*(1+GroundFuelSurcharge),2)))*(1+FedEx_Markup),2)</f>
        <v>31.46</v>
      </c>
      <c r="I25" s="218">
        <f>ROUND((IF('Ground Base'!I$154&gt;ROUND(((1-GroundAKHIDiscount)*'Ground Base'!I20),2),ROUND(('Ground Base'!I$154+GroundResidentialFee)*(1+GroundFuelSurcharge),2),ROUND((((1-GroundAKHIDiscount)*'Ground Base'!I20)+GroundResidentialFee)*(1+GroundFuelSurcharge),2)))*(1+FedEx_Markup),2)</f>
        <v>135.53</v>
      </c>
      <c r="J25" s="218">
        <f>ROUND((IF('Ground Base'!J$154&gt;ROUND(((1-GroundAKHIDiscount)*'Ground Base'!J20),2),ROUND(('Ground Base'!J$154+GroundResidentialFee)*(1+GroundFuelSurcharge),2),ROUND((((1-GroundAKHIDiscount)*'Ground Base'!J20)+GroundResidentialFee)*(1+GroundFuelSurcharge),2)))*(1+FedEx_Markup),2)</f>
        <v>135.53</v>
      </c>
      <c r="K25" s="218">
        <f>ROUND((IF('Ground Base'!K$154&gt;ROUND(((1-GroundZone51Discount)*'Ground Base'!K20),2),ROUND(('Ground Base'!K$154+GroundResidentialFee)*(1+GroundFuelSurcharge),2),ROUND((((1-GroundZone51Discount)*'Ground Base'!K20)+GroundResidentialFee)*(1+GroundFuelSurcharge),2)))*(1+FedEx_Markup),2)</f>
        <v>45.9</v>
      </c>
      <c r="L25" s="218">
        <f>ROUND((IF('Ground Base'!L$154&gt;ROUND(((1-GroundZone54Discount)*'Ground Base'!L20),2),ROUND(('Ground Base'!L$154+GroundResidentialFee)*(1+GroundFuelSurcharge),2),ROUND((((1-GroundZone54Discount)*'Ground Base'!L20)+GroundResidentialFee)*(1+GroundFuelSurcharge),2)))*(1+FedEx_Markup),2)</f>
        <v>53.48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19</v>
      </c>
      <c r="B26" s="218">
        <f>ROUND((IF('Ground Base'!B$154&gt;ROUND(((1-GroundResDiscount11to20-GroundResIncentive)*'Ground Base'!B21),2),ROUND(('Ground Base'!B$154+GroundResidentialFee)*(1+GroundFuelSurcharge),2),ROUND((((1-GroundResDiscount11to20-GroundResIncentive)*'Ground Base'!B21)+GroundResidentialFee)*(1+GroundFuelSurcharge),2)))*(1+FedEx_Markup),2)</f>
        <v>19.02</v>
      </c>
      <c r="C26" s="218">
        <f>ROUND((IF('Ground Base'!C$154&gt;ROUND(((1-GroundResDiscount11to20-GroundResIncentive)*'Ground Base'!C21),2),ROUND(('Ground Base'!C$154+GroundResidentialFee)*(1+GroundFuelSurcharge),2),ROUND((((1-GroundResDiscount11to20-GroundResIncentive)*'Ground Base'!C21)+GroundResidentialFee)*(1+GroundFuelSurcharge),2)))*(1+FedEx_Markup),2)</f>
        <v>19.02</v>
      </c>
      <c r="D26" s="218">
        <f>ROUND((IF('Ground Base'!D$154&gt;ROUND(((1-GroundResDiscount11to20-GroundResIncentive)*'Ground Base'!D21),2),ROUND(('Ground Base'!D$154+GroundResidentialFee)*(1+GroundFuelSurcharge),2),ROUND((((1-GroundResDiscount11to20-GroundResIncentive)*'Ground Base'!D21)+GroundResidentialFee)*(1+GroundFuelSurcharge),2)))*(1+FedEx_Markup),2)</f>
        <v>19.02</v>
      </c>
      <c r="E26" s="218">
        <f>ROUND((IF('Ground Base'!E$154&gt;ROUND(((1-GroundResDiscount11to20-GroundResIncentive)*'Ground Base'!E21),2),ROUND(('Ground Base'!E$154+GroundResidentialFee)*(1+GroundFuelSurcharge),2),ROUND((((1-GroundResDiscount11to20-GroundResIncentive)*'Ground Base'!E21)+GroundResidentialFee)*(1+GroundFuelSurcharge),2)))*(1+FedEx_Markup),2)</f>
        <v>21.86</v>
      </c>
      <c r="F26" s="218">
        <f>ROUND((IF('Ground Base'!F$154&gt;ROUND(((1-GroundResDiscount11to20-GroundResIncentive)*'Ground Base'!F21),2),ROUND(('Ground Base'!F$154+GroundResidentialFee)*(1+GroundFuelSurcharge),2),ROUND((((1-GroundResDiscount11to20-GroundResIncentive)*'Ground Base'!F21)+GroundResidentialFee)*(1+GroundFuelSurcharge),2)))*(1+FedEx_Markup),2)</f>
        <v>25.04</v>
      </c>
      <c r="G26" s="218">
        <f>ROUND((IF('Ground Base'!G$154&gt;ROUND(((1-GroundResDiscount11to20-GroundResIncentive)*'Ground Base'!G21),2),ROUND(('Ground Base'!G$154+GroundResidentialFee)*(1+GroundFuelSurcharge),2),ROUND((((1-GroundResDiscount11to20-GroundResIncentive)*'Ground Base'!G21)+GroundResidentialFee)*(1+GroundFuelSurcharge),2)))*(1+FedEx_Markup),2)</f>
        <v>29.77</v>
      </c>
      <c r="H26" s="218">
        <f>ROUND((IF('Ground Base'!H$154&gt;ROUND(((1-GroundResDiscount11to20-GroundResIncentive)*'Ground Base'!H21),2),ROUND(('Ground Base'!H$154+GroundResidentialFee)*(1+GroundFuelSurcharge),2),ROUND((((1-GroundResDiscount11to20-GroundResIncentive)*'Ground Base'!H21)+GroundResidentialFee)*(1+GroundFuelSurcharge),2)))*(1+FedEx_Markup),2)</f>
        <v>32.81</v>
      </c>
      <c r="I26" s="218">
        <f>ROUND((IF('Ground Base'!I$154&gt;ROUND(((1-GroundAKHIDiscount)*'Ground Base'!I21),2),ROUND(('Ground Base'!I$154+GroundResidentialFee)*(1+GroundFuelSurcharge),2),ROUND((((1-GroundAKHIDiscount)*'Ground Base'!I21)+GroundResidentialFee)*(1+GroundFuelSurcharge),2)))*(1+FedEx_Markup),2)</f>
        <v>140.75</v>
      </c>
      <c r="J26" s="218">
        <f>ROUND((IF('Ground Base'!J$154&gt;ROUND(((1-GroundAKHIDiscount)*'Ground Base'!J21),2),ROUND(('Ground Base'!J$154+GroundResidentialFee)*(1+GroundFuelSurcharge),2),ROUND((((1-GroundAKHIDiscount)*'Ground Base'!J21)+GroundResidentialFee)*(1+GroundFuelSurcharge),2)))*(1+FedEx_Markup),2)</f>
        <v>140.75</v>
      </c>
      <c r="K26" s="218">
        <f>ROUND((IF('Ground Base'!K$154&gt;ROUND(((1-GroundZone51Discount)*'Ground Base'!K21),2),ROUND(('Ground Base'!K$154+GroundResidentialFee)*(1+GroundFuelSurcharge),2),ROUND((((1-GroundZone51Discount)*'Ground Base'!K21)+GroundResidentialFee)*(1+GroundFuelSurcharge),2)))*(1+FedEx_Markup),2)</f>
        <v>47.22</v>
      </c>
      <c r="L26" s="218">
        <f>ROUND((IF('Ground Base'!L$154&gt;ROUND(((1-GroundZone54Discount)*'Ground Base'!L21),2),ROUND(('Ground Base'!L$154+GroundResidentialFee)*(1+GroundFuelSurcharge),2),ROUND((((1-GroundZone54Discount)*'Ground Base'!L21)+GroundResidentialFee)*(1+GroundFuelSurcharge),2)))*(1+FedEx_Markup),2)</f>
        <v>54.94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20</v>
      </c>
      <c r="B27" s="218">
        <f>ROUND((IF('Ground Base'!B$154&gt;ROUND(((1-GroundResDiscount11to20-GroundResIncentive)*'Ground Base'!B22),2),ROUND(('Ground Base'!B$154+GroundResidentialFee)*(1+GroundFuelSurcharge),2),ROUND((((1-GroundResDiscount11to20-GroundResIncentive)*'Ground Base'!B22)+GroundResidentialFee)*(1+GroundFuelSurcharge),2)))*(1+FedEx_Markup),2)</f>
        <v>19.02</v>
      </c>
      <c r="C27" s="218">
        <f>ROUND((IF('Ground Base'!C$154&gt;ROUND(((1-GroundResDiscount11to20-GroundResIncentive)*'Ground Base'!C22),2),ROUND(('Ground Base'!C$154+GroundResidentialFee)*(1+GroundFuelSurcharge),2),ROUND((((1-GroundResDiscount11to20-GroundResIncentive)*'Ground Base'!C22)+GroundResidentialFee)*(1+GroundFuelSurcharge),2)))*(1+FedEx_Markup),2)</f>
        <v>19.02</v>
      </c>
      <c r="D27" s="218">
        <f>ROUND((IF('Ground Base'!D$154&gt;ROUND(((1-GroundResDiscount11to20-GroundResIncentive)*'Ground Base'!D22),2),ROUND(('Ground Base'!D$154+GroundResidentialFee)*(1+GroundFuelSurcharge),2),ROUND((((1-GroundResDiscount11to20-GroundResIncentive)*'Ground Base'!D22)+GroundResidentialFee)*(1+GroundFuelSurcharge),2)))*(1+FedEx_Markup),2)</f>
        <v>19.02</v>
      </c>
      <c r="E27" s="218">
        <f>ROUND((IF('Ground Base'!E$154&gt;ROUND(((1-GroundResDiscount11to20-GroundResIncentive)*'Ground Base'!E22),2),ROUND(('Ground Base'!E$154+GroundResidentialFee)*(1+GroundFuelSurcharge),2),ROUND((((1-GroundResDiscount11to20-GroundResIncentive)*'Ground Base'!E22)+GroundResidentialFee)*(1+GroundFuelSurcharge),2)))*(1+FedEx_Markup),2)</f>
        <v>22.6</v>
      </c>
      <c r="F27" s="218">
        <f>ROUND((IF('Ground Base'!F$154&gt;ROUND(((1-GroundResDiscount11to20-GroundResIncentive)*'Ground Base'!F22),2),ROUND(('Ground Base'!F$154+GroundResidentialFee)*(1+GroundFuelSurcharge),2),ROUND((((1-GroundResDiscount11to20-GroundResIncentive)*'Ground Base'!F22)+GroundResidentialFee)*(1+GroundFuelSurcharge),2)))*(1+FedEx_Markup),2)</f>
        <v>25.78</v>
      </c>
      <c r="G27" s="218">
        <f>ROUND((IF('Ground Base'!G$154&gt;ROUND(((1-GroundResDiscount11to20-GroundResIncentive)*'Ground Base'!G22),2),ROUND(('Ground Base'!G$154+GroundResidentialFee)*(1+GroundFuelSurcharge),2),ROUND((((1-GroundResDiscount11to20-GroundResIncentive)*'Ground Base'!G22)+GroundResidentialFee)*(1+GroundFuelSurcharge),2)))*(1+FedEx_Markup),2)</f>
        <v>30.75</v>
      </c>
      <c r="H27" s="218">
        <f>ROUND((IF('Ground Base'!H$154&gt;ROUND(((1-GroundResDiscount11to20-GroundResIncentive)*'Ground Base'!H22),2),ROUND(('Ground Base'!H$154+GroundResidentialFee)*(1+GroundFuelSurcharge),2),ROUND((((1-GroundResDiscount11to20-GroundResIncentive)*'Ground Base'!H22)+GroundResidentialFee)*(1+GroundFuelSurcharge),2)))*(1+FedEx_Markup),2)</f>
        <v>33.880000000000003</v>
      </c>
      <c r="I27" s="218">
        <f>ROUND((IF('Ground Base'!I$154&gt;ROUND(((1-GroundAKHIDiscount)*'Ground Base'!I22),2),ROUND(('Ground Base'!I$154+GroundResidentialFee)*(1+GroundFuelSurcharge),2),ROUND((((1-GroundAKHIDiscount)*'Ground Base'!I22)+GroundResidentialFee)*(1+GroundFuelSurcharge),2)))*(1+FedEx_Markup),2)</f>
        <v>145.35</v>
      </c>
      <c r="J27" s="218">
        <f>ROUND((IF('Ground Base'!J$154&gt;ROUND(((1-GroundAKHIDiscount)*'Ground Base'!J22),2),ROUND(('Ground Base'!J$154+GroundResidentialFee)*(1+GroundFuelSurcharge),2),ROUND((((1-GroundAKHIDiscount)*'Ground Base'!J22)+GroundResidentialFee)*(1+GroundFuelSurcharge),2)))*(1+FedEx_Markup),2)</f>
        <v>145.35</v>
      </c>
      <c r="K27" s="218">
        <f>ROUND((IF('Ground Base'!K$154&gt;ROUND(((1-GroundZone51Discount)*'Ground Base'!K22),2),ROUND(('Ground Base'!K$154+GroundResidentialFee)*(1+GroundFuelSurcharge),2),ROUND((((1-GroundZone51Discount)*'Ground Base'!K22)+GroundResidentialFee)*(1+GroundFuelSurcharge),2)))*(1+FedEx_Markup),2)</f>
        <v>48.32</v>
      </c>
      <c r="L27" s="218">
        <f>ROUND((IF('Ground Base'!L$154&gt;ROUND(((1-GroundZone54Discount)*'Ground Base'!L22),2),ROUND(('Ground Base'!L$154+GroundResidentialFee)*(1+GroundFuelSurcharge),2),ROUND((((1-GroundZone54Discount)*'Ground Base'!L22)+GroundResidentialFee)*(1+GroundFuelSurcharge),2)))*(1+FedEx_Markup),2)</f>
        <v>56.34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21</v>
      </c>
      <c r="B28" s="218">
        <f>ROUND((IF('Ground Base'!B$154&gt;ROUND(((1-GroundResDiscount21to30-GroundResIncentive)*'Ground Base'!B23),2),ROUND(('Ground Base'!B$154+GroundResidentialFee)*(1+GroundFuelSurcharge),2),ROUND((((1-GroundResDiscount21to30-GroundResIncentive)*'Ground Base'!B23)+GroundResidentialFee)*(1+GroundFuelSurcharge),2)))*(1+FedEx_Markup),2)</f>
        <v>19.02</v>
      </c>
      <c r="C28" s="218">
        <f>ROUND((IF('Ground Base'!C$154&gt;ROUND(((1-GroundResDiscount21to30-GroundResIncentive)*'Ground Base'!C23),2),ROUND(('Ground Base'!C$154+GroundResidentialFee)*(1+GroundFuelSurcharge),2),ROUND((((1-GroundResDiscount21to30-GroundResIncentive)*'Ground Base'!C23)+GroundResidentialFee)*(1+GroundFuelSurcharge),2)))*(1+FedEx_Markup),2)</f>
        <v>19.02</v>
      </c>
      <c r="D28" s="218">
        <f>ROUND((IF('Ground Base'!D$154&gt;ROUND(((1-GroundResDiscount21to30-GroundResIncentive)*'Ground Base'!D23),2),ROUND(('Ground Base'!D$154+GroundResidentialFee)*(1+GroundFuelSurcharge),2),ROUND((((1-GroundResDiscount21to30-GroundResIncentive)*'Ground Base'!D23)+GroundResidentialFee)*(1+GroundFuelSurcharge),2)))*(1+FedEx_Markup),2)</f>
        <v>19.02</v>
      </c>
      <c r="E28" s="218">
        <f>ROUND((IF('Ground Base'!E$154&gt;ROUND(((1-GroundResDiscount21to30-GroundResIncentive)*'Ground Base'!E23),2),ROUND(('Ground Base'!E$154+GroundResidentialFee)*(1+GroundFuelSurcharge),2),ROUND((((1-GroundResDiscount21to30-GroundResIncentive)*'Ground Base'!E23)+GroundResidentialFee)*(1+GroundFuelSurcharge),2)))*(1+FedEx_Markup),2)</f>
        <v>21.02</v>
      </c>
      <c r="F28" s="218">
        <f>ROUND((IF('Ground Base'!F$154&gt;ROUND(((1-GroundResDiscount21to30-GroundResIncentive)*'Ground Base'!F23),2),ROUND(('Ground Base'!F$154+GroundResidentialFee)*(1+GroundFuelSurcharge),2),ROUND((((1-GroundResDiscount21to30-GroundResIncentive)*'Ground Base'!F23)+GroundResidentialFee)*(1+GroundFuelSurcharge),2)))*(1+FedEx_Markup),2)</f>
        <v>24.55</v>
      </c>
      <c r="G28" s="218">
        <f>ROUND((IF('Ground Base'!G$154&gt;ROUND(((1-GroundResDiscount21to30-GroundResIncentive)*'Ground Base'!G23),2),ROUND(('Ground Base'!G$154+GroundResidentialFee)*(1+GroundFuelSurcharge),2),ROUND((((1-GroundResDiscount21to30-GroundResIncentive)*'Ground Base'!G23)+GroundResidentialFee)*(1+GroundFuelSurcharge),2)))*(1+FedEx_Markup),2)</f>
        <v>29.16</v>
      </c>
      <c r="H28" s="218">
        <f>ROUND((IF('Ground Base'!H$154&gt;ROUND(((1-GroundResDiscount21to30-GroundResIncentive)*'Ground Base'!H23),2),ROUND(('Ground Base'!H$154+GroundResidentialFee)*(1+GroundFuelSurcharge),2),ROUND((((1-GroundResDiscount21to30-GroundResIncentive)*'Ground Base'!H23)+GroundResidentialFee)*(1+GroundFuelSurcharge),2)))*(1+FedEx_Markup),2)</f>
        <v>32.19</v>
      </c>
      <c r="I28" s="218">
        <f>ROUND((IF('Ground Base'!I$154&gt;ROUND(((1-GroundAKHIDiscount)*'Ground Base'!I23),2),ROUND(('Ground Base'!I$154+GroundResidentialFee)*(1+GroundFuelSurcharge),2),ROUND((((1-GroundAKHIDiscount)*'Ground Base'!I23)+GroundResidentialFee)*(1+GroundFuelSurcharge),2)))*(1+FedEx_Markup),2)</f>
        <v>148.6</v>
      </c>
      <c r="J28" s="218">
        <f>ROUND((IF('Ground Base'!J$154&gt;ROUND(((1-GroundAKHIDiscount)*'Ground Base'!J23),2),ROUND(('Ground Base'!J$154+GroundResidentialFee)*(1+GroundFuelSurcharge),2),ROUND((((1-GroundAKHIDiscount)*'Ground Base'!J23)+GroundResidentialFee)*(1+GroundFuelSurcharge),2)))*(1+FedEx_Markup),2)</f>
        <v>148.6</v>
      </c>
      <c r="K28" s="218">
        <f>ROUND((IF('Ground Base'!K$154&gt;ROUND(((1-GroundZone51Discount)*'Ground Base'!K23),2),ROUND(('Ground Base'!K$154+GroundResidentialFee)*(1+GroundFuelSurcharge),2),ROUND((((1-GroundZone51Discount)*'Ground Base'!K23)+GroundResidentialFee)*(1+GroundFuelSurcharge),2)))*(1+FedEx_Markup),2)</f>
        <v>49.31</v>
      </c>
      <c r="L28" s="218">
        <f>ROUND((IF('Ground Base'!L$154&gt;ROUND(((1-GroundZone54Discount)*'Ground Base'!L23),2),ROUND(('Ground Base'!L$154+GroundResidentialFee)*(1+GroundFuelSurcharge),2),ROUND((((1-GroundZone54Discount)*'Ground Base'!L23)+GroundResidentialFee)*(1+GroundFuelSurcharge),2)))*(1+FedEx_Markup),2)</f>
        <v>57.68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22</v>
      </c>
      <c r="B29" s="218">
        <f>ROUND((IF('Ground Base'!B$154&gt;ROUND(((1-GroundResDiscount21to30-GroundResIncentive)*'Ground Base'!B24),2),ROUND(('Ground Base'!B$154+GroundResidentialFee)*(1+GroundFuelSurcharge),2),ROUND((((1-GroundResDiscount21to30-GroundResIncentive)*'Ground Base'!B24)+GroundResidentialFee)*(1+GroundFuelSurcharge),2)))*(1+FedEx_Markup),2)</f>
        <v>19.02</v>
      </c>
      <c r="C29" s="218">
        <f>ROUND((IF('Ground Base'!C$154&gt;ROUND(((1-GroundResDiscount21to30-GroundResIncentive)*'Ground Base'!C24),2),ROUND(('Ground Base'!C$154+GroundResidentialFee)*(1+GroundFuelSurcharge),2),ROUND((((1-GroundResDiscount21to30-GroundResIncentive)*'Ground Base'!C24)+GroundResidentialFee)*(1+GroundFuelSurcharge),2)))*(1+FedEx_Markup),2)</f>
        <v>19.02</v>
      </c>
      <c r="D29" s="218">
        <f>ROUND((IF('Ground Base'!D$154&gt;ROUND(((1-GroundResDiscount21to30-GroundResIncentive)*'Ground Base'!D24),2),ROUND(('Ground Base'!D$154+GroundResidentialFee)*(1+GroundFuelSurcharge),2),ROUND((((1-GroundResDiscount21to30-GroundResIncentive)*'Ground Base'!D24)+GroundResidentialFee)*(1+GroundFuelSurcharge),2)))*(1+FedEx_Markup),2)</f>
        <v>19.02</v>
      </c>
      <c r="E29" s="218">
        <f>ROUND((IF('Ground Base'!E$154&gt;ROUND(((1-GroundResDiscount21to30-GroundResIncentive)*'Ground Base'!E24),2),ROUND(('Ground Base'!E$154+GroundResidentialFee)*(1+GroundFuelSurcharge),2),ROUND((((1-GroundResDiscount21to30-GroundResIncentive)*'Ground Base'!E24)+GroundResidentialFee)*(1+GroundFuelSurcharge),2)))*(1+FedEx_Markup),2)</f>
        <v>21.52</v>
      </c>
      <c r="F29" s="218">
        <f>ROUND((IF('Ground Base'!F$154&gt;ROUND(((1-GroundResDiscount21to30-GroundResIncentive)*'Ground Base'!F24),2),ROUND(('Ground Base'!F$154+GroundResidentialFee)*(1+GroundFuelSurcharge),2),ROUND((((1-GroundResDiscount21to30-GroundResIncentive)*'Ground Base'!F24)+GroundResidentialFee)*(1+GroundFuelSurcharge),2)))*(1+FedEx_Markup),2)</f>
        <v>25.42</v>
      </c>
      <c r="G29" s="218">
        <f>ROUND((IF('Ground Base'!G$154&gt;ROUND(((1-GroundResDiscount21to30-GroundResIncentive)*'Ground Base'!G24),2),ROUND(('Ground Base'!G$154+GroundResidentialFee)*(1+GroundFuelSurcharge),2),ROUND((((1-GroundResDiscount21to30-GroundResIncentive)*'Ground Base'!G24)+GroundResidentialFee)*(1+GroundFuelSurcharge),2)))*(1+FedEx_Markup),2)</f>
        <v>29.87</v>
      </c>
      <c r="H29" s="218">
        <f>ROUND((IF('Ground Base'!H$154&gt;ROUND(((1-GroundResDiscount21to30-GroundResIncentive)*'Ground Base'!H24),2),ROUND(('Ground Base'!H$154+GroundResidentialFee)*(1+GroundFuelSurcharge),2),ROUND((((1-GroundResDiscount21to30-GroundResIncentive)*'Ground Base'!H24)+GroundResidentialFee)*(1+GroundFuelSurcharge),2)))*(1+FedEx_Markup),2)</f>
        <v>33.18</v>
      </c>
      <c r="I29" s="218">
        <f>ROUND((IF('Ground Base'!I$154&gt;ROUND(((1-GroundAKHIDiscount)*'Ground Base'!I24),2),ROUND(('Ground Base'!I$154+GroundResidentialFee)*(1+GroundFuelSurcharge),2),ROUND((((1-GroundAKHIDiscount)*'Ground Base'!I24)+GroundResidentialFee)*(1+GroundFuelSurcharge),2)))*(1+FedEx_Markup),2)</f>
        <v>153.15</v>
      </c>
      <c r="J29" s="218">
        <f>ROUND((IF('Ground Base'!J$154&gt;ROUND(((1-GroundAKHIDiscount)*'Ground Base'!J24),2),ROUND(('Ground Base'!J$154+GroundResidentialFee)*(1+GroundFuelSurcharge),2),ROUND((((1-GroundAKHIDiscount)*'Ground Base'!J24)+GroundResidentialFee)*(1+GroundFuelSurcharge),2)))*(1+FedEx_Markup),2)</f>
        <v>153.15</v>
      </c>
      <c r="K29" s="218">
        <f>ROUND((IF('Ground Base'!K$154&gt;ROUND(((1-GroundZone51Discount)*'Ground Base'!K24),2),ROUND(('Ground Base'!K$154+GroundResidentialFee)*(1+GroundFuelSurcharge),2),ROUND((((1-GroundZone51Discount)*'Ground Base'!K24)+GroundResidentialFee)*(1+GroundFuelSurcharge),2)))*(1+FedEx_Markup),2)</f>
        <v>50.7</v>
      </c>
      <c r="L29" s="218">
        <f>ROUND((IF('Ground Base'!L$154&gt;ROUND(((1-GroundZone54Discount)*'Ground Base'!L24),2),ROUND(('Ground Base'!L$154+GroundResidentialFee)*(1+GroundFuelSurcharge),2),ROUND((((1-GroundZone54Discount)*'Ground Base'!L24)+GroundResidentialFee)*(1+GroundFuelSurcharge),2)))*(1+FedEx_Markup),2)</f>
        <v>59.27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23</v>
      </c>
      <c r="B30" s="218">
        <f>ROUND((IF('Ground Base'!B$154&gt;ROUND(((1-GroundResDiscount21to30-GroundResIncentive)*'Ground Base'!B25),2),ROUND(('Ground Base'!B$154+GroundResidentialFee)*(1+GroundFuelSurcharge),2),ROUND((((1-GroundResDiscount21to30-GroundResIncentive)*'Ground Base'!B25)+GroundResidentialFee)*(1+GroundFuelSurcharge),2)))*(1+FedEx_Markup),2)</f>
        <v>19.02</v>
      </c>
      <c r="C30" s="218">
        <f>ROUND((IF('Ground Base'!C$154&gt;ROUND(((1-GroundResDiscount21to30-GroundResIncentive)*'Ground Base'!C25),2),ROUND(('Ground Base'!C$154+GroundResidentialFee)*(1+GroundFuelSurcharge),2),ROUND((((1-GroundResDiscount21to30-GroundResIncentive)*'Ground Base'!C25)+GroundResidentialFee)*(1+GroundFuelSurcharge),2)))*(1+FedEx_Markup),2)</f>
        <v>19.02</v>
      </c>
      <c r="D30" s="218">
        <f>ROUND((IF('Ground Base'!D$154&gt;ROUND(((1-GroundResDiscount21to30-GroundResIncentive)*'Ground Base'!D25),2),ROUND(('Ground Base'!D$154+GroundResidentialFee)*(1+GroundFuelSurcharge),2),ROUND((((1-GroundResDiscount21to30-GroundResIncentive)*'Ground Base'!D25)+GroundResidentialFee)*(1+GroundFuelSurcharge),2)))*(1+FedEx_Markup),2)</f>
        <v>19.190000000000001</v>
      </c>
      <c r="E30" s="218">
        <f>ROUND((IF('Ground Base'!E$154&gt;ROUND(((1-GroundResDiscount21to30-GroundResIncentive)*'Ground Base'!E25),2),ROUND(('Ground Base'!E$154+GroundResidentialFee)*(1+GroundFuelSurcharge),2),ROUND((((1-GroundResDiscount21to30-GroundResIncentive)*'Ground Base'!E25)+GroundResidentialFee)*(1+GroundFuelSurcharge),2)))*(1+FedEx_Markup),2)</f>
        <v>22.03</v>
      </c>
      <c r="F30" s="218">
        <f>ROUND((IF('Ground Base'!F$154&gt;ROUND(((1-GroundResDiscount21to30-GroundResIncentive)*'Ground Base'!F25),2),ROUND(('Ground Base'!F$154+GroundResidentialFee)*(1+GroundFuelSurcharge),2),ROUND((((1-GroundResDiscount21to30-GroundResIncentive)*'Ground Base'!F25)+GroundResidentialFee)*(1+GroundFuelSurcharge),2)))*(1+FedEx_Markup),2)</f>
        <v>26.25</v>
      </c>
      <c r="G30" s="218">
        <f>ROUND((IF('Ground Base'!G$154&gt;ROUND(((1-GroundResDiscount21to30-GroundResIncentive)*'Ground Base'!G25),2),ROUND(('Ground Base'!G$154+GroundResidentialFee)*(1+GroundFuelSurcharge),2),ROUND((((1-GroundResDiscount21to30-GroundResIncentive)*'Ground Base'!G25)+GroundResidentialFee)*(1+GroundFuelSurcharge),2)))*(1+FedEx_Markup),2)</f>
        <v>30.77</v>
      </c>
      <c r="H30" s="218">
        <f>ROUND((IF('Ground Base'!H$154&gt;ROUND(((1-GroundResDiscount21to30-GroundResIncentive)*'Ground Base'!H25),2),ROUND(('Ground Base'!H$154+GroundResidentialFee)*(1+GroundFuelSurcharge),2),ROUND((((1-GroundResDiscount21to30-GroundResIncentive)*'Ground Base'!H25)+GroundResidentialFee)*(1+GroundFuelSurcharge),2)))*(1+FedEx_Markup),2)</f>
        <v>34.65</v>
      </c>
      <c r="I30" s="218">
        <f>ROUND((IF('Ground Base'!I$154&gt;ROUND(((1-GroundAKHIDiscount)*'Ground Base'!I25),2),ROUND(('Ground Base'!I$154+GroundResidentialFee)*(1+GroundFuelSurcharge),2),ROUND((((1-GroundAKHIDiscount)*'Ground Base'!I25)+GroundResidentialFee)*(1+GroundFuelSurcharge),2)))*(1+FedEx_Markup),2)</f>
        <v>157.66999999999999</v>
      </c>
      <c r="J30" s="218">
        <f>ROUND((IF('Ground Base'!J$154&gt;ROUND(((1-GroundAKHIDiscount)*'Ground Base'!J25),2),ROUND(('Ground Base'!J$154+GroundResidentialFee)*(1+GroundFuelSurcharge),2),ROUND((((1-GroundAKHIDiscount)*'Ground Base'!J25)+GroundResidentialFee)*(1+GroundFuelSurcharge),2)))*(1+FedEx_Markup),2)</f>
        <v>157.66999999999999</v>
      </c>
      <c r="K30" s="218">
        <f>ROUND((IF('Ground Base'!K$154&gt;ROUND(((1-GroundZone51Discount)*'Ground Base'!K25),2),ROUND(('Ground Base'!K$154+GroundResidentialFee)*(1+GroundFuelSurcharge),2),ROUND((((1-GroundZone51Discount)*'Ground Base'!K25)+GroundResidentialFee)*(1+GroundFuelSurcharge),2)))*(1+FedEx_Markup),2)</f>
        <v>51.88</v>
      </c>
      <c r="L30" s="218">
        <f>ROUND((IF('Ground Base'!L$154&gt;ROUND(((1-GroundZone54Discount)*'Ground Base'!L25),2),ROUND(('Ground Base'!L$154+GroundResidentialFee)*(1+GroundFuelSurcharge),2),ROUND((((1-GroundZone54Discount)*'Ground Base'!L25)+GroundResidentialFee)*(1+GroundFuelSurcharge),2)))*(1+FedEx_Markup),2)</f>
        <v>60.66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24</v>
      </c>
      <c r="B31" s="218">
        <f>ROUND((IF('Ground Base'!B$154&gt;ROUND(((1-GroundResDiscount21to30-GroundResIncentive)*'Ground Base'!B26),2),ROUND(('Ground Base'!B$154+GroundResidentialFee)*(1+GroundFuelSurcharge),2),ROUND((((1-GroundResDiscount21to30-GroundResIncentive)*'Ground Base'!B26)+GroundResidentialFee)*(1+GroundFuelSurcharge),2)))*(1+FedEx_Markup),2)</f>
        <v>19.02</v>
      </c>
      <c r="C31" s="218">
        <f>ROUND((IF('Ground Base'!C$154&gt;ROUND(((1-GroundResDiscount21to30-GroundResIncentive)*'Ground Base'!C26),2),ROUND(('Ground Base'!C$154+GroundResidentialFee)*(1+GroundFuelSurcharge),2),ROUND((((1-GroundResDiscount21to30-GroundResIncentive)*'Ground Base'!C26)+GroundResidentialFee)*(1+GroundFuelSurcharge),2)))*(1+FedEx_Markup),2)</f>
        <v>19.02</v>
      </c>
      <c r="D31" s="218">
        <f>ROUND((IF('Ground Base'!D$154&gt;ROUND(((1-GroundResDiscount21to30-GroundResIncentive)*'Ground Base'!D26),2),ROUND(('Ground Base'!D$154+GroundResidentialFee)*(1+GroundFuelSurcharge),2),ROUND((((1-GroundResDiscount21to30-GroundResIncentive)*'Ground Base'!D26)+GroundResidentialFee)*(1+GroundFuelSurcharge),2)))*(1+FedEx_Markup),2)</f>
        <v>19.86</v>
      </c>
      <c r="E31" s="218">
        <f>ROUND((IF('Ground Base'!E$154&gt;ROUND(((1-GroundResDiscount21to30-GroundResIncentive)*'Ground Base'!E26),2),ROUND(('Ground Base'!E$154+GroundResidentialFee)*(1+GroundFuelSurcharge),2),ROUND((((1-GroundResDiscount21to30-GroundResIncentive)*'Ground Base'!E26)+GroundResidentialFee)*(1+GroundFuelSurcharge),2)))*(1+FedEx_Markup),2)</f>
        <v>23.03</v>
      </c>
      <c r="F31" s="218">
        <f>ROUND((IF('Ground Base'!F$154&gt;ROUND(((1-GroundResDiscount21to30-GroundResIncentive)*'Ground Base'!F26),2),ROUND(('Ground Base'!F$154+GroundResidentialFee)*(1+GroundFuelSurcharge),2),ROUND((((1-GroundResDiscount21to30-GroundResIncentive)*'Ground Base'!F26)+GroundResidentialFee)*(1+GroundFuelSurcharge),2)))*(1+FedEx_Markup),2)</f>
        <v>27.35</v>
      </c>
      <c r="G31" s="218">
        <f>ROUND((IF('Ground Base'!G$154&gt;ROUND(((1-GroundResDiscount21to30-GroundResIncentive)*'Ground Base'!G26),2),ROUND(('Ground Base'!G$154+GroundResidentialFee)*(1+GroundFuelSurcharge),2),ROUND((((1-GroundResDiscount21to30-GroundResIncentive)*'Ground Base'!G26)+GroundResidentialFee)*(1+GroundFuelSurcharge),2)))*(1+FedEx_Markup),2)</f>
        <v>31.69</v>
      </c>
      <c r="H31" s="218">
        <f>ROUND((IF('Ground Base'!H$154&gt;ROUND(((1-GroundResDiscount21to30-GroundResIncentive)*'Ground Base'!H26),2),ROUND(('Ground Base'!H$154+GroundResidentialFee)*(1+GroundFuelSurcharge),2),ROUND((((1-GroundResDiscount21to30-GroundResIncentive)*'Ground Base'!H26)+GroundResidentialFee)*(1+GroundFuelSurcharge),2)))*(1+FedEx_Markup),2)</f>
        <v>36.44</v>
      </c>
      <c r="I31" s="218">
        <f>ROUND((IF('Ground Base'!I$154&gt;ROUND(((1-GroundAKHIDiscount)*'Ground Base'!I26),2),ROUND(('Ground Base'!I$154+GroundResidentialFee)*(1+GroundFuelSurcharge),2),ROUND((((1-GroundAKHIDiscount)*'Ground Base'!I26)+GroundResidentialFee)*(1+GroundFuelSurcharge),2)))*(1+FedEx_Markup),2)</f>
        <v>162.74</v>
      </c>
      <c r="J31" s="218">
        <f>ROUND((IF('Ground Base'!J$154&gt;ROUND(((1-GroundAKHIDiscount)*'Ground Base'!J26),2),ROUND(('Ground Base'!J$154+GroundResidentialFee)*(1+GroundFuelSurcharge),2),ROUND((((1-GroundAKHIDiscount)*'Ground Base'!J26)+GroundResidentialFee)*(1+GroundFuelSurcharge),2)))*(1+FedEx_Markup),2)</f>
        <v>162.74</v>
      </c>
      <c r="K31" s="218">
        <f>ROUND((IF('Ground Base'!K$154&gt;ROUND(((1-GroundZone51Discount)*'Ground Base'!K26),2),ROUND(('Ground Base'!K$154+GroundResidentialFee)*(1+GroundFuelSurcharge),2),ROUND((((1-GroundZone51Discount)*'Ground Base'!K26)+GroundResidentialFee)*(1+GroundFuelSurcharge),2)))*(1+FedEx_Markup),2)</f>
        <v>53.12</v>
      </c>
      <c r="L31" s="218">
        <f>ROUND((IF('Ground Base'!L$154&gt;ROUND(((1-GroundZone54Discount)*'Ground Base'!L26),2),ROUND(('Ground Base'!L$154+GroundResidentialFee)*(1+GroundFuelSurcharge),2),ROUND((((1-GroundZone54Discount)*'Ground Base'!L26)+GroundResidentialFee)*(1+GroundFuelSurcharge),2)))*(1+FedEx_Markup),2)</f>
        <v>62.05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25</v>
      </c>
      <c r="B32" s="218">
        <f>ROUND((IF('Ground Base'!B$154&gt;ROUND(((1-GroundResDiscount21to30-GroundResIncentive)*'Ground Base'!B27),2),ROUND(('Ground Base'!B$154+GroundResidentialFee)*(1+GroundFuelSurcharge),2),ROUND((((1-GroundResDiscount21to30-GroundResIncentive)*'Ground Base'!B27)+GroundResidentialFee)*(1+GroundFuelSurcharge),2)))*(1+FedEx_Markup),2)</f>
        <v>19.02</v>
      </c>
      <c r="C32" s="218">
        <f>ROUND((IF('Ground Base'!C$154&gt;ROUND(((1-GroundResDiscount21to30-GroundResIncentive)*'Ground Base'!C27),2),ROUND(('Ground Base'!C$154+GroundResidentialFee)*(1+GroundFuelSurcharge),2),ROUND((((1-GroundResDiscount21to30-GroundResIncentive)*'Ground Base'!C27)+GroundResidentialFee)*(1+GroundFuelSurcharge),2)))*(1+FedEx_Markup),2)</f>
        <v>19.02</v>
      </c>
      <c r="D32" s="218">
        <f>ROUND((IF('Ground Base'!D$154&gt;ROUND(((1-GroundResDiscount21to30-GroundResIncentive)*'Ground Base'!D27),2),ROUND(('Ground Base'!D$154+GroundResidentialFee)*(1+GroundFuelSurcharge),2),ROUND((((1-GroundResDiscount21to30-GroundResIncentive)*'Ground Base'!D27)+GroundResidentialFee)*(1+GroundFuelSurcharge),2)))*(1+FedEx_Markup),2)</f>
        <v>19.940000000000001</v>
      </c>
      <c r="E32" s="218">
        <f>ROUND((IF('Ground Base'!E$154&gt;ROUND(((1-GroundResDiscount21to30-GroundResIncentive)*'Ground Base'!E27),2),ROUND(('Ground Base'!E$154+GroundResidentialFee)*(1+GroundFuelSurcharge),2),ROUND((((1-GroundResDiscount21to30-GroundResIncentive)*'Ground Base'!E27)+GroundResidentialFee)*(1+GroundFuelSurcharge),2)))*(1+FedEx_Markup),2)</f>
        <v>23.41</v>
      </c>
      <c r="F32" s="218">
        <f>ROUND((IF('Ground Base'!F$154&gt;ROUND(((1-GroundResDiscount21to30-GroundResIncentive)*'Ground Base'!F27),2),ROUND(('Ground Base'!F$154+GroundResidentialFee)*(1+GroundFuelSurcharge),2),ROUND((((1-GroundResDiscount21to30-GroundResIncentive)*'Ground Base'!F27)+GroundResidentialFee)*(1+GroundFuelSurcharge),2)))*(1+FedEx_Markup),2)</f>
        <v>28.04</v>
      </c>
      <c r="G32" s="218">
        <f>ROUND((IF('Ground Base'!G$154&gt;ROUND(((1-GroundResDiscount21to30-GroundResIncentive)*'Ground Base'!G27),2),ROUND(('Ground Base'!G$154+GroundResidentialFee)*(1+GroundFuelSurcharge),2),ROUND((((1-GroundResDiscount21to30-GroundResIncentive)*'Ground Base'!G27)+GroundResidentialFee)*(1+GroundFuelSurcharge),2)))*(1+FedEx_Markup),2)</f>
        <v>33.26</v>
      </c>
      <c r="H32" s="218">
        <f>ROUND((IF('Ground Base'!H$154&gt;ROUND(((1-GroundResDiscount21to30-GroundResIncentive)*'Ground Base'!H27),2),ROUND(('Ground Base'!H$154+GroundResidentialFee)*(1+GroundFuelSurcharge),2),ROUND((((1-GroundResDiscount21to30-GroundResIncentive)*'Ground Base'!H27)+GroundResidentialFee)*(1+GroundFuelSurcharge),2)))*(1+FedEx_Markup),2)</f>
        <v>37.47</v>
      </c>
      <c r="I32" s="218">
        <f>ROUND((IF('Ground Base'!I$154&gt;ROUND(((1-GroundAKHIDiscount)*'Ground Base'!I27),2),ROUND(('Ground Base'!I$154+GroundResidentialFee)*(1+GroundFuelSurcharge),2),ROUND((((1-GroundAKHIDiscount)*'Ground Base'!I27)+GroundResidentialFee)*(1+GroundFuelSurcharge),2)))*(1+FedEx_Markup),2)</f>
        <v>167.66</v>
      </c>
      <c r="J32" s="218">
        <f>ROUND((IF('Ground Base'!J$154&gt;ROUND(((1-GroundAKHIDiscount)*'Ground Base'!J27),2),ROUND(('Ground Base'!J$154+GroundResidentialFee)*(1+GroundFuelSurcharge),2),ROUND((((1-GroundAKHIDiscount)*'Ground Base'!J27)+GroundResidentialFee)*(1+GroundFuelSurcharge),2)))*(1+FedEx_Markup),2)</f>
        <v>167.66</v>
      </c>
      <c r="K32" s="218">
        <f>ROUND((IF('Ground Base'!K$154&gt;ROUND(((1-GroundZone51Discount)*'Ground Base'!K27),2),ROUND(('Ground Base'!K$154+GroundResidentialFee)*(1+GroundFuelSurcharge),2),ROUND((((1-GroundZone51Discount)*'Ground Base'!K27)+GroundResidentialFee)*(1+GroundFuelSurcharge),2)))*(1+FedEx_Markup),2)</f>
        <v>54.1</v>
      </c>
      <c r="L32" s="218">
        <f>ROUND((IF('Ground Base'!L$154&gt;ROUND(((1-GroundZone54Discount)*'Ground Base'!L27),2),ROUND(('Ground Base'!L$154+GroundResidentialFee)*(1+GroundFuelSurcharge),2),ROUND((((1-GroundZone54Discount)*'Ground Base'!L27)+GroundResidentialFee)*(1+GroundFuelSurcharge),2)))*(1+FedEx_Markup),2)</f>
        <v>63.47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26</v>
      </c>
      <c r="B33" s="218">
        <f>ROUND((IF('Ground Base'!B$154&gt;ROUND(((1-GroundResDiscount21to30-GroundResIncentive)*'Ground Base'!B28),2),ROUND(('Ground Base'!B$154+GroundResidentialFee)*(1+GroundFuelSurcharge),2),ROUND((((1-GroundResDiscount21to30-GroundResIncentive)*'Ground Base'!B28)+GroundResidentialFee)*(1+GroundFuelSurcharge),2)))*(1+FedEx_Markup),2)</f>
        <v>19.02</v>
      </c>
      <c r="C33" s="218">
        <f>ROUND((IF('Ground Base'!C$154&gt;ROUND(((1-GroundResDiscount21to30-GroundResIncentive)*'Ground Base'!C28),2),ROUND(('Ground Base'!C$154+GroundResidentialFee)*(1+GroundFuelSurcharge),2),ROUND((((1-GroundResDiscount21to30-GroundResIncentive)*'Ground Base'!C28)+GroundResidentialFee)*(1+GroundFuelSurcharge),2)))*(1+FedEx_Markup),2)</f>
        <v>19.34</v>
      </c>
      <c r="D33" s="218">
        <f>ROUND((IF('Ground Base'!D$154&gt;ROUND(((1-GroundResDiscount21to30-GroundResIncentive)*'Ground Base'!D28),2),ROUND(('Ground Base'!D$154+GroundResidentialFee)*(1+GroundFuelSurcharge),2),ROUND((((1-GroundResDiscount21to30-GroundResIncentive)*'Ground Base'!D28)+GroundResidentialFee)*(1+GroundFuelSurcharge),2)))*(1+FedEx_Markup),2)</f>
        <v>20.63</v>
      </c>
      <c r="E33" s="218">
        <f>ROUND((IF('Ground Base'!E$154&gt;ROUND(((1-GroundResDiscount21to30-GroundResIncentive)*'Ground Base'!E28),2),ROUND(('Ground Base'!E$154+GroundResidentialFee)*(1+GroundFuelSurcharge),2),ROUND((((1-GroundResDiscount21to30-GroundResIncentive)*'Ground Base'!E28)+GroundResidentialFee)*(1+GroundFuelSurcharge),2)))*(1+FedEx_Markup),2)</f>
        <v>24.23</v>
      </c>
      <c r="F33" s="218">
        <f>ROUND((IF('Ground Base'!F$154&gt;ROUND(((1-GroundResDiscount21to30-GroundResIncentive)*'Ground Base'!F28),2),ROUND(('Ground Base'!F$154+GroundResidentialFee)*(1+GroundFuelSurcharge),2),ROUND((((1-GroundResDiscount21to30-GroundResIncentive)*'Ground Base'!F28)+GroundResidentialFee)*(1+GroundFuelSurcharge),2)))*(1+FedEx_Markup),2)</f>
        <v>28.95</v>
      </c>
      <c r="G33" s="218">
        <f>ROUND((IF('Ground Base'!G$154&gt;ROUND(((1-GroundResDiscount21to30-GroundResIncentive)*'Ground Base'!G28),2),ROUND(('Ground Base'!G$154+GroundResidentialFee)*(1+GroundFuelSurcharge),2),ROUND((((1-GroundResDiscount21to30-GroundResIncentive)*'Ground Base'!G28)+GroundResidentialFee)*(1+GroundFuelSurcharge),2)))*(1+FedEx_Markup),2)</f>
        <v>34.479999999999997</v>
      </c>
      <c r="H33" s="218">
        <f>ROUND((IF('Ground Base'!H$154&gt;ROUND(((1-GroundResDiscount21to30-GroundResIncentive)*'Ground Base'!H28),2),ROUND(('Ground Base'!H$154+GroundResidentialFee)*(1+GroundFuelSurcharge),2),ROUND((((1-GroundResDiscount21to30-GroundResIncentive)*'Ground Base'!H28)+GroundResidentialFee)*(1+GroundFuelSurcharge),2)))*(1+FedEx_Markup),2)</f>
        <v>38.880000000000003</v>
      </c>
      <c r="I33" s="218">
        <f>ROUND((IF('Ground Base'!I$154&gt;ROUND(((1-GroundAKHIDiscount)*'Ground Base'!I28),2),ROUND(('Ground Base'!I$154+GroundResidentialFee)*(1+GroundFuelSurcharge),2),ROUND((((1-GroundAKHIDiscount)*'Ground Base'!I28)+GroundResidentialFee)*(1+GroundFuelSurcharge),2)))*(1+FedEx_Markup),2)</f>
        <v>172.87</v>
      </c>
      <c r="J33" s="218">
        <f>ROUND((IF('Ground Base'!J$154&gt;ROUND(((1-GroundAKHIDiscount)*'Ground Base'!J28),2),ROUND(('Ground Base'!J$154+GroundResidentialFee)*(1+GroundFuelSurcharge),2),ROUND((((1-GroundAKHIDiscount)*'Ground Base'!J28)+GroundResidentialFee)*(1+GroundFuelSurcharge),2)))*(1+FedEx_Markup),2)</f>
        <v>172.87</v>
      </c>
      <c r="K33" s="218">
        <f>ROUND((IF('Ground Base'!K$154&gt;ROUND(((1-GroundZone51Discount)*'Ground Base'!K28),2),ROUND(('Ground Base'!K$154+GroundResidentialFee)*(1+GroundFuelSurcharge),2),ROUND((((1-GroundZone51Discount)*'Ground Base'!K28)+GroundResidentialFee)*(1+GroundFuelSurcharge),2)))*(1+FedEx_Markup),2)</f>
        <v>55.29</v>
      </c>
      <c r="L33" s="218">
        <f>ROUND((IF('Ground Base'!L$154&gt;ROUND(((1-GroundZone54Discount)*'Ground Base'!L28),2),ROUND(('Ground Base'!L$154+GroundResidentialFee)*(1+GroundFuelSurcharge),2),ROUND((((1-GroundZone54Discount)*'Ground Base'!L28)+GroundResidentialFee)*(1+GroundFuelSurcharge),2)))*(1+FedEx_Markup),2)</f>
        <v>65.12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27</v>
      </c>
      <c r="B34" s="218">
        <f>ROUND((IF('Ground Base'!B$154&gt;ROUND(((1-GroundResDiscount21to30-GroundResIncentive)*'Ground Base'!B29),2),ROUND(('Ground Base'!B$154+GroundResidentialFee)*(1+GroundFuelSurcharge),2),ROUND((((1-GroundResDiscount21to30-GroundResIncentive)*'Ground Base'!B29)+GroundResidentialFee)*(1+GroundFuelSurcharge),2)))*(1+FedEx_Markup),2)</f>
        <v>19.02</v>
      </c>
      <c r="C34" s="218">
        <f>ROUND((IF('Ground Base'!C$154&gt;ROUND(((1-GroundResDiscount21to30-GroundResIncentive)*'Ground Base'!C29),2),ROUND(('Ground Base'!C$154+GroundResidentialFee)*(1+GroundFuelSurcharge),2),ROUND((((1-GroundResDiscount21to30-GroundResIncentive)*'Ground Base'!C29)+GroundResidentialFee)*(1+GroundFuelSurcharge),2)))*(1+FedEx_Markup),2)</f>
        <v>19.73</v>
      </c>
      <c r="D34" s="218">
        <f>ROUND((IF('Ground Base'!D$154&gt;ROUND(((1-GroundResDiscount21to30-GroundResIncentive)*'Ground Base'!D29),2),ROUND(('Ground Base'!D$154+GroundResidentialFee)*(1+GroundFuelSurcharge),2),ROUND((((1-GroundResDiscount21to30-GroundResIncentive)*'Ground Base'!D29)+GroundResidentialFee)*(1+GroundFuelSurcharge),2)))*(1+FedEx_Markup),2)</f>
        <v>20.99</v>
      </c>
      <c r="E34" s="218">
        <f>ROUND((IF('Ground Base'!E$154&gt;ROUND(((1-GroundResDiscount21to30-GroundResIncentive)*'Ground Base'!E29),2),ROUND(('Ground Base'!E$154+GroundResidentialFee)*(1+GroundFuelSurcharge),2),ROUND((((1-GroundResDiscount21to30-GroundResIncentive)*'Ground Base'!E29)+GroundResidentialFee)*(1+GroundFuelSurcharge),2)))*(1+FedEx_Markup),2)</f>
        <v>24.38</v>
      </c>
      <c r="F34" s="218">
        <f>ROUND((IF('Ground Base'!F$154&gt;ROUND(((1-GroundResDiscount21to30-GroundResIncentive)*'Ground Base'!F29),2),ROUND(('Ground Base'!F$154+GroundResidentialFee)*(1+GroundFuelSurcharge),2),ROUND((((1-GroundResDiscount21to30-GroundResIncentive)*'Ground Base'!F29)+GroundResidentialFee)*(1+GroundFuelSurcharge),2)))*(1+FedEx_Markup),2)</f>
        <v>29.98</v>
      </c>
      <c r="G34" s="218">
        <f>ROUND((IF('Ground Base'!G$154&gt;ROUND(((1-GroundResDiscount21to30-GroundResIncentive)*'Ground Base'!G29),2),ROUND(('Ground Base'!G$154+GroundResidentialFee)*(1+GroundFuelSurcharge),2),ROUND((((1-GroundResDiscount21to30-GroundResIncentive)*'Ground Base'!G29)+GroundResidentialFee)*(1+GroundFuelSurcharge),2)))*(1+FedEx_Markup),2)</f>
        <v>35.049999999999997</v>
      </c>
      <c r="H34" s="218">
        <f>ROUND((IF('Ground Base'!H$154&gt;ROUND(((1-GroundResDiscount21to30-GroundResIncentive)*'Ground Base'!H29),2),ROUND(('Ground Base'!H$154+GroundResidentialFee)*(1+GroundFuelSurcharge),2),ROUND((((1-GroundResDiscount21to30-GroundResIncentive)*'Ground Base'!H29)+GroundResidentialFee)*(1+GroundFuelSurcharge),2)))*(1+FedEx_Markup),2)</f>
        <v>39.130000000000003</v>
      </c>
      <c r="I34" s="218">
        <f>ROUND((IF('Ground Base'!I$154&gt;ROUND(((1-GroundAKHIDiscount)*'Ground Base'!I29),2),ROUND(('Ground Base'!I$154+GroundResidentialFee)*(1+GroundFuelSurcharge),2),ROUND((((1-GroundAKHIDiscount)*'Ground Base'!I29)+GroundResidentialFee)*(1+GroundFuelSurcharge),2)))*(1+FedEx_Markup),2)</f>
        <v>177.57</v>
      </c>
      <c r="J34" s="218">
        <f>ROUND((IF('Ground Base'!J$154&gt;ROUND(((1-GroundAKHIDiscount)*'Ground Base'!J29),2),ROUND(('Ground Base'!J$154+GroundResidentialFee)*(1+GroundFuelSurcharge),2),ROUND((((1-GroundAKHIDiscount)*'Ground Base'!J29)+GroundResidentialFee)*(1+GroundFuelSurcharge),2)))*(1+FedEx_Markup),2)</f>
        <v>177.57</v>
      </c>
      <c r="K34" s="218">
        <f>ROUND((IF('Ground Base'!K$154&gt;ROUND(((1-GroundZone51Discount)*'Ground Base'!K29),2),ROUND(('Ground Base'!K$154+GroundResidentialFee)*(1+GroundFuelSurcharge),2),ROUND((((1-GroundZone51Discount)*'Ground Base'!K29)+GroundResidentialFee)*(1+GroundFuelSurcharge),2)))*(1+FedEx_Markup),2)</f>
        <v>56.75</v>
      </c>
      <c r="L34" s="218">
        <f>ROUND((IF('Ground Base'!L$154&gt;ROUND(((1-GroundZone54Discount)*'Ground Base'!L29),2),ROUND(('Ground Base'!L$154+GroundResidentialFee)*(1+GroundFuelSurcharge),2),ROUND((((1-GroundZone54Discount)*'Ground Base'!L29)+GroundResidentialFee)*(1+GroundFuelSurcharge),2)))*(1+FedEx_Markup),2)</f>
        <v>66.64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217">
        <v>28</v>
      </c>
      <c r="B35" s="218">
        <f>ROUND((IF('Ground Base'!B$154&gt;ROUND(((1-GroundResDiscount21to30-GroundResIncentive)*'Ground Base'!B30),2),ROUND(('Ground Base'!B$154+GroundResidentialFee)*(1+GroundFuelSurcharge),2),ROUND((((1-GroundResDiscount21to30-GroundResIncentive)*'Ground Base'!B30)+GroundResidentialFee)*(1+GroundFuelSurcharge),2)))*(1+FedEx_Markup),2)</f>
        <v>19.02</v>
      </c>
      <c r="C35" s="218">
        <f>ROUND((IF('Ground Base'!C$154&gt;ROUND(((1-GroundResDiscount21to30-GroundResIncentive)*'Ground Base'!C30),2),ROUND(('Ground Base'!C$154+GroundResidentialFee)*(1+GroundFuelSurcharge),2),ROUND((((1-GroundResDiscount21to30-GroundResIncentive)*'Ground Base'!C30)+GroundResidentialFee)*(1+GroundFuelSurcharge),2)))*(1+FedEx_Markup),2)</f>
        <v>20.13</v>
      </c>
      <c r="D35" s="218">
        <f>ROUND((IF('Ground Base'!D$154&gt;ROUND(((1-GroundResDiscount21to30-GroundResIncentive)*'Ground Base'!D30),2),ROUND(('Ground Base'!D$154+GroundResidentialFee)*(1+GroundFuelSurcharge),2),ROUND((((1-GroundResDiscount21to30-GroundResIncentive)*'Ground Base'!D30)+GroundResidentialFee)*(1+GroundFuelSurcharge),2)))*(1+FedEx_Markup),2)</f>
        <v>21.8</v>
      </c>
      <c r="E35" s="218">
        <f>ROUND((IF('Ground Base'!E$154&gt;ROUND(((1-GroundResDiscount21to30-GroundResIncentive)*'Ground Base'!E30),2),ROUND(('Ground Base'!E$154+GroundResidentialFee)*(1+GroundFuelSurcharge),2),ROUND((((1-GroundResDiscount21to30-GroundResIncentive)*'Ground Base'!E30)+GroundResidentialFee)*(1+GroundFuelSurcharge),2)))*(1+FedEx_Markup),2)</f>
        <v>25.62</v>
      </c>
      <c r="F35" s="218">
        <f>ROUND((IF('Ground Base'!F$154&gt;ROUND(((1-GroundResDiscount21to30-GroundResIncentive)*'Ground Base'!F30),2),ROUND(('Ground Base'!F$154+GroundResidentialFee)*(1+GroundFuelSurcharge),2),ROUND((((1-GroundResDiscount21to30-GroundResIncentive)*'Ground Base'!F30)+GroundResidentialFee)*(1+GroundFuelSurcharge),2)))*(1+FedEx_Markup),2)</f>
        <v>31.28</v>
      </c>
      <c r="G35" s="218">
        <f>ROUND((IF('Ground Base'!G$154&gt;ROUND(((1-GroundResDiscount21to30-GroundResIncentive)*'Ground Base'!G30),2),ROUND(('Ground Base'!G$154+GroundResidentialFee)*(1+GroundFuelSurcharge),2),ROUND((((1-GroundResDiscount21to30-GroundResIncentive)*'Ground Base'!G30)+GroundResidentialFee)*(1+GroundFuelSurcharge),2)))*(1+FedEx_Markup),2)</f>
        <v>36.479999999999997</v>
      </c>
      <c r="H35" s="218">
        <f>ROUND((IF('Ground Base'!H$154&gt;ROUND(((1-GroundResDiscount21to30-GroundResIncentive)*'Ground Base'!H30),2),ROUND(('Ground Base'!H$154+GroundResidentialFee)*(1+GroundFuelSurcharge),2),ROUND((((1-GroundResDiscount21to30-GroundResIncentive)*'Ground Base'!H30)+GroundResidentialFee)*(1+GroundFuelSurcharge),2)))*(1+FedEx_Markup),2)</f>
        <v>40.86</v>
      </c>
      <c r="I35" s="218">
        <f>ROUND((IF('Ground Base'!I$154&gt;ROUND(((1-GroundAKHIDiscount)*'Ground Base'!I30),2),ROUND(('Ground Base'!I$154+GroundResidentialFee)*(1+GroundFuelSurcharge),2),ROUND((((1-GroundAKHIDiscount)*'Ground Base'!I30)+GroundResidentialFee)*(1+GroundFuelSurcharge),2)))*(1+FedEx_Markup),2)</f>
        <v>182.26</v>
      </c>
      <c r="J35" s="218">
        <f>ROUND((IF('Ground Base'!J$154&gt;ROUND(((1-GroundAKHIDiscount)*'Ground Base'!J30),2),ROUND(('Ground Base'!J$154+GroundResidentialFee)*(1+GroundFuelSurcharge),2),ROUND((((1-GroundAKHIDiscount)*'Ground Base'!J30)+GroundResidentialFee)*(1+GroundFuelSurcharge),2)))*(1+FedEx_Markup),2)</f>
        <v>182.26</v>
      </c>
      <c r="K35" s="218">
        <f>ROUND((IF('Ground Base'!K$154&gt;ROUND(((1-GroundZone51Discount)*'Ground Base'!K30),2),ROUND(('Ground Base'!K$154+GroundResidentialFee)*(1+GroundFuelSurcharge),2),ROUND((((1-GroundZone51Discount)*'Ground Base'!K30)+GroundResidentialFee)*(1+GroundFuelSurcharge),2)))*(1+FedEx_Markup),2)</f>
        <v>58.04</v>
      </c>
      <c r="L35" s="218">
        <f>ROUND((IF('Ground Base'!L$154&gt;ROUND(((1-GroundZone54Discount)*'Ground Base'!L30),2),ROUND(('Ground Base'!L$154+GroundResidentialFee)*(1+GroundFuelSurcharge),2),ROUND((((1-GroundZone54Discount)*'Ground Base'!L30)+GroundResidentialFee)*(1+GroundFuelSurcharge),2)))*(1+FedEx_Markup),2)</f>
        <v>68.209999999999994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>
      <c r="A36" s="217">
        <v>29</v>
      </c>
      <c r="B36" s="218">
        <f>ROUND((IF('Ground Base'!B$154&gt;ROUND(((1-GroundResDiscount21to30-GroundResIncentive)*'Ground Base'!B31),2),ROUND(('Ground Base'!B$154+GroundResidentialFee)*(1+GroundFuelSurcharge),2),ROUND((((1-GroundResDiscount21to30-GroundResIncentive)*'Ground Base'!B31)+GroundResidentialFee)*(1+GroundFuelSurcharge),2)))*(1+FedEx_Markup),2)</f>
        <v>19.02</v>
      </c>
      <c r="C36" s="218">
        <f>ROUND((IF('Ground Base'!C$154&gt;ROUND(((1-GroundResDiscount21to30-GroundResIncentive)*'Ground Base'!C31),2),ROUND(('Ground Base'!C$154+GroundResidentialFee)*(1+GroundFuelSurcharge),2),ROUND((((1-GroundResDiscount21to30-GroundResIncentive)*'Ground Base'!C31)+GroundResidentialFee)*(1+GroundFuelSurcharge),2)))*(1+FedEx_Markup),2)</f>
        <v>20.45</v>
      </c>
      <c r="D36" s="218">
        <f>ROUND((IF('Ground Base'!D$154&gt;ROUND(((1-GroundResDiscount21to30-GroundResIncentive)*'Ground Base'!D31),2),ROUND(('Ground Base'!D$154+GroundResidentialFee)*(1+GroundFuelSurcharge),2),ROUND((((1-GroundResDiscount21to30-GroundResIncentive)*'Ground Base'!D31)+GroundResidentialFee)*(1+GroundFuelSurcharge),2)))*(1+FedEx_Markup),2)</f>
        <v>21.97</v>
      </c>
      <c r="E36" s="218">
        <f>ROUND((IF('Ground Base'!E$154&gt;ROUND(((1-GroundResDiscount21to30-GroundResIncentive)*'Ground Base'!E31),2),ROUND(('Ground Base'!E$154+GroundResidentialFee)*(1+GroundFuelSurcharge),2),ROUND((((1-GroundResDiscount21to30-GroundResIncentive)*'Ground Base'!E31)+GroundResidentialFee)*(1+GroundFuelSurcharge),2)))*(1+FedEx_Markup),2)</f>
        <v>25.79</v>
      </c>
      <c r="F36" s="218">
        <f>ROUND((IF('Ground Base'!F$154&gt;ROUND(((1-GroundResDiscount21to30-GroundResIncentive)*'Ground Base'!F31),2),ROUND(('Ground Base'!F$154+GroundResidentialFee)*(1+GroundFuelSurcharge),2),ROUND((((1-GroundResDiscount21to30-GroundResIncentive)*'Ground Base'!F31)+GroundResidentialFee)*(1+GroundFuelSurcharge),2)))*(1+FedEx_Markup),2)</f>
        <v>32.07</v>
      </c>
      <c r="G36" s="218">
        <f>ROUND((IF('Ground Base'!G$154&gt;ROUND(((1-GroundResDiscount21to30-GroundResIncentive)*'Ground Base'!G31),2),ROUND(('Ground Base'!G$154+GroundResidentialFee)*(1+GroundFuelSurcharge),2),ROUND((((1-GroundResDiscount21to30-GroundResIncentive)*'Ground Base'!G31)+GroundResidentialFee)*(1+GroundFuelSurcharge),2)))*(1+FedEx_Markup),2)</f>
        <v>37.24</v>
      </c>
      <c r="H36" s="218">
        <f>ROUND((IF('Ground Base'!H$154&gt;ROUND(((1-GroundResDiscount21to30-GroundResIncentive)*'Ground Base'!H31),2),ROUND(('Ground Base'!H$154+GroundResidentialFee)*(1+GroundFuelSurcharge),2),ROUND((((1-GroundResDiscount21to30-GroundResIncentive)*'Ground Base'!H31)+GroundResidentialFee)*(1+GroundFuelSurcharge),2)))*(1+FedEx_Markup),2)</f>
        <v>41.86</v>
      </c>
      <c r="I36" s="218">
        <f>ROUND((IF('Ground Base'!I$154&gt;ROUND(((1-GroundAKHIDiscount)*'Ground Base'!I31),2),ROUND(('Ground Base'!I$154+GroundResidentialFee)*(1+GroundFuelSurcharge),2),ROUND((((1-GroundAKHIDiscount)*'Ground Base'!I31)+GroundResidentialFee)*(1+GroundFuelSurcharge),2)))*(1+FedEx_Markup),2)</f>
        <v>186.66</v>
      </c>
      <c r="J36" s="218">
        <f>ROUND((IF('Ground Base'!J$154&gt;ROUND(((1-GroundAKHIDiscount)*'Ground Base'!J31),2),ROUND(('Ground Base'!J$154+GroundResidentialFee)*(1+GroundFuelSurcharge),2),ROUND((((1-GroundAKHIDiscount)*'Ground Base'!J31)+GroundResidentialFee)*(1+GroundFuelSurcharge),2)))*(1+FedEx_Markup),2)</f>
        <v>186.66</v>
      </c>
      <c r="K36" s="218">
        <f>ROUND((IF('Ground Base'!K$154&gt;ROUND(((1-GroundZone51Discount)*'Ground Base'!K31),2),ROUND(('Ground Base'!K$154+GroundResidentialFee)*(1+GroundFuelSurcharge),2),ROUND((((1-GroundZone51Discount)*'Ground Base'!K31)+GroundResidentialFee)*(1+GroundFuelSurcharge),2)))*(1+FedEx_Markup),2)</f>
        <v>59.31</v>
      </c>
      <c r="L36" s="218">
        <f>ROUND((IF('Ground Base'!L$154&gt;ROUND(((1-GroundZone54Discount)*'Ground Base'!L31),2),ROUND(('Ground Base'!L$154+GroundResidentialFee)*(1+GroundFuelSurcharge),2),ROUND((((1-GroundZone54Discount)*'Ground Base'!L31)+GroundResidentialFee)*(1+GroundFuelSurcharge),2)))*(1+FedEx_Markup),2)</f>
        <v>69.709999999999994</v>
      </c>
    </row>
    <row r="37" spans="1:26" ht="12.75" customHeight="1">
      <c r="A37" s="217">
        <v>30</v>
      </c>
      <c r="B37" s="218">
        <f>ROUND((IF('Ground Base'!B$154&gt;ROUND(((1-GroundResDiscount21to30-GroundResIncentive)*'Ground Base'!B32),2),ROUND(('Ground Base'!B$154+GroundResidentialFee)*(1+GroundFuelSurcharge),2),ROUND((((1-GroundResDiscount21to30-GroundResIncentive)*'Ground Base'!B32)+GroundResidentialFee)*(1+GroundFuelSurcharge),2)))*(1+FedEx_Markup),2)</f>
        <v>19.02</v>
      </c>
      <c r="C37" s="218">
        <f>ROUND((IF('Ground Base'!C$154&gt;ROUND(((1-GroundResDiscount21to30-GroundResIncentive)*'Ground Base'!C32),2),ROUND(('Ground Base'!C$154+GroundResidentialFee)*(1+GroundFuelSurcharge),2),ROUND((((1-GroundResDiscount21to30-GroundResIncentive)*'Ground Base'!C32)+GroundResidentialFee)*(1+GroundFuelSurcharge),2)))*(1+FedEx_Markup),2)</f>
        <v>20.85</v>
      </c>
      <c r="D37" s="218">
        <f>ROUND((IF('Ground Base'!D$154&gt;ROUND(((1-GroundResDiscount21to30-GroundResIncentive)*'Ground Base'!D32),2),ROUND(('Ground Base'!D$154+GroundResidentialFee)*(1+GroundFuelSurcharge),2),ROUND((((1-GroundResDiscount21to30-GroundResIncentive)*'Ground Base'!D32)+GroundResidentialFee)*(1+GroundFuelSurcharge),2)))*(1+FedEx_Markup),2)</f>
        <v>22.68</v>
      </c>
      <c r="E37" s="218">
        <f>ROUND((IF('Ground Base'!E$154&gt;ROUND(((1-GroundResDiscount21to30-GroundResIncentive)*'Ground Base'!E32),2),ROUND(('Ground Base'!E$154+GroundResidentialFee)*(1+GroundFuelSurcharge),2),ROUND((((1-GroundResDiscount21to30-GroundResIncentive)*'Ground Base'!E32)+GroundResidentialFee)*(1+GroundFuelSurcharge),2)))*(1+FedEx_Markup),2)</f>
        <v>26.51</v>
      </c>
      <c r="F37" s="218">
        <f>ROUND((IF('Ground Base'!F$154&gt;ROUND(((1-GroundResDiscount21to30-GroundResIncentive)*'Ground Base'!F32),2),ROUND(('Ground Base'!F$154+GroundResidentialFee)*(1+GroundFuelSurcharge),2),ROUND((((1-GroundResDiscount21to30-GroundResIncentive)*'Ground Base'!F32)+GroundResidentialFee)*(1+GroundFuelSurcharge),2)))*(1+FedEx_Markup),2)</f>
        <v>32.549999999999997</v>
      </c>
      <c r="G37" s="218">
        <f>ROUND((IF('Ground Base'!G$154&gt;ROUND(((1-GroundResDiscount21to30-GroundResIncentive)*'Ground Base'!G32),2),ROUND(('Ground Base'!G$154+GroundResidentialFee)*(1+GroundFuelSurcharge),2),ROUND((((1-GroundResDiscount21to30-GroundResIncentive)*'Ground Base'!G32)+GroundResidentialFee)*(1+GroundFuelSurcharge),2)))*(1+FedEx_Markup),2)</f>
        <v>37.409999999999997</v>
      </c>
      <c r="H37" s="218">
        <f>ROUND((IF('Ground Base'!H$154&gt;ROUND(((1-GroundResDiscount21to30-GroundResIncentive)*'Ground Base'!H32),2),ROUND(('Ground Base'!H$154+GroundResidentialFee)*(1+GroundFuelSurcharge),2),ROUND((((1-GroundResDiscount21to30-GroundResIncentive)*'Ground Base'!H32)+GroundResidentialFee)*(1+GroundFuelSurcharge),2)))*(1+FedEx_Markup),2)</f>
        <v>43.09</v>
      </c>
      <c r="I37" s="218">
        <f>ROUND((IF('Ground Base'!I$154&gt;ROUND(((1-GroundAKHIDiscount)*'Ground Base'!I32),2),ROUND(('Ground Base'!I$154+GroundResidentialFee)*(1+GroundFuelSurcharge),2),ROUND((((1-GroundAKHIDiscount)*'Ground Base'!I32)+GroundResidentialFee)*(1+GroundFuelSurcharge),2)))*(1+FedEx_Markup),2)</f>
        <v>191.05</v>
      </c>
      <c r="J37" s="218">
        <f>ROUND((IF('Ground Base'!J$154&gt;ROUND(((1-GroundAKHIDiscount)*'Ground Base'!J32),2),ROUND(('Ground Base'!J$154+GroundResidentialFee)*(1+GroundFuelSurcharge),2),ROUND((((1-GroundAKHIDiscount)*'Ground Base'!J32)+GroundResidentialFee)*(1+GroundFuelSurcharge),2)))*(1+FedEx_Markup),2)</f>
        <v>191.05</v>
      </c>
      <c r="K37" s="218">
        <f>ROUND((IF('Ground Base'!K$154&gt;ROUND(((1-GroundZone51Discount)*'Ground Base'!K32),2),ROUND(('Ground Base'!K$154+GroundResidentialFee)*(1+GroundFuelSurcharge),2),ROUND((((1-GroundZone51Discount)*'Ground Base'!K32)+GroundResidentialFee)*(1+GroundFuelSurcharge),2)))*(1+FedEx_Markup),2)</f>
        <v>60.58</v>
      </c>
      <c r="L37" s="218">
        <f>ROUND((IF('Ground Base'!L$154&gt;ROUND(((1-GroundZone54Discount)*'Ground Base'!L32),2),ROUND(('Ground Base'!L$154+GroundResidentialFee)*(1+GroundFuelSurcharge),2),ROUND((((1-GroundZone54Discount)*'Ground Base'!L32)+GroundResidentialFee)*(1+GroundFuelSurcharge),2)))*(1+FedEx_Markup),2)</f>
        <v>71.239999999999995</v>
      </c>
    </row>
    <row r="38" spans="1:26" ht="12.75" customHeight="1">
      <c r="A38" s="217">
        <v>31</v>
      </c>
      <c r="B38" s="218">
        <f ca="1">IFERROR(__xludf.DUMMYFUNCTION("ROUND((IF(SINGLE('Ground Base'!B$154)&gt;ROUND(((1-GroundResDiscount31Up-GroundResIncentive)*'Ground Base'!B33),2),ROUND((SINGLE('Ground Base'!B$154)+GroundResidentialFee)*(1+GroundFuelSurcharge),2),ROUND((((1-GroundResDiscount31Up-GroundResIncentive)*'Groun"&amp;"d Base'!B33)+GroundResidentialFee)*(1+GroundFuelSurcharge),2)))*(1+FedEx_Markup),2)"),19.02)</f>
        <v>19.02</v>
      </c>
      <c r="C38" s="218">
        <f ca="1">IFERROR(__xludf.DUMMYFUNCTION("ROUND((IF(SINGLE('Ground Base'!C$154)&gt;ROUND(((1-GroundResDiscount31Up-GroundResIncentive)*'Ground Base'!C33),2),ROUND((SINGLE('Ground Base'!C$154)+GroundResidentialFee)*(1+GroundFuelSurcharge),2),ROUND((((1-GroundResDiscount31Up-GroundResIncentive)*'Groun"&amp;"d Base'!C33)+GroundResidentialFee)*(1+GroundFuelSurcharge),2)))*(1+FedEx_Markup),2)"),20.44)</f>
        <v>20.440000000000001</v>
      </c>
      <c r="D38" s="218">
        <f ca="1">IFERROR(__xludf.DUMMYFUNCTION("ROUND((IF(SINGLE('Ground Base'!D$154)&gt;ROUND(((1-GroundResDiscount31Up-GroundResIncentive)*'Ground Base'!D33),2),ROUND((SINGLE('Ground Base'!D$154)+GroundResidentialFee)*(1+GroundFuelSurcharge),2),ROUND((((1-GroundResDiscount31Up-GroundResIncentive)*'Groun"&amp;"d Base'!D33)+GroundResidentialFee)*(1+GroundFuelSurcharge),2)))*(1+FedEx_Markup),2)"),22.17)</f>
        <v>22.17</v>
      </c>
      <c r="E38" s="218">
        <f ca="1">IFERROR(__xludf.DUMMYFUNCTION("ROUND((IF(SINGLE('Ground Base'!E$154)&gt;ROUND(((1-GroundResDiscount31Up-GroundResIncentive)*'Ground Base'!E33),2),ROUND((SINGLE('Ground Base'!E$154)+GroundResidentialFee)*(1+GroundFuelSurcharge),2),ROUND((((1-GroundResDiscount31Up-GroundResIncentive)*'Groun"&amp;"d Base'!E33)+GroundResidentialFee)*(1+GroundFuelSurcharge),2)))*(1+FedEx_Markup),2)"),25.74)</f>
        <v>25.74</v>
      </c>
      <c r="F38" s="218">
        <f ca="1">IFERROR(__xludf.DUMMYFUNCTION("ROUND((IF(SINGLE('Ground Base'!F$154)&gt;ROUND(((1-GroundResDiscount31Up-GroundResIncentive)*'Ground Base'!F33),2),ROUND((SINGLE('Ground Base'!F$154)+GroundResidentialFee)*(1+GroundFuelSurcharge),2),ROUND((((1-GroundResDiscount31Up-GroundResIncentive)*'Groun"&amp;"d Base'!F33)+GroundResidentialFee)*(1+GroundFuelSurcharge),2)))*(1+FedEx_Markup),2)"),31.75)</f>
        <v>31.75</v>
      </c>
      <c r="G38" s="218">
        <f ca="1">IFERROR(__xludf.DUMMYFUNCTION("ROUND((IF(SINGLE('Ground Base'!G$154)&gt;ROUND(((1-GroundResDiscount31Up-GroundResIncentive)*'Ground Base'!G33),2),ROUND((SINGLE('Ground Base'!G$154)+GroundResidentialFee)*(1+GroundFuelSurcharge),2),ROUND((((1-GroundResDiscount31Up-GroundResIncentive)*'Groun"&amp;"d Base'!G33)+GroundResidentialFee)*(1+GroundFuelSurcharge),2)))*(1+FedEx_Markup),2)"),36.74)</f>
        <v>36.74</v>
      </c>
      <c r="H38" s="218">
        <f ca="1">IFERROR(__xludf.DUMMYFUNCTION("ROUND((IF(SINGLE('Ground Base'!H$154)&gt;ROUND(((1-GroundResDiscount31Up-GroundResIncentive)*'Ground Base'!H33),2),ROUND((SINGLE('Ground Base'!H$154)+GroundResidentialFee)*(1+GroundFuelSurcharge),2),ROUND((((1-GroundResDiscount31Up-GroundResIncentive)*'Groun"&amp;"d Base'!H33)+GroundResidentialFee)*(1+GroundFuelSurcharge),2)))*(1+FedEx_Markup),2)"),42.49)</f>
        <v>42.49</v>
      </c>
      <c r="I38" s="218">
        <f>ROUND((IF('Ground Base'!I$154&gt;ROUND(((1-GroundAKHIDiscount)*'Ground Base'!I33),2),ROUND(('Ground Base'!I$154+GroundResidentialFee)*(1+GroundFuelSurcharge),2),ROUND((((1-GroundAKHIDiscount)*'Ground Base'!I33)+GroundResidentialFee)*(1+GroundFuelSurcharge),2)))*(1+FedEx_Markup),2)</f>
        <v>191.06</v>
      </c>
      <c r="J38" s="218">
        <f>ROUND((IF('Ground Base'!J$154&gt;ROUND(((1-GroundAKHIDiscount)*'Ground Base'!J33),2),ROUND(('Ground Base'!J$154+GroundResidentialFee)*(1+GroundFuelSurcharge),2),ROUND((((1-GroundAKHIDiscount)*'Ground Base'!J33)+GroundResidentialFee)*(1+GroundFuelSurcharge),2)))*(1+FedEx_Markup),2)</f>
        <v>191.06</v>
      </c>
      <c r="K38" s="218">
        <f>ROUND((IF('Ground Base'!K$154&gt;ROUND(((1-GroundZone51Discount)*'Ground Base'!K33),2),ROUND(('Ground Base'!K$154+GroundResidentialFee)*(1+GroundFuelSurcharge),2),ROUND((((1-GroundZone51Discount)*'Ground Base'!K33)+GroundResidentialFee)*(1+GroundFuelSurcharge),2)))*(1+FedEx_Markup),2)</f>
        <v>61.64</v>
      </c>
      <c r="L38" s="218">
        <f>ROUND((IF('Ground Base'!L$154&gt;ROUND(((1-GroundZone54Discount)*'Ground Base'!L33),2),ROUND(('Ground Base'!L$154+GroundResidentialFee)*(1+GroundFuelSurcharge),2),ROUND((((1-GroundZone54Discount)*'Ground Base'!L33)+GroundResidentialFee)*(1+GroundFuelSurcharge),2)))*(1+FedEx_Markup),2)</f>
        <v>72.86</v>
      </c>
    </row>
    <row r="39" spans="1:26" ht="12.75" customHeight="1">
      <c r="A39" s="217">
        <v>32</v>
      </c>
      <c r="B39" s="218">
        <f ca="1">IFERROR(__xludf.DUMMYFUNCTION("ROUND((IF(SINGLE('Ground Base'!B$154)&gt;ROUND(((1-GroundResDiscount31Up-GroundResIncentive)*'Ground Base'!B34),2),ROUND((SINGLE('Ground Base'!B$154)+GroundResidentialFee)*(1+GroundFuelSurcharge),2),ROUND((((1-GroundResDiscount31Up-GroundResIncentive)*'Groun"&amp;"d Base'!B34)+GroundResidentialFee)*(1+GroundFuelSurcharge),2)))*(1+FedEx_Markup),2)"),19.02)</f>
        <v>19.02</v>
      </c>
      <c r="C39" s="218">
        <f ca="1">IFERROR(__xludf.DUMMYFUNCTION("ROUND((IF(SINGLE('Ground Base'!C$154)&gt;ROUND(((1-GroundResDiscount31Up-GroundResIncentive)*'Ground Base'!C34),2),ROUND((SINGLE('Ground Base'!C$154)+GroundResidentialFee)*(1+GroundFuelSurcharge),2),ROUND((((1-GroundResDiscount31Up-GroundResIncentive)*'Groun"&amp;"d Base'!C34)+GroundResidentialFee)*(1+GroundFuelSurcharge),2)))*(1+FedEx_Markup),2)"),20.44)</f>
        <v>20.440000000000001</v>
      </c>
      <c r="D39" s="218">
        <f ca="1">IFERROR(__xludf.DUMMYFUNCTION("ROUND((IF(SINGLE('Ground Base'!D$154)&gt;ROUND(((1-GroundResDiscount31Up-GroundResIncentive)*'Ground Base'!D34),2),ROUND((SINGLE('Ground Base'!D$154)+GroundResidentialFee)*(1+GroundFuelSurcharge),2),ROUND((((1-GroundResDiscount31Up-GroundResIncentive)*'Groun"&amp;"d Base'!D34)+GroundResidentialFee)*(1+GroundFuelSurcharge),2)))*(1+FedEx_Markup),2)"),22.17)</f>
        <v>22.17</v>
      </c>
      <c r="E39" s="218">
        <f ca="1">IFERROR(__xludf.DUMMYFUNCTION("ROUND((IF(SINGLE('Ground Base'!E$154)&gt;ROUND(((1-GroundResDiscount31Up-GroundResIncentive)*'Ground Base'!E34),2),ROUND((SINGLE('Ground Base'!E$154)+GroundResidentialFee)*(1+GroundFuelSurcharge),2),ROUND((((1-GroundResDiscount31Up-GroundResIncentive)*'Groun"&amp;"d Base'!E34)+GroundResidentialFee)*(1+GroundFuelSurcharge),2)))*(1+FedEx_Markup),2)"),25.74)</f>
        <v>25.74</v>
      </c>
      <c r="F39" s="218">
        <f ca="1">IFERROR(__xludf.DUMMYFUNCTION("ROUND((IF(SINGLE('Ground Base'!F$154)&gt;ROUND(((1-GroundResDiscount31Up-GroundResIncentive)*'Ground Base'!F34),2),ROUND((SINGLE('Ground Base'!F$154)+GroundResidentialFee)*(1+GroundFuelSurcharge),2),ROUND((((1-GroundResDiscount31Up-GroundResIncentive)*'Groun"&amp;"d Base'!F34)+GroundResidentialFee)*(1+GroundFuelSurcharge),2)))*(1+FedEx_Markup),2)"),31.76)</f>
        <v>31.76</v>
      </c>
      <c r="G39" s="218">
        <f ca="1">IFERROR(__xludf.DUMMYFUNCTION("ROUND((IF(SINGLE('Ground Base'!G$154)&gt;ROUND(((1-GroundResDiscount31Up-GroundResIncentive)*'Ground Base'!G34),2),ROUND((SINGLE('Ground Base'!G$154)+GroundResidentialFee)*(1+GroundFuelSurcharge),2),ROUND((((1-GroundResDiscount31Up-GroundResIncentive)*'Groun"&amp;"d Base'!G34)+GroundResidentialFee)*(1+GroundFuelSurcharge),2)))*(1+FedEx_Markup),2)"),36.75)</f>
        <v>36.75</v>
      </c>
      <c r="H39" s="218">
        <f ca="1">IFERROR(__xludf.DUMMYFUNCTION("ROUND((IF(SINGLE('Ground Base'!H$154)&gt;ROUND(((1-GroundResDiscount31Up-GroundResIncentive)*'Ground Base'!H34),2),ROUND((SINGLE('Ground Base'!H$154)+GroundResidentialFee)*(1+GroundFuelSurcharge),2),ROUND((((1-GroundResDiscount31Up-GroundResIncentive)*'Groun"&amp;"d Base'!H34)+GroundResidentialFee)*(1+GroundFuelSurcharge),2)))*(1+FedEx_Markup),2)"),42.93)</f>
        <v>42.93</v>
      </c>
      <c r="I39" s="218">
        <f>ROUND((IF('Ground Base'!I$154&gt;ROUND(((1-GroundAKHIDiscount)*'Ground Base'!I34),2),ROUND(('Ground Base'!I$154+GroundResidentialFee)*(1+GroundFuelSurcharge),2),ROUND((((1-GroundAKHIDiscount)*'Ground Base'!I34)+GroundResidentialFee)*(1+GroundFuelSurcharge),2)))*(1+FedEx_Markup),2)</f>
        <v>191.71</v>
      </c>
      <c r="J39" s="218">
        <f>ROUND((IF('Ground Base'!J$154&gt;ROUND(((1-GroundAKHIDiscount)*'Ground Base'!J34),2),ROUND(('Ground Base'!J$154+GroundResidentialFee)*(1+GroundFuelSurcharge),2),ROUND((((1-GroundAKHIDiscount)*'Ground Base'!J34)+GroundResidentialFee)*(1+GroundFuelSurcharge),2)))*(1+FedEx_Markup),2)</f>
        <v>191.71</v>
      </c>
      <c r="K39" s="218">
        <f>ROUND((IF('Ground Base'!K$154&gt;ROUND(((1-GroundZone51Discount)*'Ground Base'!K34),2),ROUND(('Ground Base'!K$154+GroundResidentialFee)*(1+GroundFuelSurcharge),2),ROUND((((1-GroundZone51Discount)*'Ground Base'!K34)+GroundResidentialFee)*(1+GroundFuelSurcharge),2)))*(1+FedEx_Markup),2)</f>
        <v>62.91</v>
      </c>
      <c r="L39" s="218">
        <f>ROUND((IF('Ground Base'!L$154&gt;ROUND(((1-GroundZone54Discount)*'Ground Base'!L34),2),ROUND(('Ground Base'!L$154+GroundResidentialFee)*(1+GroundFuelSurcharge),2),ROUND((((1-GroundZone54Discount)*'Ground Base'!L34)+GroundResidentialFee)*(1+GroundFuelSurcharge),2)))*(1+FedEx_Markup),2)</f>
        <v>74.42</v>
      </c>
    </row>
    <row r="40" spans="1:26" ht="12.75" customHeight="1">
      <c r="A40" s="217">
        <v>33</v>
      </c>
      <c r="B40" s="218">
        <f ca="1">IFERROR(__xludf.DUMMYFUNCTION("ROUND((IF(SINGLE('Ground Base'!B$154)&gt;ROUND(((1-GroundResDiscount31Up-GroundResIncentive)*'Ground Base'!B35),2),ROUND((SINGLE('Ground Base'!B$154)+GroundResidentialFee)*(1+GroundFuelSurcharge),2),ROUND((((1-GroundResDiscount31Up-GroundResIncentive)*'Groun"&amp;"d Base'!B35)+GroundResidentialFee)*(1+GroundFuelSurcharge),2)))*(1+FedEx_Markup),2)"),19.02)</f>
        <v>19.02</v>
      </c>
      <c r="C40" s="218">
        <f ca="1">IFERROR(__xludf.DUMMYFUNCTION("ROUND((IF(SINGLE('Ground Base'!C$154)&gt;ROUND(((1-GroundResDiscount31Up-GroundResIncentive)*'Ground Base'!C35),2),ROUND((SINGLE('Ground Base'!C$154)+GroundResidentialFee)*(1+GroundFuelSurcharge),2),ROUND((((1-GroundResDiscount31Up-GroundResIncentive)*'Groun"&amp;"d Base'!C35)+GroundResidentialFee)*(1+GroundFuelSurcharge),2)))*(1+FedEx_Markup),2)"),20.69)</f>
        <v>20.69</v>
      </c>
      <c r="D40" s="218">
        <f ca="1">IFERROR(__xludf.DUMMYFUNCTION("ROUND((IF(SINGLE('Ground Base'!D$154)&gt;ROUND(((1-GroundResDiscount31Up-GroundResIncentive)*'Ground Base'!D35),2),ROUND((SINGLE('Ground Base'!D$154)+GroundResidentialFee)*(1+GroundFuelSurcharge),2),ROUND((((1-GroundResDiscount31Up-GroundResIncentive)*'Groun"&amp;"d Base'!D35)+GroundResidentialFee)*(1+GroundFuelSurcharge),2)))*(1+FedEx_Markup),2)"),23.02)</f>
        <v>23.02</v>
      </c>
      <c r="E40" s="218">
        <f ca="1">IFERROR(__xludf.DUMMYFUNCTION("ROUND((IF(SINGLE('Ground Base'!E$154)&gt;ROUND(((1-GroundResDiscount31Up-GroundResIncentive)*'Ground Base'!E35),2),ROUND((SINGLE('Ground Base'!E$154)+GroundResidentialFee)*(1+GroundFuelSurcharge),2),ROUND((((1-GroundResDiscount31Up-GroundResIncentive)*'Groun"&amp;"d Base'!E35)+GroundResidentialFee)*(1+GroundFuelSurcharge),2)))*(1+FedEx_Markup),2)"),26.8)</f>
        <v>26.8</v>
      </c>
      <c r="F40" s="218">
        <f ca="1">IFERROR(__xludf.DUMMYFUNCTION("ROUND((IF(SINGLE('Ground Base'!F$154)&gt;ROUND(((1-GroundResDiscount31Up-GroundResIncentive)*'Ground Base'!F35),2),ROUND((SINGLE('Ground Base'!F$154)+GroundResidentialFee)*(1+GroundFuelSurcharge),2),ROUND((((1-GroundResDiscount31Up-GroundResIncentive)*'Groun"&amp;"d Base'!F35)+GroundResidentialFee)*(1+GroundFuelSurcharge),2)))*(1+FedEx_Markup),2)"),33.56)</f>
        <v>33.56</v>
      </c>
      <c r="G40" s="218">
        <f ca="1">IFERROR(__xludf.DUMMYFUNCTION("ROUND((IF(SINGLE('Ground Base'!G$154)&gt;ROUND(((1-GroundResDiscount31Up-GroundResIncentive)*'Ground Base'!G35),2),ROUND((SINGLE('Ground Base'!G$154)+GroundResidentialFee)*(1+GroundFuelSurcharge),2),ROUND((((1-GroundResDiscount31Up-GroundResIncentive)*'Groun"&amp;"d Base'!G35)+GroundResidentialFee)*(1+GroundFuelSurcharge),2)))*(1+FedEx_Markup),2)"),37.86)</f>
        <v>37.86</v>
      </c>
      <c r="H40" s="218">
        <f ca="1">IFERROR(__xludf.DUMMYFUNCTION("ROUND((IF(SINGLE('Ground Base'!H$154)&gt;ROUND(((1-GroundResDiscount31Up-GroundResIncentive)*'Ground Base'!H35),2),ROUND((SINGLE('Ground Base'!H$154)+GroundResidentialFee)*(1+GroundFuelSurcharge),2),ROUND((((1-GroundResDiscount31Up-GroundResIncentive)*'Groun"&amp;"d Base'!H35)+GroundResidentialFee)*(1+GroundFuelSurcharge),2)))*(1+FedEx_Markup),2)"),44)</f>
        <v>44</v>
      </c>
      <c r="I40" s="218">
        <f>ROUND((IF('Ground Base'!I$154&gt;ROUND(((1-GroundAKHIDiscount)*'Ground Base'!I35),2),ROUND(('Ground Base'!I$154+GroundResidentialFee)*(1+GroundFuelSurcharge),2),ROUND((((1-GroundAKHIDiscount)*'Ground Base'!I35)+GroundResidentialFee)*(1+GroundFuelSurcharge),2)))*(1+FedEx_Markup),2)</f>
        <v>195.65</v>
      </c>
      <c r="J40" s="218">
        <f>ROUND((IF('Ground Base'!J$154&gt;ROUND(((1-GroundAKHIDiscount)*'Ground Base'!J35),2),ROUND(('Ground Base'!J$154+GroundResidentialFee)*(1+GroundFuelSurcharge),2),ROUND((((1-GroundAKHIDiscount)*'Ground Base'!J35)+GroundResidentialFee)*(1+GroundFuelSurcharge),2)))*(1+FedEx_Markup),2)</f>
        <v>195.65</v>
      </c>
      <c r="K40" s="218">
        <f>ROUND((IF('Ground Base'!K$154&gt;ROUND(((1-GroundZone51Discount)*'Ground Base'!K35),2),ROUND(('Ground Base'!K$154+GroundResidentialFee)*(1+GroundFuelSurcharge),2),ROUND((((1-GroundZone51Discount)*'Ground Base'!K35)+GroundResidentialFee)*(1+GroundFuelSurcharge),2)))*(1+FedEx_Markup),2)</f>
        <v>64.39</v>
      </c>
      <c r="L40" s="218">
        <f>ROUND((IF('Ground Base'!L$154&gt;ROUND(((1-GroundZone54Discount)*'Ground Base'!L35),2),ROUND(('Ground Base'!L$154+GroundResidentialFee)*(1+GroundFuelSurcharge),2),ROUND((((1-GroundZone54Discount)*'Ground Base'!L35)+GroundResidentialFee)*(1+GroundFuelSurcharge),2)))*(1+FedEx_Markup),2)</f>
        <v>75.95</v>
      </c>
    </row>
    <row r="41" spans="1:26" ht="12.75" customHeight="1">
      <c r="A41" s="217">
        <v>34</v>
      </c>
      <c r="B41" s="218">
        <f ca="1">IFERROR(__xludf.DUMMYFUNCTION("ROUND((IF(SINGLE('Ground Base'!B$154)&gt;ROUND(((1-GroundResDiscount31Up-GroundResIncentive)*'Ground Base'!B36),2),ROUND((SINGLE('Ground Base'!B$154)+GroundResidentialFee)*(1+GroundFuelSurcharge),2),ROUND((((1-GroundResDiscount31Up-GroundResIncentive)*'Groun"&amp;"d Base'!B36)+GroundResidentialFee)*(1+GroundFuelSurcharge),2)))*(1+FedEx_Markup),2)"),19.02)</f>
        <v>19.02</v>
      </c>
      <c r="C41" s="218">
        <f ca="1">IFERROR(__xludf.DUMMYFUNCTION("ROUND((IF(SINGLE('Ground Base'!C$154)&gt;ROUND(((1-GroundResDiscount31Up-GroundResIncentive)*'Ground Base'!C36),2),ROUND((SINGLE('Ground Base'!C$154)+GroundResidentialFee)*(1+GroundFuelSurcharge),2),ROUND((((1-GroundResDiscount31Up-GroundResIncentive)*'Groun"&amp;"d Base'!C36)+GroundResidentialFee)*(1+GroundFuelSurcharge),2)))*(1+FedEx_Markup),2)"),21.08)</f>
        <v>21.08</v>
      </c>
      <c r="D41" s="218">
        <f ca="1">IFERROR(__xludf.DUMMYFUNCTION("ROUND((IF(SINGLE('Ground Base'!D$154)&gt;ROUND(((1-GroundResDiscount31Up-GroundResIncentive)*'Ground Base'!D36),2),ROUND((SINGLE('Ground Base'!D$154)+GroundResidentialFee)*(1+GroundFuelSurcharge),2),ROUND((((1-GroundResDiscount31Up-GroundResIncentive)*'Groun"&amp;"d Base'!D36)+GroundResidentialFee)*(1+GroundFuelSurcharge),2)))*(1+FedEx_Markup),2)"),23.66)</f>
        <v>23.66</v>
      </c>
      <c r="E41" s="218">
        <f ca="1">IFERROR(__xludf.DUMMYFUNCTION("ROUND((IF(SINGLE('Ground Base'!E$154)&gt;ROUND(((1-GroundResDiscount31Up-GroundResIncentive)*'Ground Base'!E36),2),ROUND((SINGLE('Ground Base'!E$154)+GroundResidentialFee)*(1+GroundFuelSurcharge),2),ROUND((((1-GroundResDiscount31Up-GroundResIncentive)*'Groun"&amp;"d Base'!E36)+GroundResidentialFee)*(1+GroundFuelSurcharge),2)))*(1+FedEx_Markup),2)"),27.61)</f>
        <v>27.61</v>
      </c>
      <c r="F41" s="218">
        <f ca="1">IFERROR(__xludf.DUMMYFUNCTION("ROUND((IF(SINGLE('Ground Base'!F$154)&gt;ROUND(((1-GroundResDiscount31Up-GroundResIncentive)*'Ground Base'!F36),2),ROUND((SINGLE('Ground Base'!F$154)+GroundResidentialFee)*(1+GroundFuelSurcharge),2),ROUND((((1-GroundResDiscount31Up-GroundResIncentive)*'Groun"&amp;"d Base'!F36)+GroundResidentialFee)*(1+GroundFuelSurcharge),2)))*(1+FedEx_Markup),2)"),33.56)</f>
        <v>33.56</v>
      </c>
      <c r="G41" s="218">
        <f ca="1">IFERROR(__xludf.DUMMYFUNCTION("ROUND((IF(SINGLE('Ground Base'!G$154)&gt;ROUND(((1-GroundResDiscount31Up-GroundResIncentive)*'Ground Base'!G36),2),ROUND((SINGLE('Ground Base'!G$154)+GroundResidentialFee)*(1+GroundFuelSurcharge),2),ROUND((((1-GroundResDiscount31Up-GroundResIncentive)*'Groun"&amp;"d Base'!G36)+GroundResidentialFee)*(1+GroundFuelSurcharge),2)))*(1+FedEx_Markup),2)"),38.89)</f>
        <v>38.89</v>
      </c>
      <c r="H41" s="218">
        <f ca="1">IFERROR(__xludf.DUMMYFUNCTION("ROUND((IF(SINGLE('Ground Base'!H$154)&gt;ROUND(((1-GroundResDiscount31Up-GroundResIncentive)*'Ground Base'!H36),2),ROUND((SINGLE('Ground Base'!H$154)+GroundResidentialFee)*(1+GroundFuelSurcharge),2),ROUND((((1-GroundResDiscount31Up-GroundResIncentive)*'Groun"&amp;"d Base'!H36)+GroundResidentialFee)*(1+GroundFuelSurcharge),2)))*(1+FedEx_Markup),2)"),45.94)</f>
        <v>45.94</v>
      </c>
      <c r="I41" s="218">
        <f>ROUND((IF('Ground Base'!I$154&gt;ROUND(((1-GroundAKHIDiscount)*'Ground Base'!I36),2),ROUND(('Ground Base'!I$154+GroundResidentialFee)*(1+GroundFuelSurcharge),2),ROUND((((1-GroundAKHIDiscount)*'Ground Base'!I36)+GroundResidentialFee)*(1+GroundFuelSurcharge),2)))*(1+FedEx_Markup),2)</f>
        <v>199.97</v>
      </c>
      <c r="J41" s="218">
        <f>ROUND((IF('Ground Base'!J$154&gt;ROUND(((1-GroundAKHIDiscount)*'Ground Base'!J36),2),ROUND(('Ground Base'!J$154+GroundResidentialFee)*(1+GroundFuelSurcharge),2),ROUND((((1-GroundAKHIDiscount)*'Ground Base'!J36)+GroundResidentialFee)*(1+GroundFuelSurcharge),2)))*(1+FedEx_Markup),2)</f>
        <v>199.97</v>
      </c>
      <c r="K41" s="218">
        <f>ROUND((IF('Ground Base'!K$154&gt;ROUND(((1-GroundZone51Discount)*'Ground Base'!K36),2),ROUND(('Ground Base'!K$154+GroundResidentialFee)*(1+GroundFuelSurcharge),2),ROUND((((1-GroundZone51Discount)*'Ground Base'!K36)+GroundResidentialFee)*(1+GroundFuelSurcharge),2)))*(1+FedEx_Markup),2)</f>
        <v>65.55</v>
      </c>
      <c r="L41" s="218">
        <f>ROUND((IF('Ground Base'!L$154&gt;ROUND(((1-GroundZone54Discount)*'Ground Base'!L36),2),ROUND(('Ground Base'!L$154+GroundResidentialFee)*(1+GroundFuelSurcharge),2),ROUND((((1-GroundZone54Discount)*'Ground Base'!L36)+GroundResidentialFee)*(1+GroundFuelSurcharge),2)))*(1+FedEx_Markup),2)</f>
        <v>77.45</v>
      </c>
    </row>
    <row r="42" spans="1:26" ht="12.75" customHeight="1">
      <c r="A42" s="217">
        <v>35</v>
      </c>
      <c r="B42" s="218">
        <f ca="1">IFERROR(__xludf.DUMMYFUNCTION("ROUND((IF(SINGLE('Ground Base'!B$154)&gt;ROUND(((1-GroundResDiscount31Up-GroundResIncentive)*'Ground Base'!B37),2),ROUND((SINGLE('Ground Base'!B$154)+GroundResidentialFee)*(1+GroundFuelSurcharge),2),ROUND((((1-GroundResDiscount31Up-GroundResIncentive)*'Groun"&amp;"d Base'!B37)+GroundResidentialFee)*(1+GroundFuelSurcharge),2)))*(1+FedEx_Markup),2)"),19.02)</f>
        <v>19.02</v>
      </c>
      <c r="C42" s="218">
        <f ca="1">IFERROR(__xludf.DUMMYFUNCTION("ROUND((IF(SINGLE('Ground Base'!C$154)&gt;ROUND(((1-GroundResDiscount31Up-GroundResIncentive)*'Ground Base'!C37),2),ROUND((SINGLE('Ground Base'!C$154)+GroundResidentialFee)*(1+GroundFuelSurcharge),2),ROUND((((1-GroundResDiscount31Up-GroundResIncentive)*'Groun"&amp;"d Base'!C37)+GroundResidentialFee)*(1+GroundFuelSurcharge),2)))*(1+FedEx_Markup),2)"),22.02)</f>
        <v>22.02</v>
      </c>
      <c r="D42" s="218">
        <f ca="1">IFERROR(__xludf.DUMMYFUNCTION("ROUND((IF(SINGLE('Ground Base'!D$154)&gt;ROUND(((1-GroundResDiscount31Up-GroundResIncentive)*'Ground Base'!D37),2),ROUND((SINGLE('Ground Base'!D$154)+GroundResidentialFee)*(1+GroundFuelSurcharge),2),ROUND((((1-GroundResDiscount31Up-GroundResIncentive)*'Groun"&amp;"d Base'!D37)+GroundResidentialFee)*(1+GroundFuelSurcharge),2)))*(1+FedEx_Markup),2)"),24.32)</f>
        <v>24.32</v>
      </c>
      <c r="E42" s="218">
        <f ca="1">IFERROR(__xludf.DUMMYFUNCTION("ROUND((IF(SINGLE('Ground Base'!E$154)&gt;ROUND(((1-GroundResDiscount31Up-GroundResIncentive)*'Ground Base'!E37),2),ROUND((SINGLE('Ground Base'!E$154)+GroundResidentialFee)*(1+GroundFuelSurcharge),2),ROUND((((1-GroundResDiscount31Up-GroundResIncentive)*'Groun"&amp;"d Base'!E37)+GroundResidentialFee)*(1+GroundFuelSurcharge),2)))*(1+FedEx_Markup),2)"),28.2)</f>
        <v>28.2</v>
      </c>
      <c r="F42" s="218">
        <f ca="1">IFERROR(__xludf.DUMMYFUNCTION("ROUND((IF(SINGLE('Ground Base'!F$154)&gt;ROUND(((1-GroundResDiscount31Up-GroundResIncentive)*'Ground Base'!F37),2),ROUND((SINGLE('Ground Base'!F$154)+GroundResidentialFee)*(1+GroundFuelSurcharge),2),ROUND((((1-GroundResDiscount31Up-GroundResIncentive)*'Groun"&amp;"d Base'!F37)+GroundResidentialFee)*(1+GroundFuelSurcharge),2)))*(1+FedEx_Markup),2)"),34.07)</f>
        <v>34.07</v>
      </c>
      <c r="G42" s="218">
        <f ca="1">IFERROR(__xludf.DUMMYFUNCTION("ROUND((IF(SINGLE('Ground Base'!G$154)&gt;ROUND(((1-GroundResDiscount31Up-GroundResIncentive)*'Ground Base'!G37),2),ROUND((SINGLE('Ground Base'!G$154)+GroundResidentialFee)*(1+GroundFuelSurcharge),2),ROUND((((1-GroundResDiscount31Up-GroundResIncentive)*'Groun"&amp;"d Base'!G37)+GroundResidentialFee)*(1+GroundFuelSurcharge),2)))*(1+FedEx_Markup),2)"),39.8)</f>
        <v>39.799999999999997</v>
      </c>
      <c r="H42" s="218">
        <f ca="1">IFERROR(__xludf.DUMMYFUNCTION("ROUND((IF(SINGLE('Ground Base'!H$154)&gt;ROUND(((1-GroundResDiscount31Up-GroundResIncentive)*'Ground Base'!H37),2),ROUND((SINGLE('Ground Base'!H$154)+GroundResidentialFee)*(1+GroundFuelSurcharge),2),ROUND((((1-GroundResDiscount31Up-GroundResIncentive)*'Groun"&amp;"d Base'!H37)+GroundResidentialFee)*(1+GroundFuelSurcharge),2)))*(1+FedEx_Markup),2)"),46.25)</f>
        <v>46.25</v>
      </c>
      <c r="I42" s="218">
        <f>ROUND((IF('Ground Base'!I$154&gt;ROUND(((1-GroundAKHIDiscount)*'Ground Base'!I37),2),ROUND(('Ground Base'!I$154+GroundResidentialFee)*(1+GroundFuelSurcharge),2),ROUND((((1-GroundAKHIDiscount)*'Ground Base'!I37)+GroundResidentialFee)*(1+GroundFuelSurcharge),2)))*(1+FedEx_Markup),2)</f>
        <v>204.85</v>
      </c>
      <c r="J42" s="218">
        <f>ROUND((IF('Ground Base'!J$154&gt;ROUND(((1-GroundAKHIDiscount)*'Ground Base'!J37),2),ROUND(('Ground Base'!J$154+GroundResidentialFee)*(1+GroundFuelSurcharge),2),ROUND((((1-GroundAKHIDiscount)*'Ground Base'!J37)+GroundResidentialFee)*(1+GroundFuelSurcharge),2)))*(1+FedEx_Markup),2)</f>
        <v>204.85</v>
      </c>
      <c r="K42" s="218">
        <f>ROUND((IF('Ground Base'!K$154&gt;ROUND(((1-GroundZone51Discount)*'Ground Base'!K37),2),ROUND(('Ground Base'!K$154+GroundResidentialFee)*(1+GroundFuelSurcharge),2),ROUND((((1-GroundZone51Discount)*'Ground Base'!K37)+GroundResidentialFee)*(1+GroundFuelSurcharge),2)))*(1+FedEx_Markup),2)</f>
        <v>66.73</v>
      </c>
      <c r="L42" s="218">
        <f>ROUND((IF('Ground Base'!L$154&gt;ROUND(((1-GroundZone54Discount)*'Ground Base'!L37),2),ROUND(('Ground Base'!L$154+GroundResidentialFee)*(1+GroundFuelSurcharge),2),ROUND((((1-GroundZone54Discount)*'Ground Base'!L37)+GroundResidentialFee)*(1+GroundFuelSurcharge),2)))*(1+FedEx_Markup),2)</f>
        <v>78.44</v>
      </c>
    </row>
    <row r="43" spans="1:26" ht="12.75" customHeight="1">
      <c r="A43" s="217">
        <v>36</v>
      </c>
      <c r="B43" s="218">
        <f ca="1">IFERROR(__xludf.DUMMYFUNCTION("ROUND((IF(SINGLE('Ground Base'!B$154)&gt;ROUND(((1-GroundResDiscount31Up-GroundResIncentive)*'Ground Base'!B38),2),ROUND((SINGLE('Ground Base'!B$154)+GroundResidentialFee)*(1+GroundFuelSurcharge),2),ROUND((((1-GroundResDiscount31Up-GroundResIncentive)*'Groun"&amp;"d Base'!B38)+GroundResidentialFee)*(1+GroundFuelSurcharge),2)))*(1+FedEx_Markup),2)"),19.02)</f>
        <v>19.02</v>
      </c>
      <c r="C43" s="218">
        <f ca="1">IFERROR(__xludf.DUMMYFUNCTION("ROUND((IF(SINGLE('Ground Base'!C$154)&gt;ROUND(((1-GroundResDiscount31Up-GroundResIncentive)*'Ground Base'!C38),2),ROUND((SINGLE('Ground Base'!C$154)+GroundResidentialFee)*(1+GroundFuelSurcharge),2),ROUND((((1-GroundResDiscount31Up-GroundResIncentive)*'Groun"&amp;"d Base'!C38)+GroundResidentialFee)*(1+GroundFuelSurcharge),2)))*(1+FedEx_Markup),2)"),22.03)</f>
        <v>22.03</v>
      </c>
      <c r="D43" s="218">
        <f ca="1">IFERROR(__xludf.DUMMYFUNCTION("ROUND((IF(SINGLE('Ground Base'!D$154)&gt;ROUND(((1-GroundResDiscount31Up-GroundResIncentive)*'Ground Base'!D38),2),ROUND((SINGLE('Ground Base'!D$154)+GroundResidentialFee)*(1+GroundFuelSurcharge),2),ROUND((((1-GroundResDiscount31Up-GroundResIncentive)*'Groun"&amp;"d Base'!D38)+GroundResidentialFee)*(1+GroundFuelSurcharge),2)))*(1+FedEx_Markup),2)"),24.48)</f>
        <v>24.48</v>
      </c>
      <c r="E43" s="218">
        <f ca="1">IFERROR(__xludf.DUMMYFUNCTION("ROUND((IF(SINGLE('Ground Base'!E$154)&gt;ROUND(((1-GroundResDiscount31Up-GroundResIncentive)*'Ground Base'!E38),2),ROUND((SINGLE('Ground Base'!E$154)+GroundResidentialFee)*(1+GroundFuelSurcharge),2),ROUND((((1-GroundResDiscount31Up-GroundResIncentive)*'Groun"&amp;"d Base'!E38)+GroundResidentialFee)*(1+GroundFuelSurcharge),2)))*(1+FedEx_Markup),2)"),28.82)</f>
        <v>28.82</v>
      </c>
      <c r="F43" s="218">
        <f ca="1">IFERROR(__xludf.DUMMYFUNCTION("ROUND((IF(SINGLE('Ground Base'!F$154)&gt;ROUND(((1-GroundResDiscount31Up-GroundResIncentive)*'Ground Base'!F38),2),ROUND((SINGLE('Ground Base'!F$154)+GroundResidentialFee)*(1+GroundFuelSurcharge),2),ROUND((((1-GroundResDiscount31Up-GroundResIncentive)*'Groun"&amp;"d Base'!F38)+GroundResidentialFee)*(1+GroundFuelSurcharge),2)))*(1+FedEx_Markup),2)"),35.36)</f>
        <v>35.36</v>
      </c>
      <c r="G43" s="218">
        <f ca="1">IFERROR(__xludf.DUMMYFUNCTION("ROUND((IF(SINGLE('Ground Base'!G$154)&gt;ROUND(((1-GroundResDiscount31Up-GroundResIncentive)*'Ground Base'!G38),2),ROUND((SINGLE('Ground Base'!G$154)+GroundResidentialFee)*(1+GroundFuelSurcharge),2),ROUND((((1-GroundResDiscount31Up-GroundResIncentive)*'Groun"&amp;"d Base'!G38)+GroundResidentialFee)*(1+GroundFuelSurcharge),2)))*(1+FedEx_Markup),2)"),41.04)</f>
        <v>41.04</v>
      </c>
      <c r="H43" s="218">
        <f ca="1">IFERROR(__xludf.DUMMYFUNCTION("ROUND((IF(SINGLE('Ground Base'!H$154)&gt;ROUND(((1-GroundResDiscount31Up-GroundResIncentive)*'Ground Base'!H38),2),ROUND((SINGLE('Ground Base'!H$154)+GroundResidentialFee)*(1+GroundFuelSurcharge),2),ROUND((((1-GroundResDiscount31Up-GroundResIncentive)*'Groun"&amp;"d Base'!H38)+GroundResidentialFee)*(1+GroundFuelSurcharge),2)))*(1+FedEx_Markup),2)"),47.93)</f>
        <v>47.93</v>
      </c>
      <c r="I43" s="218">
        <f>ROUND((IF('Ground Base'!I$154&gt;ROUND(((1-GroundAKHIDiscount)*'Ground Base'!I38),2),ROUND(('Ground Base'!I$154+GroundResidentialFee)*(1+GroundFuelSurcharge),2),ROUND((((1-GroundAKHIDiscount)*'Ground Base'!I38)+GroundResidentialFee)*(1+GroundFuelSurcharge),2)))*(1+FedEx_Markup),2)</f>
        <v>209.15</v>
      </c>
      <c r="J43" s="218">
        <f>ROUND((IF('Ground Base'!J$154&gt;ROUND(((1-GroundAKHIDiscount)*'Ground Base'!J38),2),ROUND(('Ground Base'!J$154+GroundResidentialFee)*(1+GroundFuelSurcharge),2),ROUND((((1-GroundAKHIDiscount)*'Ground Base'!J38)+GroundResidentialFee)*(1+GroundFuelSurcharge),2)))*(1+FedEx_Markup),2)</f>
        <v>209.15</v>
      </c>
      <c r="K43" s="218">
        <f>ROUND((IF('Ground Base'!K$154&gt;ROUND(((1-GroundZone51Discount)*'Ground Base'!K38),2),ROUND(('Ground Base'!K$154+GroundResidentialFee)*(1+GroundFuelSurcharge),2),ROUND((((1-GroundZone51Discount)*'Ground Base'!K38)+GroundResidentialFee)*(1+GroundFuelSurcharge),2)))*(1+FedEx_Markup),2)</f>
        <v>67.900000000000006</v>
      </c>
      <c r="L43" s="218">
        <f>ROUND((IF('Ground Base'!L$154&gt;ROUND(((1-GroundZone54Discount)*'Ground Base'!L38),2),ROUND(('Ground Base'!L$154+GroundResidentialFee)*(1+GroundFuelSurcharge),2),ROUND((((1-GroundZone54Discount)*'Ground Base'!L38)+GroundResidentialFee)*(1+GroundFuelSurcharge),2)))*(1+FedEx_Markup),2)</f>
        <v>80.19</v>
      </c>
    </row>
    <row r="44" spans="1:26" ht="12.75" customHeight="1">
      <c r="A44" s="217">
        <v>37</v>
      </c>
      <c r="B44" s="218">
        <f ca="1">IFERROR(__xludf.DUMMYFUNCTION("ROUND((IF(SINGLE('Ground Base'!B$154)&gt;ROUND(((1-GroundResDiscount31Up-GroundResIncentive)*'Ground Base'!B39),2),ROUND((SINGLE('Ground Base'!B$154)+GroundResidentialFee)*(1+GroundFuelSurcharge),2),ROUND((((1-GroundResDiscount31Up-GroundResIncentive)*'Groun"&amp;"d Base'!B39)+GroundResidentialFee)*(1+GroundFuelSurcharge),2)))*(1+FedEx_Markup),2)"),19.02)</f>
        <v>19.02</v>
      </c>
      <c r="C44" s="218">
        <f ca="1">IFERROR(__xludf.DUMMYFUNCTION("ROUND((IF(SINGLE('Ground Base'!C$154)&gt;ROUND(((1-GroundResDiscount31Up-GroundResIncentive)*'Ground Base'!C39),2),ROUND((SINGLE('Ground Base'!C$154)+GroundResidentialFee)*(1+GroundFuelSurcharge),2),ROUND((((1-GroundResDiscount31Up-GroundResIncentive)*'Groun"&amp;"d Base'!C39)+GroundResidentialFee)*(1+GroundFuelSurcharge),2)))*(1+FedEx_Markup),2)"),22.28)</f>
        <v>22.28</v>
      </c>
      <c r="D44" s="218">
        <f ca="1">IFERROR(__xludf.DUMMYFUNCTION("ROUND((IF(SINGLE('Ground Base'!D$154)&gt;ROUND(((1-GroundResDiscount31Up-GroundResIncentive)*'Ground Base'!D39),2),ROUND((SINGLE('Ground Base'!D$154)+GroundResidentialFee)*(1+GroundFuelSurcharge),2),ROUND((((1-GroundResDiscount31Up-GroundResIncentive)*'Groun"&amp;"d Base'!D39)+GroundResidentialFee)*(1+GroundFuelSurcharge),2)))*(1+FedEx_Markup),2)"),24.71)</f>
        <v>24.71</v>
      </c>
      <c r="E44" s="218">
        <f ca="1">IFERROR(__xludf.DUMMYFUNCTION("ROUND((IF(SINGLE('Ground Base'!E$154)&gt;ROUND(((1-GroundResDiscount31Up-GroundResIncentive)*'Ground Base'!E39),2),ROUND((SINGLE('Ground Base'!E$154)+GroundResidentialFee)*(1+GroundFuelSurcharge),2),ROUND((((1-GroundResDiscount31Up-GroundResIncentive)*'Groun"&amp;"d Base'!E39)+GroundResidentialFee)*(1+GroundFuelSurcharge),2)))*(1+FedEx_Markup),2)"),29.38)</f>
        <v>29.38</v>
      </c>
      <c r="F44" s="218">
        <f ca="1">IFERROR(__xludf.DUMMYFUNCTION("ROUND((IF(SINGLE('Ground Base'!F$154)&gt;ROUND(((1-GroundResDiscount31Up-GroundResIncentive)*'Ground Base'!F39),2),ROUND((SINGLE('Ground Base'!F$154)+GroundResidentialFee)*(1+GroundFuelSurcharge),2),ROUND((((1-GroundResDiscount31Up-GroundResIncentive)*'Groun"&amp;"d Base'!F39)+GroundResidentialFee)*(1+GroundFuelSurcharge),2)))*(1+FedEx_Markup),2)"),35.51)</f>
        <v>35.51</v>
      </c>
      <c r="G44" s="218">
        <f ca="1">IFERROR(__xludf.DUMMYFUNCTION("ROUND((IF(SINGLE('Ground Base'!G$154)&gt;ROUND(((1-GroundResDiscount31Up-GroundResIncentive)*'Ground Base'!G39),2),ROUND((SINGLE('Ground Base'!G$154)+GroundResidentialFee)*(1+GroundFuelSurcharge),2),ROUND((((1-GroundResDiscount31Up-GroundResIncentive)*'Groun"&amp;"d Base'!G39)+GroundResidentialFee)*(1+GroundFuelSurcharge),2)))*(1+FedEx_Markup),2)"),42.26)</f>
        <v>42.26</v>
      </c>
      <c r="H44" s="218">
        <f ca="1">IFERROR(__xludf.DUMMYFUNCTION("ROUND((IF(SINGLE('Ground Base'!H$154)&gt;ROUND(((1-GroundResDiscount31Up-GroundResIncentive)*'Ground Base'!H39),2),ROUND((SINGLE('Ground Base'!H$154)+GroundResidentialFee)*(1+GroundFuelSurcharge),2),ROUND((((1-GroundResDiscount31Up-GroundResIncentive)*'Groun"&amp;"d Base'!H39)+GroundResidentialFee)*(1+GroundFuelSurcharge),2)))*(1+FedEx_Markup),2)"),48.37)</f>
        <v>48.37</v>
      </c>
      <c r="I44" s="218">
        <f>ROUND((IF('Ground Base'!I$154&gt;ROUND(((1-GroundAKHIDiscount)*'Ground Base'!I39),2),ROUND(('Ground Base'!I$154+GroundResidentialFee)*(1+GroundFuelSurcharge),2),ROUND((((1-GroundAKHIDiscount)*'Ground Base'!I39)+GroundResidentialFee)*(1+GroundFuelSurcharge),2)))*(1+FedEx_Markup),2)</f>
        <v>213.87</v>
      </c>
      <c r="J44" s="218">
        <f>ROUND((IF('Ground Base'!J$154&gt;ROUND(((1-GroundAKHIDiscount)*'Ground Base'!J39),2),ROUND(('Ground Base'!J$154+GroundResidentialFee)*(1+GroundFuelSurcharge),2),ROUND((((1-GroundAKHIDiscount)*'Ground Base'!J39)+GroundResidentialFee)*(1+GroundFuelSurcharge),2)))*(1+FedEx_Markup),2)</f>
        <v>213.87</v>
      </c>
      <c r="K44" s="218">
        <f>ROUND((IF('Ground Base'!K$154&gt;ROUND(((1-GroundZone51Discount)*'Ground Base'!K39),2),ROUND(('Ground Base'!K$154+GroundResidentialFee)*(1+GroundFuelSurcharge),2),ROUND((((1-GroundZone51Discount)*'Ground Base'!K39)+GroundResidentialFee)*(1+GroundFuelSurcharge),2)))*(1+FedEx_Markup),2)</f>
        <v>69.36</v>
      </c>
      <c r="L44" s="218">
        <f>ROUND((IF('Ground Base'!L$154&gt;ROUND(((1-GroundZone54Discount)*'Ground Base'!L39),2),ROUND(('Ground Base'!L$154+GroundResidentialFee)*(1+GroundFuelSurcharge),2),ROUND((((1-GroundZone54Discount)*'Ground Base'!L39)+GroundResidentialFee)*(1+GroundFuelSurcharge),2)))*(1+FedEx_Markup),2)</f>
        <v>81.75</v>
      </c>
    </row>
    <row r="45" spans="1:26" ht="12.75" customHeight="1">
      <c r="A45" s="217">
        <v>38</v>
      </c>
      <c r="B45" s="218">
        <f ca="1">IFERROR(__xludf.DUMMYFUNCTION("ROUND((IF(SINGLE('Ground Base'!B$154)&gt;ROUND(((1-GroundResDiscount31Up-GroundResIncentive)*'Ground Base'!B40),2),ROUND((SINGLE('Ground Base'!B$154)+GroundResidentialFee)*(1+GroundFuelSurcharge),2),ROUND((((1-GroundResDiscount31Up-GroundResIncentive)*'Groun"&amp;"d Base'!B40)+GroundResidentialFee)*(1+GroundFuelSurcharge),2)))*(1+FedEx_Markup),2)"),19.23)</f>
        <v>19.23</v>
      </c>
      <c r="C45" s="218">
        <f ca="1">IFERROR(__xludf.DUMMYFUNCTION("ROUND((IF(SINGLE('Ground Base'!C$154)&gt;ROUND(((1-GroundResDiscount31Up-GroundResIncentive)*'Ground Base'!C40),2),ROUND((SINGLE('Ground Base'!C$154)+GroundResidentialFee)*(1+GroundFuelSurcharge),2),ROUND((((1-GroundResDiscount31Up-GroundResIncentive)*'Groun"&amp;"d Base'!C40)+GroundResidentialFee)*(1+GroundFuelSurcharge),2)))*(1+FedEx_Markup),2)"),22.57)</f>
        <v>22.57</v>
      </c>
      <c r="D45" s="218">
        <f ca="1">IFERROR(__xludf.DUMMYFUNCTION("ROUND((IF(SINGLE('Ground Base'!D$154)&gt;ROUND(((1-GroundResDiscount31Up-GroundResIncentive)*'Ground Base'!D40),2),ROUND((SINGLE('Ground Base'!D$154)+GroundResidentialFee)*(1+GroundFuelSurcharge),2),ROUND((((1-GroundResDiscount31Up-GroundResIncentive)*'Groun"&amp;"d Base'!D40)+GroundResidentialFee)*(1+GroundFuelSurcharge),2)))*(1+FedEx_Markup),2)"),25.39)</f>
        <v>25.39</v>
      </c>
      <c r="E45" s="218">
        <f ca="1">IFERROR(__xludf.DUMMYFUNCTION("ROUND((IF(SINGLE('Ground Base'!E$154)&gt;ROUND(((1-GroundResDiscount31Up-GroundResIncentive)*'Ground Base'!E40),2),ROUND((SINGLE('Ground Base'!E$154)+GroundResidentialFee)*(1+GroundFuelSurcharge),2),ROUND((((1-GroundResDiscount31Up-GroundResIncentive)*'Groun"&amp;"d Base'!E40)+GroundResidentialFee)*(1+GroundFuelSurcharge),2)))*(1+FedEx_Markup),2)"),30)</f>
        <v>30</v>
      </c>
      <c r="F45" s="218">
        <f ca="1">IFERROR(__xludf.DUMMYFUNCTION("ROUND((IF(SINGLE('Ground Base'!F$154)&gt;ROUND(((1-GroundResDiscount31Up-GroundResIncentive)*'Ground Base'!F40),2),ROUND((SINGLE('Ground Base'!F$154)+GroundResidentialFee)*(1+GroundFuelSurcharge),2),ROUND((((1-GroundResDiscount31Up-GroundResIncentive)*'Groun"&amp;"d Base'!F40)+GroundResidentialFee)*(1+GroundFuelSurcharge),2)))*(1+FedEx_Markup),2)"),36.24)</f>
        <v>36.24</v>
      </c>
      <c r="G45" s="218">
        <f ca="1">IFERROR(__xludf.DUMMYFUNCTION("ROUND((IF(SINGLE('Ground Base'!G$154)&gt;ROUND(((1-GroundResDiscount31Up-GroundResIncentive)*'Ground Base'!G40),2),ROUND((SINGLE('Ground Base'!G$154)+GroundResidentialFee)*(1+GroundFuelSurcharge),2),ROUND((((1-GroundResDiscount31Up-GroundResIncentive)*'Groun"&amp;"d Base'!G40)+GroundResidentialFee)*(1+GroundFuelSurcharge),2)))*(1+FedEx_Markup),2)"),42.41)</f>
        <v>42.41</v>
      </c>
      <c r="H45" s="218">
        <f ca="1">IFERROR(__xludf.DUMMYFUNCTION("ROUND((IF(SINGLE('Ground Base'!H$154)&gt;ROUND(((1-GroundResDiscount31Up-GroundResIncentive)*'Ground Base'!H40),2),ROUND((SINGLE('Ground Base'!H$154)+GroundResidentialFee)*(1+GroundFuelSurcharge),2),ROUND((((1-GroundResDiscount31Up-GroundResIncentive)*'Groun"&amp;"d Base'!H40)+GroundResidentialFee)*(1+GroundFuelSurcharge),2)))*(1+FedEx_Markup),2)"),49.21)</f>
        <v>49.21</v>
      </c>
      <c r="I45" s="218">
        <f>ROUND((IF('Ground Base'!I$154&gt;ROUND(((1-GroundAKHIDiscount)*'Ground Base'!I40),2),ROUND(('Ground Base'!I$154+GroundResidentialFee)*(1+GroundFuelSurcharge),2),ROUND((((1-GroundAKHIDiscount)*'Ground Base'!I40)+GroundResidentialFee)*(1+GroundFuelSurcharge),2)))*(1+FedEx_Markup),2)</f>
        <v>218.89</v>
      </c>
      <c r="J45" s="218">
        <f>ROUND((IF('Ground Base'!J$154&gt;ROUND(((1-GroundAKHIDiscount)*'Ground Base'!J40),2),ROUND(('Ground Base'!J$154+GroundResidentialFee)*(1+GroundFuelSurcharge),2),ROUND((((1-GroundAKHIDiscount)*'Ground Base'!J40)+GroundResidentialFee)*(1+GroundFuelSurcharge),2)))*(1+FedEx_Markup),2)</f>
        <v>218.89</v>
      </c>
      <c r="K45" s="218">
        <f>ROUND((IF('Ground Base'!K$154&gt;ROUND(((1-GroundZone51Discount)*'Ground Base'!K40),2),ROUND(('Ground Base'!K$154+GroundResidentialFee)*(1+GroundFuelSurcharge),2),ROUND((((1-GroundZone51Discount)*'Ground Base'!K40)+GroundResidentialFee)*(1+GroundFuelSurcharge),2)))*(1+FedEx_Markup),2)</f>
        <v>70.55</v>
      </c>
      <c r="L45" s="218">
        <f>ROUND((IF('Ground Base'!L$154&gt;ROUND(((1-GroundZone54Discount)*'Ground Base'!L40),2),ROUND(('Ground Base'!L$154+GroundResidentialFee)*(1+GroundFuelSurcharge),2),ROUND((((1-GroundZone54Discount)*'Ground Base'!L40)+GroundResidentialFee)*(1+GroundFuelSurcharge),2)))*(1+FedEx_Markup),2)</f>
        <v>83.1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2.75" customHeight="1">
      <c r="A46" s="217">
        <v>39</v>
      </c>
      <c r="B46" s="218">
        <f ca="1">IFERROR(__xludf.DUMMYFUNCTION("ROUND((IF(SINGLE('Ground Base'!B$154)&gt;ROUND(((1-GroundResDiscount31Up-GroundResIncentive)*'Ground Base'!B41),2),ROUND((SINGLE('Ground Base'!B$154)+GroundResidentialFee)*(1+GroundFuelSurcharge),2),ROUND((((1-GroundResDiscount31Up-GroundResIncentive)*'Groun"&amp;"d Base'!B41)+GroundResidentialFee)*(1+GroundFuelSurcharge),2)))*(1+FedEx_Markup),2)"),19.76)</f>
        <v>19.760000000000002</v>
      </c>
      <c r="C46" s="218">
        <f ca="1">IFERROR(__xludf.DUMMYFUNCTION("ROUND((IF(SINGLE('Ground Base'!C$154)&gt;ROUND(((1-GroundResDiscount31Up-GroundResIncentive)*'Ground Base'!C41),2),ROUND((SINGLE('Ground Base'!C$154)+GroundResidentialFee)*(1+GroundFuelSurcharge),2),ROUND((((1-GroundResDiscount31Up-GroundResIncentive)*'Groun"&amp;"d Base'!C41)+GroundResidentialFee)*(1+GroundFuelSurcharge),2)))*(1+FedEx_Markup),2)"),23.32)</f>
        <v>23.32</v>
      </c>
      <c r="D46" s="218">
        <f ca="1">IFERROR(__xludf.DUMMYFUNCTION("ROUND((IF(SINGLE('Ground Base'!D$154)&gt;ROUND(((1-GroundResDiscount31Up-GroundResIncentive)*'Ground Base'!D41),2),ROUND((SINGLE('Ground Base'!D$154)+GroundResidentialFee)*(1+GroundFuelSurcharge),2),ROUND((((1-GroundResDiscount31Up-GroundResIncentive)*'Groun"&amp;"d Base'!D41)+GroundResidentialFee)*(1+GroundFuelSurcharge),2)))*(1+FedEx_Markup),2)"),26.34)</f>
        <v>26.34</v>
      </c>
      <c r="E46" s="218">
        <f ca="1">IFERROR(__xludf.DUMMYFUNCTION("ROUND((IF(SINGLE('Ground Base'!E$154)&gt;ROUND(((1-GroundResDiscount31Up-GroundResIncentive)*'Ground Base'!E41),2),ROUND((SINGLE('Ground Base'!E$154)+GroundResidentialFee)*(1+GroundFuelSurcharge),2),ROUND((((1-GroundResDiscount31Up-GroundResIncentive)*'Groun"&amp;"d Base'!E41)+GroundResidentialFee)*(1+GroundFuelSurcharge),2)))*(1+FedEx_Markup),2)"),30.83)</f>
        <v>30.83</v>
      </c>
      <c r="F46" s="218">
        <f ca="1">IFERROR(__xludf.DUMMYFUNCTION("ROUND((IF(SINGLE('Ground Base'!F$154)&gt;ROUND(((1-GroundResDiscount31Up-GroundResIncentive)*'Ground Base'!F41),2),ROUND((SINGLE('Ground Base'!F$154)+GroundResidentialFee)*(1+GroundFuelSurcharge),2),ROUND((((1-GroundResDiscount31Up-GroundResIncentive)*'Groun"&amp;"d Base'!F41)+GroundResidentialFee)*(1+GroundFuelSurcharge),2)))*(1+FedEx_Markup),2)"),37.73)</f>
        <v>37.729999999999997</v>
      </c>
      <c r="G46" s="218">
        <f ca="1">IFERROR(__xludf.DUMMYFUNCTION("ROUND((IF(SINGLE('Ground Base'!G$154)&gt;ROUND(((1-GroundResDiscount31Up-GroundResIncentive)*'Ground Base'!G41),2),ROUND((SINGLE('Ground Base'!G$154)+GroundResidentialFee)*(1+GroundFuelSurcharge),2),ROUND((((1-GroundResDiscount31Up-GroundResIncentive)*'Groun"&amp;"d Base'!G41)+GroundResidentialFee)*(1+GroundFuelSurcharge),2)))*(1+FedEx_Markup),2)"),43.95)</f>
        <v>43.95</v>
      </c>
      <c r="H46" s="218">
        <f ca="1">IFERROR(__xludf.DUMMYFUNCTION("ROUND((IF(SINGLE('Ground Base'!H$154)&gt;ROUND(((1-GroundResDiscount31Up-GroundResIncentive)*'Ground Base'!H41),2),ROUND((SINGLE('Ground Base'!H$154)+GroundResidentialFee)*(1+GroundFuelSurcharge),2),ROUND((((1-GroundResDiscount31Up-GroundResIncentive)*'Groun"&amp;"d Base'!H41)+GroundResidentialFee)*(1+GroundFuelSurcharge),2)))*(1+FedEx_Markup),2)"),50.15)</f>
        <v>50.15</v>
      </c>
      <c r="I46" s="218">
        <f>ROUND((IF('Ground Base'!I$154&gt;ROUND(((1-GroundAKHIDiscount)*'Ground Base'!I41),2),ROUND(('Ground Base'!I$154+GroundResidentialFee)*(1+GroundFuelSurcharge),2),ROUND((((1-GroundAKHIDiscount)*'Ground Base'!I41)+GroundResidentialFee)*(1+GroundFuelSurcharge),2)))*(1+FedEx_Markup),2)</f>
        <v>223.55</v>
      </c>
      <c r="J46" s="218">
        <f>ROUND((IF('Ground Base'!J$154&gt;ROUND(((1-GroundAKHIDiscount)*'Ground Base'!J41),2),ROUND(('Ground Base'!J$154+GroundResidentialFee)*(1+GroundFuelSurcharge),2),ROUND((((1-GroundAKHIDiscount)*'Ground Base'!J41)+GroundResidentialFee)*(1+GroundFuelSurcharge),2)))*(1+FedEx_Markup),2)</f>
        <v>223.55</v>
      </c>
      <c r="K46" s="218">
        <f>ROUND((IF('Ground Base'!K$154&gt;ROUND(((1-GroundZone51Discount)*'Ground Base'!K41),2),ROUND(('Ground Base'!K$154+GroundResidentialFee)*(1+GroundFuelSurcharge),2),ROUND((((1-GroundZone51Discount)*'Ground Base'!K41)+GroundResidentialFee)*(1+GroundFuelSurcharge),2)))*(1+FedEx_Markup),2)</f>
        <v>72.09</v>
      </c>
      <c r="L46" s="218">
        <f>ROUND((IF('Ground Base'!L$154&gt;ROUND(((1-GroundZone54Discount)*'Ground Base'!L41),2),ROUND(('Ground Base'!L$154+GroundResidentialFee)*(1+GroundFuelSurcharge),2),ROUND((((1-GroundZone54Discount)*'Ground Base'!L41)+GroundResidentialFee)*(1+GroundFuelSurcharge),2)))*(1+FedEx_Markup),2)</f>
        <v>84.38</v>
      </c>
    </row>
    <row r="47" spans="1:26" ht="12.75" customHeight="1">
      <c r="A47" s="217">
        <v>40</v>
      </c>
      <c r="B47" s="218">
        <f ca="1">IFERROR(__xludf.DUMMYFUNCTION("ROUND((IF(SINGLE('Ground Base'!B$154)&gt;ROUND(((1-GroundResDiscount31Up-GroundResIncentive)*'Ground Base'!B42),2),ROUND((SINGLE('Ground Base'!B$154)+GroundResidentialFee)*(1+GroundFuelSurcharge),2),ROUND((((1-GroundResDiscount31Up-GroundResIncentive)*'Groun"&amp;"d Base'!B42)+GroundResidentialFee)*(1+GroundFuelSurcharge),2)))*(1+FedEx_Markup),2)"),19.77)</f>
        <v>19.77</v>
      </c>
      <c r="C47" s="218">
        <f ca="1">IFERROR(__xludf.DUMMYFUNCTION("ROUND((IF(SINGLE('Ground Base'!C$154)&gt;ROUND(((1-GroundResDiscount31Up-GroundResIncentive)*'Ground Base'!C42),2),ROUND((SINGLE('Ground Base'!C$154)+GroundResidentialFee)*(1+GroundFuelSurcharge),2),ROUND((((1-GroundResDiscount31Up-GroundResIncentive)*'Groun"&amp;"d Base'!C42)+GroundResidentialFee)*(1+GroundFuelSurcharge),2)))*(1+FedEx_Markup),2)"),23.4)</f>
        <v>23.4</v>
      </c>
      <c r="D47" s="218">
        <f ca="1">IFERROR(__xludf.DUMMYFUNCTION("ROUND((IF(SINGLE('Ground Base'!D$154)&gt;ROUND(((1-GroundResDiscount31Up-GroundResIncentive)*'Ground Base'!D42),2),ROUND((SINGLE('Ground Base'!D$154)+GroundResidentialFee)*(1+GroundFuelSurcharge),2),ROUND((((1-GroundResDiscount31Up-GroundResIncentive)*'Groun"&amp;"d Base'!D42)+GroundResidentialFee)*(1+GroundFuelSurcharge),2)))*(1+FedEx_Markup),2)"),26.35)</f>
        <v>26.35</v>
      </c>
      <c r="E47" s="218">
        <f ca="1">IFERROR(__xludf.DUMMYFUNCTION("ROUND((IF(SINGLE('Ground Base'!E$154)&gt;ROUND(((1-GroundResDiscount31Up-GroundResIncentive)*'Ground Base'!E42),2),ROUND((SINGLE('Ground Base'!E$154)+GroundResidentialFee)*(1+GroundFuelSurcharge),2),ROUND((((1-GroundResDiscount31Up-GroundResIncentive)*'Groun"&amp;"d Base'!E42)+GroundResidentialFee)*(1+GroundFuelSurcharge),2)))*(1+FedEx_Markup),2)"),30.84)</f>
        <v>30.84</v>
      </c>
      <c r="F47" s="218">
        <f ca="1">IFERROR(__xludf.DUMMYFUNCTION("ROUND((IF(SINGLE('Ground Base'!F$154)&gt;ROUND(((1-GroundResDiscount31Up-GroundResIncentive)*'Ground Base'!F42),2),ROUND((SINGLE('Ground Base'!F$154)+GroundResidentialFee)*(1+GroundFuelSurcharge),2),ROUND((((1-GroundResDiscount31Up-GroundResIncentive)*'Groun"&amp;"d Base'!F42)+GroundResidentialFee)*(1+GroundFuelSurcharge),2)))*(1+FedEx_Markup),2)"),37.78)</f>
        <v>37.78</v>
      </c>
      <c r="G47" s="218">
        <f ca="1">IFERROR(__xludf.DUMMYFUNCTION("ROUND((IF(SINGLE('Ground Base'!G$154)&gt;ROUND(((1-GroundResDiscount31Up-GroundResIncentive)*'Ground Base'!G42),2),ROUND((SINGLE('Ground Base'!G$154)+GroundResidentialFee)*(1+GroundFuelSurcharge),2),ROUND((((1-GroundResDiscount31Up-GroundResIncentive)*'Groun"&amp;"d Base'!G42)+GroundResidentialFee)*(1+GroundFuelSurcharge),2)))*(1+FedEx_Markup),2)"),43.96)</f>
        <v>43.96</v>
      </c>
      <c r="H47" s="218">
        <f ca="1">IFERROR(__xludf.DUMMYFUNCTION("ROUND((IF(SINGLE('Ground Base'!H$154)&gt;ROUND(((1-GroundResDiscount31Up-GroundResIncentive)*'Ground Base'!H42),2),ROUND((SINGLE('Ground Base'!H$154)+GroundResidentialFee)*(1+GroundFuelSurcharge),2),ROUND((((1-GroundResDiscount31Up-GroundResIncentive)*'Groun"&amp;"d Base'!H42)+GroundResidentialFee)*(1+GroundFuelSurcharge),2)))*(1+FedEx_Markup),2)"),50.16)</f>
        <v>50.16</v>
      </c>
      <c r="I47" s="218">
        <f>ROUND((IF('Ground Base'!I$154&gt;ROUND(((1-GroundAKHIDiscount)*'Ground Base'!I42),2),ROUND(('Ground Base'!I$154+GroundResidentialFee)*(1+GroundFuelSurcharge),2),ROUND((((1-GroundAKHIDiscount)*'Ground Base'!I42)+GroundResidentialFee)*(1+GroundFuelSurcharge),2)))*(1+FedEx_Markup),2)</f>
        <v>228.25</v>
      </c>
      <c r="J47" s="218">
        <f>ROUND((IF('Ground Base'!J$154&gt;ROUND(((1-GroundAKHIDiscount)*'Ground Base'!J42),2),ROUND(('Ground Base'!J$154+GroundResidentialFee)*(1+GroundFuelSurcharge),2),ROUND((((1-GroundAKHIDiscount)*'Ground Base'!J42)+GroundResidentialFee)*(1+GroundFuelSurcharge),2)))*(1+FedEx_Markup),2)</f>
        <v>228.25</v>
      </c>
      <c r="K47" s="218">
        <f>ROUND((IF('Ground Base'!K$154&gt;ROUND(((1-GroundZone51Discount)*'Ground Base'!K42),2),ROUND(('Ground Base'!K$154+GroundResidentialFee)*(1+GroundFuelSurcharge),2),ROUND((((1-GroundZone51Discount)*'Ground Base'!K42)+GroundResidentialFee)*(1+GroundFuelSurcharge),2)))*(1+FedEx_Markup),2)</f>
        <v>73.239999999999995</v>
      </c>
      <c r="L47" s="218">
        <f>ROUND((IF('Ground Base'!L$154&gt;ROUND(((1-GroundZone54Discount)*'Ground Base'!L42),2),ROUND(('Ground Base'!L$154+GroundResidentialFee)*(1+GroundFuelSurcharge),2),ROUND((((1-GroundZone54Discount)*'Ground Base'!L42)+GroundResidentialFee)*(1+GroundFuelSurcharge),2)))*(1+FedEx_Markup),2)</f>
        <v>85.94</v>
      </c>
    </row>
    <row r="48" spans="1:26" ht="12.75" customHeight="1">
      <c r="A48" s="217">
        <v>41</v>
      </c>
      <c r="B48" s="218">
        <f ca="1">IFERROR(__xludf.DUMMYFUNCTION("ROUND((IF(SINGLE('Ground Base'!B$154)&gt;ROUND(((1-GroundResDiscount31Up-GroundResIncentive)*'Ground Base'!B43),2),ROUND((SINGLE('Ground Base'!B$154)+GroundResidentialFee)*(1+GroundFuelSurcharge),2),ROUND((((1-GroundResDiscount31Up-GroundResIncentive)*'Groun"&amp;"d Base'!B43)+GroundResidentialFee)*(1+GroundFuelSurcharge),2)))*(1+FedEx_Markup),2)"),20.14)</f>
        <v>20.14</v>
      </c>
      <c r="C48" s="218">
        <f ca="1">IFERROR(__xludf.DUMMYFUNCTION("ROUND((IF(SINGLE('Ground Base'!C$154)&gt;ROUND(((1-GroundResDiscount31Up-GroundResIncentive)*'Ground Base'!C43),2),ROUND((SINGLE('Ground Base'!C$154)+GroundResidentialFee)*(1+GroundFuelSurcharge),2),ROUND((((1-GroundResDiscount31Up-GroundResIncentive)*'Groun"&amp;"d Base'!C43)+GroundResidentialFee)*(1+GroundFuelSurcharge),2)))*(1+FedEx_Markup),2)"),24.27)</f>
        <v>24.27</v>
      </c>
      <c r="D48" s="218">
        <f ca="1">IFERROR(__xludf.DUMMYFUNCTION("ROUND((IF(SINGLE('Ground Base'!D$154)&gt;ROUND(((1-GroundResDiscount31Up-GroundResIncentive)*'Ground Base'!D43),2),ROUND((SINGLE('Ground Base'!D$154)+GroundResidentialFee)*(1+GroundFuelSurcharge),2),ROUND((((1-GroundResDiscount31Up-GroundResIncentive)*'Groun"&amp;"d Base'!D43)+GroundResidentialFee)*(1+GroundFuelSurcharge),2)))*(1+FedEx_Markup),2)"),27.01)</f>
        <v>27.01</v>
      </c>
      <c r="E48" s="218">
        <f ca="1">IFERROR(__xludf.DUMMYFUNCTION("ROUND((IF(SINGLE('Ground Base'!E$154)&gt;ROUND(((1-GroundResDiscount31Up-GroundResIncentive)*'Ground Base'!E43),2),ROUND((SINGLE('Ground Base'!E$154)+GroundResidentialFee)*(1+GroundFuelSurcharge),2),ROUND((((1-GroundResDiscount31Up-GroundResIncentive)*'Groun"&amp;"d Base'!E43)+GroundResidentialFee)*(1+GroundFuelSurcharge),2)))*(1+FedEx_Markup),2)"),31.82)</f>
        <v>31.82</v>
      </c>
      <c r="F48" s="218">
        <f ca="1">IFERROR(__xludf.DUMMYFUNCTION("ROUND((IF(SINGLE('Ground Base'!F$154)&gt;ROUND(((1-GroundResDiscount31Up-GroundResIncentive)*'Ground Base'!F43),2),ROUND((SINGLE('Ground Base'!F$154)+GroundResidentialFee)*(1+GroundFuelSurcharge),2),ROUND((((1-GroundResDiscount31Up-GroundResIncentive)*'Groun"&amp;"d Base'!F43)+GroundResidentialFee)*(1+GroundFuelSurcharge),2)))*(1+FedEx_Markup),2)"),39.22)</f>
        <v>39.22</v>
      </c>
      <c r="G48" s="218">
        <f ca="1">IFERROR(__xludf.DUMMYFUNCTION("ROUND((IF(SINGLE('Ground Base'!G$154)&gt;ROUND(((1-GroundResDiscount31Up-GroundResIncentive)*'Ground Base'!G43),2),ROUND((SINGLE('Ground Base'!G$154)+GroundResidentialFee)*(1+GroundFuelSurcharge),2),ROUND((((1-GroundResDiscount31Up-GroundResIncentive)*'Groun"&amp;"d Base'!G43)+GroundResidentialFee)*(1+GroundFuelSurcharge),2)))*(1+FedEx_Markup),2)"),45.22)</f>
        <v>45.22</v>
      </c>
      <c r="H48" s="218">
        <f ca="1">IFERROR(__xludf.DUMMYFUNCTION("ROUND((IF(SINGLE('Ground Base'!H$154)&gt;ROUND(((1-GroundResDiscount31Up-GroundResIncentive)*'Ground Base'!H43),2),ROUND((SINGLE('Ground Base'!H$154)+GroundResidentialFee)*(1+GroundFuelSurcharge),2),ROUND((((1-GroundResDiscount31Up-GroundResIncentive)*'Groun"&amp;"d Base'!H43)+GroundResidentialFee)*(1+GroundFuelSurcharge),2)))*(1+FedEx_Markup),2)"),51.93)</f>
        <v>51.93</v>
      </c>
      <c r="I48" s="218">
        <f>ROUND((IF('Ground Base'!I$154&gt;ROUND(((1-GroundAKHIDiscount)*'Ground Base'!I43),2),ROUND(('Ground Base'!I$154+GroundResidentialFee)*(1+GroundFuelSurcharge),2),ROUND((((1-GroundAKHIDiscount)*'Ground Base'!I43)+GroundResidentialFee)*(1+GroundFuelSurcharge),2)))*(1+FedEx_Markup),2)</f>
        <v>232.14</v>
      </c>
      <c r="J48" s="218">
        <f>ROUND((IF('Ground Base'!J$154&gt;ROUND(((1-GroundAKHIDiscount)*'Ground Base'!J43),2),ROUND(('Ground Base'!J$154+GroundResidentialFee)*(1+GroundFuelSurcharge),2),ROUND((((1-GroundAKHIDiscount)*'Ground Base'!J43)+GroundResidentialFee)*(1+GroundFuelSurcharge),2)))*(1+FedEx_Markup),2)</f>
        <v>232.14</v>
      </c>
      <c r="K48" s="218">
        <f>ROUND((IF('Ground Base'!K$154&gt;ROUND(((1-GroundZone51Discount)*'Ground Base'!K43),2),ROUND(('Ground Base'!K$154+GroundResidentialFee)*(1+GroundFuelSurcharge),2),ROUND((((1-GroundZone51Discount)*'Ground Base'!K43)+GroundResidentialFee)*(1+GroundFuelSurcharge),2)))*(1+FedEx_Markup),2)</f>
        <v>74.45</v>
      </c>
      <c r="L48" s="218">
        <f>ROUND((IF('Ground Base'!L$154&gt;ROUND(((1-GroundZone54Discount)*'Ground Base'!L43),2),ROUND(('Ground Base'!L$154+GroundResidentialFee)*(1+GroundFuelSurcharge),2),ROUND((((1-GroundZone54Discount)*'Ground Base'!L43)+GroundResidentialFee)*(1+GroundFuelSurcharge),2)))*(1+FedEx_Markup),2)</f>
        <v>87.33</v>
      </c>
    </row>
    <row r="49" spans="1:12" ht="12.75" customHeight="1">
      <c r="A49" s="217">
        <v>42</v>
      </c>
      <c r="B49" s="218">
        <f ca="1">IFERROR(__xludf.DUMMYFUNCTION("ROUND((IF(SINGLE('Ground Base'!B$154)&gt;ROUND(((1-GroundResDiscount31Up-GroundResIncentive)*'Ground Base'!B44),2),ROUND((SINGLE('Ground Base'!B$154)+GroundResidentialFee)*(1+GroundFuelSurcharge),2),ROUND((((1-GroundResDiscount31Up-GroundResIncentive)*'Groun"&amp;"d Base'!B44)+GroundResidentialFee)*(1+GroundFuelSurcharge),2)))*(1+FedEx_Markup),2)"),20.15)</f>
        <v>20.149999999999999</v>
      </c>
      <c r="C49" s="218">
        <f ca="1">IFERROR(__xludf.DUMMYFUNCTION("ROUND((IF(SINGLE('Ground Base'!C$154)&gt;ROUND(((1-GroundResDiscount31Up-GroundResIncentive)*'Ground Base'!C44),2),ROUND((SINGLE('Ground Base'!C$154)+GroundResidentialFee)*(1+GroundFuelSurcharge),2),ROUND((((1-GroundResDiscount31Up-GroundResIncentive)*'Groun"&amp;"d Base'!C44)+GroundResidentialFee)*(1+GroundFuelSurcharge),2)))*(1+FedEx_Markup),2)"),24.33)</f>
        <v>24.33</v>
      </c>
      <c r="D49" s="218">
        <f ca="1">IFERROR(__xludf.DUMMYFUNCTION("ROUND((IF(SINGLE('Ground Base'!D$154)&gt;ROUND(((1-GroundResDiscount31Up-GroundResIncentive)*'Ground Base'!D44),2),ROUND((SINGLE('Ground Base'!D$154)+GroundResidentialFee)*(1+GroundFuelSurcharge),2),ROUND((((1-GroundResDiscount31Up-GroundResIncentive)*'Groun"&amp;"d Base'!D44)+GroundResidentialFee)*(1+GroundFuelSurcharge),2)))*(1+FedEx_Markup),2)"),27.93)</f>
        <v>27.93</v>
      </c>
      <c r="E49" s="218">
        <f ca="1">IFERROR(__xludf.DUMMYFUNCTION("ROUND((IF(SINGLE('Ground Base'!E$154)&gt;ROUND(((1-GroundResDiscount31Up-GroundResIncentive)*'Ground Base'!E44),2),ROUND((SINGLE('Ground Base'!E$154)+GroundResidentialFee)*(1+GroundFuelSurcharge),2),ROUND((((1-GroundResDiscount31Up-GroundResIncentive)*'Groun"&amp;"d Base'!E44)+GroundResidentialFee)*(1+GroundFuelSurcharge),2)))*(1+FedEx_Markup),2)"),31.91)</f>
        <v>31.91</v>
      </c>
      <c r="F49" s="218">
        <f ca="1">IFERROR(__xludf.DUMMYFUNCTION("ROUND((IF(SINGLE('Ground Base'!F$154)&gt;ROUND(((1-GroundResDiscount31Up-GroundResIncentive)*'Ground Base'!F44),2),ROUND((SINGLE('Ground Base'!F$154)+GroundResidentialFee)*(1+GroundFuelSurcharge),2),ROUND((((1-GroundResDiscount31Up-GroundResIncentive)*'Groun"&amp;"d Base'!F44)+GroundResidentialFee)*(1+GroundFuelSurcharge),2)))*(1+FedEx_Markup),2)"),39.38)</f>
        <v>39.380000000000003</v>
      </c>
      <c r="G49" s="218">
        <f ca="1">IFERROR(__xludf.DUMMYFUNCTION("ROUND((IF(SINGLE('Ground Base'!G$154)&gt;ROUND(((1-GroundResDiscount31Up-GroundResIncentive)*'Ground Base'!G44),2),ROUND((SINGLE('Ground Base'!G$154)+GroundResidentialFee)*(1+GroundFuelSurcharge),2),ROUND((((1-GroundResDiscount31Up-GroundResIncentive)*'Groun"&amp;"d Base'!G44)+GroundResidentialFee)*(1+GroundFuelSurcharge),2)))*(1+FedEx_Markup),2)"),45.93)</f>
        <v>45.93</v>
      </c>
      <c r="H49" s="218">
        <f ca="1">IFERROR(__xludf.DUMMYFUNCTION("ROUND((IF(SINGLE('Ground Base'!H$154)&gt;ROUND(((1-GroundResDiscount31Up-GroundResIncentive)*'Ground Base'!H44),2),ROUND((SINGLE('Ground Base'!H$154)+GroundResidentialFee)*(1+GroundFuelSurcharge),2),ROUND((((1-GroundResDiscount31Up-GroundResIncentive)*'Groun"&amp;"d Base'!H44)+GroundResidentialFee)*(1+GroundFuelSurcharge),2)))*(1+FedEx_Markup),2)"),52.19)</f>
        <v>52.19</v>
      </c>
      <c r="I49" s="218">
        <f>ROUND((IF('Ground Base'!I$154&gt;ROUND(((1-GroundAKHIDiscount)*'Ground Base'!I44),2),ROUND(('Ground Base'!I$154+GroundResidentialFee)*(1+GroundFuelSurcharge),2),ROUND((((1-GroundAKHIDiscount)*'Ground Base'!I44)+GroundResidentialFee)*(1+GroundFuelSurcharge),2)))*(1+FedEx_Markup),2)</f>
        <v>236.46</v>
      </c>
      <c r="J49" s="218">
        <f>ROUND((IF('Ground Base'!J$154&gt;ROUND(((1-GroundAKHIDiscount)*'Ground Base'!J44),2),ROUND(('Ground Base'!J$154+GroundResidentialFee)*(1+GroundFuelSurcharge),2),ROUND((((1-GroundAKHIDiscount)*'Ground Base'!J44)+GroundResidentialFee)*(1+GroundFuelSurcharge),2)))*(1+FedEx_Markup),2)</f>
        <v>236.46</v>
      </c>
      <c r="K49" s="218">
        <f>ROUND((IF('Ground Base'!K$154&gt;ROUND(((1-GroundZone51Discount)*'Ground Base'!K44),2),ROUND(('Ground Base'!K$154+GroundResidentialFee)*(1+GroundFuelSurcharge),2),ROUND((((1-GroundZone51Discount)*'Ground Base'!K44)+GroundResidentialFee)*(1+GroundFuelSurcharge),2)))*(1+FedEx_Markup),2)</f>
        <v>75.58</v>
      </c>
      <c r="L49" s="218">
        <f>ROUND((IF('Ground Base'!L$154&gt;ROUND(((1-GroundZone54Discount)*'Ground Base'!L44),2),ROUND(('Ground Base'!L$154+GroundResidentialFee)*(1+GroundFuelSurcharge),2),ROUND((((1-GroundZone54Discount)*'Ground Base'!L44)+GroundResidentialFee)*(1+GroundFuelSurcharge),2)))*(1+FedEx_Markup),2)</f>
        <v>88.58</v>
      </c>
    </row>
    <row r="50" spans="1:12" ht="12.75" customHeight="1">
      <c r="A50" s="217">
        <v>43</v>
      </c>
      <c r="B50" s="218">
        <f ca="1">IFERROR(__xludf.DUMMYFUNCTION("ROUND((IF(SINGLE('Ground Base'!B$154)&gt;ROUND(((1-GroundResDiscount31Up-GroundResIncentive)*'Ground Base'!B45),2),ROUND((SINGLE('Ground Base'!B$154)+GroundResidentialFee)*(1+GroundFuelSurcharge),2),ROUND((((1-GroundResDiscount31Up-GroundResIncentive)*'Groun"&amp;"d Base'!B45)+GroundResidentialFee)*(1+GroundFuelSurcharge),2)))*(1+FedEx_Markup),2)"),20.47)</f>
        <v>20.47</v>
      </c>
      <c r="C50" s="218">
        <f ca="1">IFERROR(__xludf.DUMMYFUNCTION("ROUND((IF(SINGLE('Ground Base'!C$154)&gt;ROUND(((1-GroundResDiscount31Up-GroundResIncentive)*'Ground Base'!C45),2),ROUND((SINGLE('Ground Base'!C$154)+GroundResidentialFee)*(1+GroundFuelSurcharge),2),ROUND((((1-GroundResDiscount31Up-GroundResIncentive)*'Groun"&amp;"d Base'!C45)+GroundResidentialFee)*(1+GroundFuelSurcharge),2)))*(1+FedEx_Markup),2)"),24.64)</f>
        <v>24.64</v>
      </c>
      <c r="D50" s="218">
        <f ca="1">IFERROR(__xludf.DUMMYFUNCTION("ROUND((IF(SINGLE('Ground Base'!D$154)&gt;ROUND(((1-GroundResDiscount31Up-GroundResIncentive)*'Ground Base'!D45),2),ROUND((SINGLE('Ground Base'!D$154)+GroundResidentialFee)*(1+GroundFuelSurcharge),2),ROUND((((1-GroundResDiscount31Up-GroundResIncentive)*'Groun"&amp;"d Base'!D45)+GroundResidentialFee)*(1+GroundFuelSurcharge),2)))*(1+FedEx_Markup),2)"),27.97)</f>
        <v>27.97</v>
      </c>
      <c r="E50" s="218">
        <f ca="1">IFERROR(__xludf.DUMMYFUNCTION("ROUND((IF(SINGLE('Ground Base'!E$154)&gt;ROUND(((1-GroundResDiscount31Up-GroundResIncentive)*'Ground Base'!E45),2),ROUND((SINGLE('Ground Base'!E$154)+GroundResidentialFee)*(1+GroundFuelSurcharge),2),ROUND((((1-GroundResDiscount31Up-GroundResIncentive)*'Groun"&amp;"d Base'!E45)+GroundResidentialFee)*(1+GroundFuelSurcharge),2)))*(1+FedEx_Markup),2)"),33.37)</f>
        <v>33.369999999999997</v>
      </c>
      <c r="F50" s="218">
        <f ca="1">IFERROR(__xludf.DUMMYFUNCTION("ROUND((IF(SINGLE('Ground Base'!F$154)&gt;ROUND(((1-GroundResDiscount31Up-GroundResIncentive)*'Ground Base'!F45),2),ROUND((SINGLE('Ground Base'!F$154)+GroundResidentialFee)*(1+GroundFuelSurcharge),2),ROUND((((1-GroundResDiscount31Up-GroundResIncentive)*'Groun"&amp;"d Base'!F45)+GroundResidentialFee)*(1+GroundFuelSurcharge),2)))*(1+FedEx_Markup),2)"),41.33)</f>
        <v>41.33</v>
      </c>
      <c r="G50" s="218">
        <f ca="1">IFERROR(__xludf.DUMMYFUNCTION("ROUND((IF(SINGLE('Ground Base'!G$154)&gt;ROUND(((1-GroundResDiscount31Up-GroundResIncentive)*'Ground Base'!G45),2),ROUND((SINGLE('Ground Base'!G$154)+GroundResidentialFee)*(1+GroundFuelSurcharge),2),ROUND((((1-GroundResDiscount31Up-GroundResIncentive)*'Groun"&amp;"d Base'!G45)+GroundResidentialFee)*(1+GroundFuelSurcharge),2)))*(1+FedEx_Markup),2)"),47.48)</f>
        <v>47.48</v>
      </c>
      <c r="H50" s="218">
        <f ca="1">IFERROR(__xludf.DUMMYFUNCTION("ROUND((IF(SINGLE('Ground Base'!H$154)&gt;ROUND(((1-GroundResDiscount31Up-GroundResIncentive)*'Ground Base'!H45),2),ROUND((SINGLE('Ground Base'!H$154)+GroundResidentialFee)*(1+GroundFuelSurcharge),2),ROUND((((1-GroundResDiscount31Up-GroundResIncentive)*'Groun"&amp;"d Base'!H45)+GroundResidentialFee)*(1+GroundFuelSurcharge),2)))*(1+FedEx_Markup),2)"),53.51)</f>
        <v>53.51</v>
      </c>
      <c r="I50" s="218">
        <f>ROUND((IF('Ground Base'!I$154&gt;ROUND(((1-GroundAKHIDiscount)*'Ground Base'!I45),2),ROUND(('Ground Base'!I$154+GroundResidentialFee)*(1+GroundFuelSurcharge),2),ROUND((((1-GroundAKHIDiscount)*'Ground Base'!I45)+GroundResidentialFee)*(1+GroundFuelSurcharge),2)))*(1+FedEx_Markup),2)</f>
        <v>241.22</v>
      </c>
      <c r="J50" s="218">
        <f>ROUND((IF('Ground Base'!J$154&gt;ROUND(((1-GroundAKHIDiscount)*'Ground Base'!J45),2),ROUND(('Ground Base'!J$154+GroundResidentialFee)*(1+GroundFuelSurcharge),2),ROUND((((1-GroundAKHIDiscount)*'Ground Base'!J45)+GroundResidentialFee)*(1+GroundFuelSurcharge),2)))*(1+FedEx_Markup),2)</f>
        <v>241.22</v>
      </c>
      <c r="K50" s="218">
        <f>ROUND((IF('Ground Base'!K$154&gt;ROUND(((1-GroundZone51Discount)*'Ground Base'!K45),2),ROUND(('Ground Base'!K$154+GroundResidentialFee)*(1+GroundFuelSurcharge),2),ROUND((((1-GroundZone51Discount)*'Ground Base'!K45)+GroundResidentialFee)*(1+GroundFuelSurcharge),2)))*(1+FedEx_Markup),2)</f>
        <v>76.94</v>
      </c>
      <c r="L50" s="218">
        <f>ROUND((IF('Ground Base'!L$154&gt;ROUND(((1-GroundZone54Discount)*'Ground Base'!L45),2),ROUND(('Ground Base'!L$154+GroundResidentialFee)*(1+GroundFuelSurcharge),2),ROUND((((1-GroundZone54Discount)*'Ground Base'!L45)+GroundResidentialFee)*(1+GroundFuelSurcharge),2)))*(1+FedEx_Markup),2)</f>
        <v>90.03</v>
      </c>
    </row>
    <row r="51" spans="1:12" ht="12.75" customHeight="1">
      <c r="A51" s="217">
        <v>44</v>
      </c>
      <c r="B51" s="218">
        <f ca="1">IFERROR(__xludf.DUMMYFUNCTION("ROUND((IF(SINGLE('Ground Base'!B$154)&gt;ROUND(((1-GroundResDiscount31Up-GroundResIncentive)*'Ground Base'!B46),2),ROUND((SINGLE('Ground Base'!B$154)+GroundResidentialFee)*(1+GroundFuelSurcharge),2),ROUND((((1-GroundResDiscount31Up-GroundResIncentive)*'Groun"&amp;"d Base'!B46)+GroundResidentialFee)*(1+GroundFuelSurcharge),2)))*(1+FedEx_Markup),2)"),20.7)</f>
        <v>20.7</v>
      </c>
      <c r="C51" s="218">
        <f ca="1">IFERROR(__xludf.DUMMYFUNCTION("ROUND((IF(SINGLE('Ground Base'!C$154)&gt;ROUND(((1-GroundResDiscount31Up-GroundResIncentive)*'Ground Base'!C46),2),ROUND((SINGLE('Ground Base'!C$154)+GroundResidentialFee)*(1+GroundFuelSurcharge),2),ROUND((((1-GroundResDiscount31Up-GroundResIncentive)*'Groun"&amp;"d Base'!C46)+GroundResidentialFee)*(1+GroundFuelSurcharge),2)))*(1+FedEx_Markup),2)"),24.96)</f>
        <v>24.96</v>
      </c>
      <c r="D51" s="218">
        <f ca="1">IFERROR(__xludf.DUMMYFUNCTION("ROUND((IF(SINGLE('Ground Base'!D$154)&gt;ROUND(((1-GroundResDiscount31Up-GroundResIncentive)*'Ground Base'!D46),2),ROUND((SINGLE('Ground Base'!D$154)+GroundResidentialFee)*(1+GroundFuelSurcharge),2),ROUND((((1-GroundResDiscount31Up-GroundResIncentive)*'Groun"&amp;"d Base'!D46)+GroundResidentialFee)*(1+GroundFuelSurcharge),2)))*(1+FedEx_Markup),2)"),28.61)</f>
        <v>28.61</v>
      </c>
      <c r="E51" s="218">
        <f ca="1">IFERROR(__xludf.DUMMYFUNCTION("ROUND((IF(SINGLE('Ground Base'!E$154)&gt;ROUND(((1-GroundResDiscount31Up-GroundResIncentive)*'Ground Base'!E46),2),ROUND((SINGLE('Ground Base'!E$154)+GroundResidentialFee)*(1+GroundFuelSurcharge),2),ROUND((((1-GroundResDiscount31Up-GroundResIncentive)*'Groun"&amp;"d Base'!E46)+GroundResidentialFee)*(1+GroundFuelSurcharge),2)))*(1+FedEx_Markup),2)"),33.91)</f>
        <v>33.909999999999997</v>
      </c>
      <c r="F51" s="218">
        <f ca="1">IFERROR(__xludf.DUMMYFUNCTION("ROUND((IF(SINGLE('Ground Base'!F$154)&gt;ROUND(((1-GroundResDiscount31Up-GroundResIncentive)*'Ground Base'!F46),2),ROUND((SINGLE('Ground Base'!F$154)+GroundResidentialFee)*(1+GroundFuelSurcharge),2),ROUND((((1-GroundResDiscount31Up-GroundResIncentive)*'Groun"&amp;"d Base'!F46)+GroundResidentialFee)*(1+GroundFuelSurcharge),2)))*(1+FedEx_Markup),2)"),41.55)</f>
        <v>41.55</v>
      </c>
      <c r="G51" s="218">
        <f ca="1">IFERROR(__xludf.DUMMYFUNCTION("ROUND((IF(SINGLE('Ground Base'!G$154)&gt;ROUND(((1-GroundResDiscount31Up-GroundResIncentive)*'Ground Base'!G46),2),ROUND((SINGLE('Ground Base'!G$154)+GroundResidentialFee)*(1+GroundFuelSurcharge),2),ROUND((((1-GroundResDiscount31Up-GroundResIncentive)*'Groun"&amp;"d Base'!G46)+GroundResidentialFee)*(1+GroundFuelSurcharge),2)))*(1+FedEx_Markup),2)"),48.85)</f>
        <v>48.85</v>
      </c>
      <c r="H51" s="218">
        <f ca="1">IFERROR(__xludf.DUMMYFUNCTION("ROUND((IF(SINGLE('Ground Base'!H$154)&gt;ROUND(((1-GroundResDiscount31Up-GroundResIncentive)*'Ground Base'!H46),2),ROUND((SINGLE('Ground Base'!H$154)+GroundResidentialFee)*(1+GroundFuelSurcharge),2),ROUND((((1-GroundResDiscount31Up-GroundResIncentive)*'Groun"&amp;"d Base'!H46)+GroundResidentialFee)*(1+GroundFuelSurcharge),2)))*(1+FedEx_Markup),2)"),54.03)</f>
        <v>54.03</v>
      </c>
      <c r="I51" s="218">
        <f>ROUND((IF('Ground Base'!I$154&gt;ROUND(((1-GroundAKHIDiscount)*'Ground Base'!I46),2),ROUND(('Ground Base'!I$154+GroundResidentialFee)*(1+GroundFuelSurcharge),2),ROUND((((1-GroundAKHIDiscount)*'Ground Base'!I46)+GroundResidentialFee)*(1+GroundFuelSurcharge),2)))*(1+FedEx_Markup),2)</f>
        <v>244.63</v>
      </c>
      <c r="J51" s="218">
        <f>ROUND((IF('Ground Base'!J$154&gt;ROUND(((1-GroundAKHIDiscount)*'Ground Base'!J46),2),ROUND(('Ground Base'!J$154+GroundResidentialFee)*(1+GroundFuelSurcharge),2),ROUND((((1-GroundAKHIDiscount)*'Ground Base'!J46)+GroundResidentialFee)*(1+GroundFuelSurcharge),2)))*(1+FedEx_Markup),2)</f>
        <v>244.63</v>
      </c>
      <c r="K51" s="218">
        <f>ROUND((IF('Ground Base'!K$154&gt;ROUND(((1-GroundZone51Discount)*'Ground Base'!K46),2),ROUND(('Ground Base'!K$154+GroundResidentialFee)*(1+GroundFuelSurcharge),2),ROUND((((1-GroundZone51Discount)*'Ground Base'!K46)+GroundResidentialFee)*(1+GroundFuelSurcharge),2)))*(1+FedEx_Markup),2)</f>
        <v>77.88</v>
      </c>
      <c r="L51" s="218">
        <f>ROUND((IF('Ground Base'!L$154&gt;ROUND(((1-GroundZone54Discount)*'Ground Base'!L46),2),ROUND(('Ground Base'!L$154+GroundResidentialFee)*(1+GroundFuelSurcharge),2),ROUND((((1-GroundZone54Discount)*'Ground Base'!L46)+GroundResidentialFee)*(1+GroundFuelSurcharge),2)))*(1+FedEx_Markup),2)</f>
        <v>91.14</v>
      </c>
    </row>
    <row r="52" spans="1:12" ht="12.75" customHeight="1">
      <c r="A52" s="217">
        <v>45</v>
      </c>
      <c r="B52" s="218">
        <f ca="1">IFERROR(__xludf.DUMMYFUNCTION("ROUND((IF(SINGLE('Ground Base'!B$154)&gt;ROUND(((1-GroundResDiscount31Up-GroundResIncentive)*'Ground Base'!B47),2),ROUND((SINGLE('Ground Base'!B$154)+GroundResidentialFee)*(1+GroundFuelSurcharge),2),ROUND((((1-GroundResDiscount31Up-GroundResIncentive)*'Groun"&amp;"d Base'!B47)+GroundResidentialFee)*(1+GroundFuelSurcharge),2)))*(1+FedEx_Markup),2)"),20.73)</f>
        <v>20.73</v>
      </c>
      <c r="C52" s="218">
        <f ca="1">IFERROR(__xludf.DUMMYFUNCTION("ROUND((IF(SINGLE('Ground Base'!C$154)&gt;ROUND(((1-GroundResDiscount31Up-GroundResIncentive)*'Ground Base'!C47),2),ROUND((SINGLE('Ground Base'!C$154)+GroundResidentialFee)*(1+GroundFuelSurcharge),2),ROUND((((1-GroundResDiscount31Up-GroundResIncentive)*'Groun"&amp;"d Base'!C47)+GroundResidentialFee)*(1+GroundFuelSurcharge),2)))*(1+FedEx_Markup),2)"),24.97)</f>
        <v>24.97</v>
      </c>
      <c r="D52" s="218">
        <f ca="1">IFERROR(__xludf.DUMMYFUNCTION("ROUND((IF(SINGLE('Ground Base'!D$154)&gt;ROUND(((1-GroundResDiscount31Up-GroundResIncentive)*'Ground Base'!D47),2),ROUND((SINGLE('Ground Base'!D$154)+GroundResidentialFee)*(1+GroundFuelSurcharge),2),ROUND((((1-GroundResDiscount31Up-GroundResIncentive)*'Groun"&amp;"d Base'!D47)+GroundResidentialFee)*(1+GroundFuelSurcharge),2)))*(1+FedEx_Markup),2)"),28.61)</f>
        <v>28.61</v>
      </c>
      <c r="E52" s="218">
        <f ca="1">IFERROR(__xludf.DUMMYFUNCTION("ROUND((IF(SINGLE('Ground Base'!E$154)&gt;ROUND(((1-GroundResDiscount31Up-GroundResIncentive)*'Ground Base'!E47),2),ROUND((SINGLE('Ground Base'!E$154)+GroundResidentialFee)*(1+GroundFuelSurcharge),2),ROUND((((1-GroundResDiscount31Up-GroundResIncentive)*'Groun"&amp;"d Base'!E47)+GroundResidentialFee)*(1+GroundFuelSurcharge),2)))*(1+FedEx_Markup),2)"),33.91)</f>
        <v>33.909999999999997</v>
      </c>
      <c r="F52" s="218">
        <f ca="1">IFERROR(__xludf.DUMMYFUNCTION("ROUND((IF(SINGLE('Ground Base'!F$154)&gt;ROUND(((1-GroundResDiscount31Up-GroundResIncentive)*'Ground Base'!F47),2),ROUND((SINGLE('Ground Base'!F$154)+GroundResidentialFee)*(1+GroundFuelSurcharge),2),ROUND((((1-GroundResDiscount31Up-GroundResIncentive)*'Groun"&amp;"d Base'!F47)+GroundResidentialFee)*(1+GroundFuelSurcharge),2)))*(1+FedEx_Markup),2)"),41.57)</f>
        <v>41.57</v>
      </c>
      <c r="G52" s="218">
        <f ca="1">IFERROR(__xludf.DUMMYFUNCTION("ROUND((IF(SINGLE('Ground Base'!G$154)&gt;ROUND(((1-GroundResDiscount31Up-GroundResIncentive)*'Ground Base'!G47),2),ROUND((SINGLE('Ground Base'!G$154)+GroundResidentialFee)*(1+GroundFuelSurcharge),2),ROUND((((1-GroundResDiscount31Up-GroundResIncentive)*'Groun"&amp;"d Base'!G47)+GroundResidentialFee)*(1+GroundFuelSurcharge),2)))*(1+FedEx_Markup),2)"),49.74)</f>
        <v>49.74</v>
      </c>
      <c r="H52" s="218">
        <f ca="1">IFERROR(__xludf.DUMMYFUNCTION("ROUND((IF(SINGLE('Ground Base'!H$154)&gt;ROUND(((1-GroundResDiscount31Up-GroundResIncentive)*'Ground Base'!H47),2),ROUND((SINGLE('Ground Base'!H$154)+GroundResidentialFee)*(1+GroundFuelSurcharge),2),ROUND((((1-GroundResDiscount31Up-GroundResIncentive)*'Groun"&amp;"d Base'!H47)+GroundResidentialFee)*(1+GroundFuelSurcharge),2)))*(1+FedEx_Markup),2)"),54.38)</f>
        <v>54.38</v>
      </c>
      <c r="I52" s="218">
        <f>ROUND((IF('Ground Base'!I$154&gt;ROUND(((1-GroundAKHIDiscount)*'Ground Base'!I47),2),ROUND(('Ground Base'!I$154+GroundResidentialFee)*(1+GroundFuelSurcharge),2),ROUND((((1-GroundAKHIDiscount)*'Ground Base'!I47)+GroundResidentialFee)*(1+GroundFuelSurcharge),2)))*(1+FedEx_Markup),2)</f>
        <v>249.27</v>
      </c>
      <c r="J52" s="218">
        <f>ROUND((IF('Ground Base'!J$154&gt;ROUND(((1-GroundAKHIDiscount)*'Ground Base'!J47),2),ROUND(('Ground Base'!J$154+GroundResidentialFee)*(1+GroundFuelSurcharge),2),ROUND((((1-GroundAKHIDiscount)*'Ground Base'!J47)+GroundResidentialFee)*(1+GroundFuelSurcharge),2)))*(1+FedEx_Markup),2)</f>
        <v>249.27</v>
      </c>
      <c r="K52" s="218">
        <f>ROUND((IF('Ground Base'!K$154&gt;ROUND(((1-GroundZone51Discount)*'Ground Base'!K47),2),ROUND(('Ground Base'!K$154+GroundResidentialFee)*(1+GroundFuelSurcharge),2),ROUND((((1-GroundZone51Discount)*'Ground Base'!K47)+GroundResidentialFee)*(1+GroundFuelSurcharge),2)))*(1+FedEx_Markup),2)</f>
        <v>79.27</v>
      </c>
      <c r="L52" s="218">
        <f>ROUND((IF('Ground Base'!L$154&gt;ROUND(((1-GroundZone54Discount)*'Ground Base'!L47),2),ROUND(('Ground Base'!L$154+GroundResidentialFee)*(1+GroundFuelSurcharge),2),ROUND((((1-GroundZone54Discount)*'Ground Base'!L47)+GroundResidentialFee)*(1+GroundFuelSurcharge),2)))*(1+FedEx_Markup),2)</f>
        <v>92.78</v>
      </c>
    </row>
    <row r="53" spans="1:12" ht="12.75" customHeight="1">
      <c r="A53" s="217">
        <v>46</v>
      </c>
      <c r="B53" s="218">
        <f ca="1">IFERROR(__xludf.DUMMYFUNCTION("ROUND((IF(SINGLE('Ground Base'!B$154)&gt;ROUND(((1-GroundResDiscount31Up-GroundResIncentive)*'Ground Base'!B48),2),ROUND((SINGLE('Ground Base'!B$154)+GroundResidentialFee)*(1+GroundFuelSurcharge),2),ROUND((((1-GroundResDiscount31Up-GroundResIncentive)*'Groun"&amp;"d Base'!B48)+GroundResidentialFee)*(1+GroundFuelSurcharge),2)))*(1+FedEx_Markup),2)"),21.18)</f>
        <v>21.18</v>
      </c>
      <c r="C53" s="218">
        <f ca="1">IFERROR(__xludf.DUMMYFUNCTION("ROUND((IF(SINGLE('Ground Base'!C$154)&gt;ROUND(((1-GroundResDiscount31Up-GroundResIncentive)*'Ground Base'!C48),2),ROUND((SINGLE('Ground Base'!C$154)+GroundResidentialFee)*(1+GroundFuelSurcharge),2),ROUND((((1-GroundResDiscount31Up-GroundResIncentive)*'Groun"&amp;"d Base'!C48)+GroundResidentialFee)*(1+GroundFuelSurcharge),2)))*(1+FedEx_Markup),2)"),25.2)</f>
        <v>25.2</v>
      </c>
      <c r="D53" s="218">
        <f ca="1">IFERROR(__xludf.DUMMYFUNCTION("ROUND((IF(SINGLE('Ground Base'!D$154)&gt;ROUND(((1-GroundResDiscount31Up-GroundResIncentive)*'Ground Base'!D48),2),ROUND((SINGLE('Ground Base'!D$154)+GroundResidentialFee)*(1+GroundFuelSurcharge),2),ROUND((((1-GroundResDiscount31Up-GroundResIncentive)*'Groun"&amp;"d Base'!D48)+GroundResidentialFee)*(1+GroundFuelSurcharge),2)))*(1+FedEx_Markup),2)"),29.42)</f>
        <v>29.42</v>
      </c>
      <c r="E53" s="218">
        <f ca="1">IFERROR(__xludf.DUMMYFUNCTION("ROUND((IF(SINGLE('Ground Base'!E$154)&gt;ROUND(((1-GroundResDiscount31Up-GroundResIncentive)*'Ground Base'!E48),2),ROUND((SINGLE('Ground Base'!E$154)+GroundResidentialFee)*(1+GroundFuelSurcharge),2),ROUND((((1-GroundResDiscount31Up-GroundResIncentive)*'Groun"&amp;"d Base'!E48)+GroundResidentialFee)*(1+GroundFuelSurcharge),2)))*(1+FedEx_Markup),2)"),34.5)</f>
        <v>34.5</v>
      </c>
      <c r="F53" s="218">
        <f ca="1">IFERROR(__xludf.DUMMYFUNCTION("ROUND((IF(SINGLE('Ground Base'!F$154)&gt;ROUND(((1-GroundResDiscount31Up-GroundResIncentive)*'Ground Base'!F48),2),ROUND((SINGLE('Ground Base'!F$154)+GroundResidentialFee)*(1+GroundFuelSurcharge),2),ROUND((((1-GroundResDiscount31Up-GroundResIncentive)*'Groun"&amp;"d Base'!F48)+GroundResidentialFee)*(1+GroundFuelSurcharge),2)))*(1+FedEx_Markup),2)"),42.57)</f>
        <v>42.57</v>
      </c>
      <c r="G53" s="218">
        <f ca="1">IFERROR(__xludf.DUMMYFUNCTION("ROUND((IF(SINGLE('Ground Base'!G$154)&gt;ROUND(((1-GroundResDiscount31Up-GroundResIncentive)*'Ground Base'!G48),2),ROUND((SINGLE('Ground Base'!G$154)+GroundResidentialFee)*(1+GroundFuelSurcharge),2),ROUND((((1-GroundResDiscount31Up-GroundResIncentive)*'Groun"&amp;"d Base'!G48)+GroundResidentialFee)*(1+GroundFuelSurcharge),2)))*(1+FedEx_Markup),2)"),50.24)</f>
        <v>50.24</v>
      </c>
      <c r="H53" s="218">
        <f ca="1">IFERROR(__xludf.DUMMYFUNCTION("ROUND((IF(SINGLE('Ground Base'!H$154)&gt;ROUND(((1-GroundResDiscount31Up-GroundResIncentive)*'Ground Base'!H48),2),ROUND((SINGLE('Ground Base'!H$154)+GroundResidentialFee)*(1+GroundFuelSurcharge),2),ROUND((((1-GroundResDiscount31Up-GroundResIncentive)*'Groun"&amp;"d Base'!H48)+GroundResidentialFee)*(1+GroundFuelSurcharge),2)))*(1+FedEx_Markup),2)"),55.75)</f>
        <v>55.75</v>
      </c>
      <c r="I53" s="218">
        <f>ROUND((IF('Ground Base'!I$154&gt;ROUND(((1-GroundAKHIDiscount)*'Ground Base'!I48),2),ROUND(('Ground Base'!I$154+GroundResidentialFee)*(1+GroundFuelSurcharge),2),ROUND((((1-GroundAKHIDiscount)*'Ground Base'!I48)+GroundResidentialFee)*(1+GroundFuelSurcharge),2)))*(1+FedEx_Markup),2)</f>
        <v>254</v>
      </c>
      <c r="J53" s="218">
        <f>ROUND((IF('Ground Base'!J$154&gt;ROUND(((1-GroundAKHIDiscount)*'Ground Base'!J48),2),ROUND(('Ground Base'!J$154+GroundResidentialFee)*(1+GroundFuelSurcharge),2),ROUND((((1-GroundAKHIDiscount)*'Ground Base'!J48)+GroundResidentialFee)*(1+GroundFuelSurcharge),2)))*(1+FedEx_Markup),2)</f>
        <v>254</v>
      </c>
      <c r="K53" s="218">
        <f>ROUND((IF('Ground Base'!K$154&gt;ROUND(((1-GroundZone51Discount)*'Ground Base'!K48),2),ROUND(('Ground Base'!K$154+GroundResidentialFee)*(1+GroundFuelSurcharge),2),ROUND((((1-GroundZone51Discount)*'Ground Base'!K48)+GroundResidentialFee)*(1+GroundFuelSurcharge),2)))*(1+FedEx_Markup),2)</f>
        <v>80.510000000000005</v>
      </c>
      <c r="L53" s="218">
        <f>ROUND((IF('Ground Base'!L$154&gt;ROUND(((1-GroundZone54Discount)*'Ground Base'!L48),2),ROUND(('Ground Base'!L$154+GroundResidentialFee)*(1+GroundFuelSurcharge),2),ROUND((((1-GroundZone54Discount)*'Ground Base'!L48)+GroundResidentialFee)*(1+GroundFuelSurcharge),2)))*(1+FedEx_Markup),2)</f>
        <v>94.05</v>
      </c>
    </row>
    <row r="54" spans="1:12" ht="12.75" customHeight="1">
      <c r="A54" s="217">
        <v>47</v>
      </c>
      <c r="B54" s="218">
        <f ca="1">IFERROR(__xludf.DUMMYFUNCTION("ROUND((IF(SINGLE('Ground Base'!B$154)&gt;ROUND(((1-GroundResDiscount31Up-GroundResIncentive)*'Ground Base'!B49),2),ROUND((SINGLE('Ground Base'!B$154)+GroundResidentialFee)*(1+GroundFuelSurcharge),2),ROUND((((1-GroundResDiscount31Up-GroundResIncentive)*'Groun"&amp;"d Base'!B49)+GroundResidentialFee)*(1+GroundFuelSurcharge),2)))*(1+FedEx_Markup),2)"),21.19)</f>
        <v>21.19</v>
      </c>
      <c r="C54" s="218">
        <f ca="1">IFERROR(__xludf.DUMMYFUNCTION("ROUND((IF(SINGLE('Ground Base'!C$154)&gt;ROUND(((1-GroundResDiscount31Up-GroundResIncentive)*'Ground Base'!C49),2),ROUND((SINGLE('Ground Base'!C$154)+GroundResidentialFee)*(1+GroundFuelSurcharge),2),ROUND((((1-GroundResDiscount31Up-GroundResIncentive)*'Groun"&amp;"d Base'!C49)+GroundResidentialFee)*(1+GroundFuelSurcharge),2)))*(1+FedEx_Markup),2)"),25.69)</f>
        <v>25.69</v>
      </c>
      <c r="D54" s="218">
        <f ca="1">IFERROR(__xludf.DUMMYFUNCTION("ROUND((IF(SINGLE('Ground Base'!D$154)&gt;ROUND(((1-GroundResDiscount31Up-GroundResIncentive)*'Ground Base'!D49),2),ROUND((SINGLE('Ground Base'!D$154)+GroundResidentialFee)*(1+GroundFuelSurcharge),2),ROUND((((1-GroundResDiscount31Up-GroundResIncentive)*'Groun"&amp;"d Base'!D49)+GroundResidentialFee)*(1+GroundFuelSurcharge),2)))*(1+FedEx_Markup),2)"),29.84)</f>
        <v>29.84</v>
      </c>
      <c r="E54" s="218">
        <f ca="1">IFERROR(__xludf.DUMMYFUNCTION("ROUND((IF(SINGLE('Ground Base'!E$154)&gt;ROUND(((1-GroundResDiscount31Up-GroundResIncentive)*'Ground Base'!E49),2),ROUND((SINGLE('Ground Base'!E$154)+GroundResidentialFee)*(1+GroundFuelSurcharge),2),ROUND((((1-GroundResDiscount31Up-GroundResIncentive)*'Groun"&amp;"d Base'!E49)+GroundResidentialFee)*(1+GroundFuelSurcharge),2)))*(1+FedEx_Markup),2)"),34.72)</f>
        <v>34.72</v>
      </c>
      <c r="F54" s="218">
        <f ca="1">IFERROR(__xludf.DUMMYFUNCTION("ROUND((IF(SINGLE('Ground Base'!F$154)&gt;ROUND(((1-GroundResDiscount31Up-GroundResIncentive)*'Ground Base'!F49),2),ROUND((SINGLE('Ground Base'!F$154)+GroundResidentialFee)*(1+GroundFuelSurcharge),2),ROUND((((1-GroundResDiscount31Up-GroundResIncentive)*'Groun"&amp;"d Base'!F49)+GroundResidentialFee)*(1+GroundFuelSurcharge),2)))*(1+FedEx_Markup),2)"),43.11)</f>
        <v>43.11</v>
      </c>
      <c r="G54" s="218">
        <f ca="1">IFERROR(__xludf.DUMMYFUNCTION("ROUND((IF(SINGLE('Ground Base'!G$154)&gt;ROUND(((1-GroundResDiscount31Up-GroundResIncentive)*'Ground Base'!G49),2),ROUND((SINGLE('Ground Base'!G$154)+GroundResidentialFee)*(1+GroundFuelSurcharge),2),ROUND((((1-GroundResDiscount31Up-GroundResIncentive)*'Groun"&amp;"d Base'!G49)+GroundResidentialFee)*(1+GroundFuelSurcharge),2)))*(1+FedEx_Markup),2)"),51.15)</f>
        <v>51.15</v>
      </c>
      <c r="H54" s="218">
        <f ca="1">IFERROR(__xludf.DUMMYFUNCTION("ROUND((IF(SINGLE('Ground Base'!H$154)&gt;ROUND(((1-GroundResDiscount31Up-GroundResIncentive)*'Ground Base'!H49),2),ROUND((SINGLE('Ground Base'!H$154)+GroundResidentialFee)*(1+GroundFuelSurcharge),2),ROUND((((1-GroundResDiscount31Up-GroundResIncentive)*'Groun"&amp;"d Base'!H49)+GroundResidentialFee)*(1+GroundFuelSurcharge),2)))*(1+FedEx_Markup),2)"),56.59)</f>
        <v>56.59</v>
      </c>
      <c r="I54" s="218">
        <f>ROUND((IF('Ground Base'!I$154&gt;ROUND(((1-GroundAKHIDiscount)*'Ground Base'!I49),2),ROUND(('Ground Base'!I$154+GroundResidentialFee)*(1+GroundFuelSurcharge),2),ROUND((((1-GroundAKHIDiscount)*'Ground Base'!I49)+GroundResidentialFee)*(1+GroundFuelSurcharge),2)))*(1+FedEx_Markup),2)</f>
        <v>258.81</v>
      </c>
      <c r="J54" s="218">
        <f>ROUND((IF('Ground Base'!J$154&gt;ROUND(((1-GroundAKHIDiscount)*'Ground Base'!J49),2),ROUND(('Ground Base'!J$154+GroundResidentialFee)*(1+GroundFuelSurcharge),2),ROUND((((1-GroundAKHIDiscount)*'Ground Base'!J49)+GroundResidentialFee)*(1+GroundFuelSurcharge),2)))*(1+FedEx_Markup),2)</f>
        <v>258.81</v>
      </c>
      <c r="K54" s="218">
        <f>ROUND((IF('Ground Base'!K$154&gt;ROUND(((1-GroundZone51Discount)*'Ground Base'!K49),2),ROUND(('Ground Base'!K$154+GroundResidentialFee)*(1+GroundFuelSurcharge),2),ROUND((((1-GroundZone51Discount)*'Ground Base'!K49)+GroundResidentialFee)*(1+GroundFuelSurcharge),2)))*(1+FedEx_Markup),2)</f>
        <v>81.7</v>
      </c>
      <c r="L54" s="218">
        <f>ROUND((IF('Ground Base'!L$154&gt;ROUND(((1-GroundZone54Discount)*'Ground Base'!L49),2),ROUND(('Ground Base'!L$154+GroundResidentialFee)*(1+GroundFuelSurcharge),2),ROUND((((1-GroundZone54Discount)*'Ground Base'!L49)+GroundResidentialFee)*(1+GroundFuelSurcharge),2)))*(1+FedEx_Markup),2)</f>
        <v>95.47</v>
      </c>
    </row>
    <row r="55" spans="1:12" ht="12.75" customHeight="1">
      <c r="A55" s="217">
        <v>48</v>
      </c>
      <c r="B55" s="218">
        <f ca="1">IFERROR(__xludf.DUMMYFUNCTION("ROUND((IF(SINGLE('Ground Base'!B$154)&gt;ROUND(((1-GroundResDiscount31Up-GroundResIncentive)*'Ground Base'!B50),2),ROUND((SINGLE('Ground Base'!B$154)+GroundResidentialFee)*(1+GroundFuelSurcharge),2),ROUND((((1-GroundResDiscount31Up-GroundResIncentive)*'Groun"&amp;"d Base'!B50)+GroundResidentialFee)*(1+GroundFuelSurcharge),2)))*(1+FedEx_Markup),2)"),21.21)</f>
        <v>21.21</v>
      </c>
      <c r="C55" s="218">
        <f ca="1">IFERROR(__xludf.DUMMYFUNCTION("ROUND((IF(SINGLE('Ground Base'!C$154)&gt;ROUND(((1-GroundResDiscount31Up-GroundResIncentive)*'Ground Base'!C50),2),ROUND((SINGLE('Ground Base'!C$154)+GroundResidentialFee)*(1+GroundFuelSurcharge),2),ROUND((((1-GroundResDiscount31Up-GroundResIncentive)*'Groun"&amp;"d Base'!C50)+GroundResidentialFee)*(1+GroundFuelSurcharge),2)))*(1+FedEx_Markup),2)"),25.69)</f>
        <v>25.69</v>
      </c>
      <c r="D55" s="218">
        <f ca="1">IFERROR(__xludf.DUMMYFUNCTION("ROUND((IF(SINGLE('Ground Base'!D$154)&gt;ROUND(((1-GroundResDiscount31Up-GroundResIncentive)*'Ground Base'!D50),2),ROUND((SINGLE('Ground Base'!D$154)+GroundResidentialFee)*(1+GroundFuelSurcharge),2),ROUND((((1-GroundResDiscount31Up-GroundResIncentive)*'Groun"&amp;"d Base'!D50)+GroundResidentialFee)*(1+GroundFuelSurcharge),2)))*(1+FedEx_Markup),2)"),30.15)</f>
        <v>30.15</v>
      </c>
      <c r="E55" s="218">
        <f ca="1">IFERROR(__xludf.DUMMYFUNCTION("ROUND((IF(SINGLE('Ground Base'!E$154)&gt;ROUND(((1-GroundResDiscount31Up-GroundResIncentive)*'Ground Base'!E50),2),ROUND((SINGLE('Ground Base'!E$154)+GroundResidentialFee)*(1+GroundFuelSurcharge),2),ROUND((((1-GroundResDiscount31Up-GroundResIncentive)*'Groun"&amp;"d Base'!E50)+GroundResidentialFee)*(1+GroundFuelSurcharge),2)))*(1+FedEx_Markup),2)"),35.85)</f>
        <v>35.85</v>
      </c>
      <c r="F55" s="218">
        <f ca="1">IFERROR(__xludf.DUMMYFUNCTION("ROUND((IF(SINGLE('Ground Base'!F$154)&gt;ROUND(((1-GroundResDiscount31Up-GroundResIncentive)*'Ground Base'!F50),2),ROUND((SINGLE('Ground Base'!F$154)+GroundResidentialFee)*(1+GroundFuelSurcharge),2),ROUND((((1-GroundResDiscount31Up-GroundResIncentive)*'Groun"&amp;"d Base'!F50)+GroundResidentialFee)*(1+GroundFuelSurcharge),2)))*(1+FedEx_Markup),2)"),43.7)</f>
        <v>43.7</v>
      </c>
      <c r="G55" s="218">
        <f ca="1">IFERROR(__xludf.DUMMYFUNCTION("ROUND((IF(SINGLE('Ground Base'!G$154)&gt;ROUND(((1-GroundResDiscount31Up-GroundResIncentive)*'Ground Base'!G50),2),ROUND((SINGLE('Ground Base'!G$154)+GroundResidentialFee)*(1+GroundFuelSurcharge),2),ROUND((((1-GroundResDiscount31Up-GroundResIncentive)*'Groun"&amp;"d Base'!G50)+GroundResidentialFee)*(1+GroundFuelSurcharge),2)))*(1+FedEx_Markup),2)"),51.59)</f>
        <v>51.59</v>
      </c>
      <c r="H55" s="218">
        <f ca="1">IFERROR(__xludf.DUMMYFUNCTION("ROUND((IF(SINGLE('Ground Base'!H$154)&gt;ROUND(((1-GroundResDiscount31Up-GroundResIncentive)*'Ground Base'!H50),2),ROUND((SINGLE('Ground Base'!H$154)+GroundResidentialFee)*(1+GroundFuelSurcharge),2),ROUND((((1-GroundResDiscount31Up-GroundResIncentive)*'Groun"&amp;"d Base'!H50)+GroundResidentialFee)*(1+GroundFuelSurcharge),2)))*(1+FedEx_Markup),2)"),57.43)</f>
        <v>57.43</v>
      </c>
      <c r="I55" s="218">
        <f>ROUND((IF('Ground Base'!I$154&gt;ROUND(((1-GroundAKHIDiscount)*'Ground Base'!I50),2),ROUND(('Ground Base'!I$154+GroundResidentialFee)*(1+GroundFuelSurcharge),2),ROUND((((1-GroundAKHIDiscount)*'Ground Base'!I50)+GroundResidentialFee)*(1+GroundFuelSurcharge),2)))*(1+FedEx_Markup),2)</f>
        <v>263.2</v>
      </c>
      <c r="J55" s="218">
        <f>ROUND((IF('Ground Base'!J$154&gt;ROUND(((1-GroundAKHIDiscount)*'Ground Base'!J50),2),ROUND(('Ground Base'!J$154+GroundResidentialFee)*(1+GroundFuelSurcharge),2),ROUND((((1-GroundAKHIDiscount)*'Ground Base'!J50)+GroundResidentialFee)*(1+GroundFuelSurcharge),2)))*(1+FedEx_Markup),2)</f>
        <v>263.2</v>
      </c>
      <c r="K55" s="218">
        <f>ROUND((IF('Ground Base'!K$154&gt;ROUND(((1-GroundZone51Discount)*'Ground Base'!K50),2),ROUND(('Ground Base'!K$154+GroundResidentialFee)*(1+GroundFuelSurcharge),2),ROUND((((1-GroundZone51Discount)*'Ground Base'!K50)+GroundResidentialFee)*(1+GroundFuelSurcharge),2)))*(1+FedEx_Markup),2)</f>
        <v>82.72</v>
      </c>
      <c r="L55" s="218">
        <f>ROUND((IF('Ground Base'!L$154&gt;ROUND(((1-GroundZone54Discount)*'Ground Base'!L50),2),ROUND(('Ground Base'!L$154+GroundResidentialFee)*(1+GroundFuelSurcharge),2),ROUND((((1-GroundZone54Discount)*'Ground Base'!L50)+GroundResidentialFee)*(1+GroundFuelSurcharge),2)))*(1+FedEx_Markup),2)</f>
        <v>96.84</v>
      </c>
    </row>
    <row r="56" spans="1:12" ht="12.75" customHeight="1">
      <c r="A56" s="217">
        <v>49</v>
      </c>
      <c r="B56" s="218">
        <f ca="1">IFERROR(__xludf.DUMMYFUNCTION("ROUND((IF(SINGLE('Ground Base'!B$154)&gt;ROUND(((1-GroundResDiscount31Up-GroundResIncentive)*'Ground Base'!B51),2),ROUND((SINGLE('Ground Base'!B$154)+GroundResidentialFee)*(1+GroundFuelSurcharge),2),ROUND((((1-GroundResDiscount31Up-GroundResIncentive)*'Groun"&amp;"d Base'!B51)+GroundResidentialFee)*(1+GroundFuelSurcharge),2)))*(1+FedEx_Markup),2)"),21.21)</f>
        <v>21.21</v>
      </c>
      <c r="C56" s="218">
        <f ca="1">IFERROR(__xludf.DUMMYFUNCTION("ROUND((IF(SINGLE('Ground Base'!C$154)&gt;ROUND(((1-GroundResDiscount31Up-GroundResIncentive)*'Ground Base'!C51),2),ROUND((SINGLE('Ground Base'!C$154)+GroundResidentialFee)*(1+GroundFuelSurcharge),2),ROUND((((1-GroundResDiscount31Up-GroundResIncentive)*'Groun"&amp;"d Base'!C51)+GroundResidentialFee)*(1+GroundFuelSurcharge),2)))*(1+FedEx_Markup),2)"),25.7)</f>
        <v>25.7</v>
      </c>
      <c r="D56" s="218">
        <f ca="1">IFERROR(__xludf.DUMMYFUNCTION("ROUND((IF(SINGLE('Ground Base'!D$154)&gt;ROUND(((1-GroundResDiscount31Up-GroundResIncentive)*'Ground Base'!D51),2),ROUND((SINGLE('Ground Base'!D$154)+GroundResidentialFee)*(1+GroundFuelSurcharge),2),ROUND((((1-GroundResDiscount31Up-GroundResIncentive)*'Groun"&amp;"d Base'!D51)+GroundResidentialFee)*(1+GroundFuelSurcharge),2)))*(1+FedEx_Markup),2)"),30.15)</f>
        <v>30.15</v>
      </c>
      <c r="E56" s="218">
        <f ca="1">IFERROR(__xludf.DUMMYFUNCTION("ROUND((IF(SINGLE('Ground Base'!E$154)&gt;ROUND(((1-GroundResDiscount31Up-GroundResIncentive)*'Ground Base'!E51),2),ROUND((SINGLE('Ground Base'!E$154)+GroundResidentialFee)*(1+GroundFuelSurcharge),2),ROUND((((1-GroundResDiscount31Up-GroundResIncentive)*'Groun"&amp;"d Base'!E51)+GroundResidentialFee)*(1+GroundFuelSurcharge),2)))*(1+FedEx_Markup),2)"),35.86)</f>
        <v>35.86</v>
      </c>
      <c r="F56" s="218">
        <f ca="1">IFERROR(__xludf.DUMMYFUNCTION("ROUND((IF(SINGLE('Ground Base'!F$154)&gt;ROUND(((1-GroundResDiscount31Up-GroundResIncentive)*'Ground Base'!F51),2),ROUND((SINGLE('Ground Base'!F$154)+GroundResidentialFee)*(1+GroundFuelSurcharge),2),ROUND((((1-GroundResDiscount31Up-GroundResIncentive)*'Groun"&amp;"d Base'!F51)+GroundResidentialFee)*(1+GroundFuelSurcharge),2)))*(1+FedEx_Markup),2)"),44)</f>
        <v>44</v>
      </c>
      <c r="G56" s="218">
        <f ca="1">IFERROR(__xludf.DUMMYFUNCTION("ROUND((IF(SINGLE('Ground Base'!G$154)&gt;ROUND(((1-GroundResDiscount31Up-GroundResIncentive)*'Ground Base'!G51),2),ROUND((SINGLE('Ground Base'!G$154)+GroundResidentialFee)*(1+GroundFuelSurcharge),2),ROUND((((1-GroundResDiscount31Up-GroundResIncentive)*'Groun"&amp;"d Base'!G51)+GroundResidentialFee)*(1+GroundFuelSurcharge),2)))*(1+FedEx_Markup),2)"),52.56)</f>
        <v>52.56</v>
      </c>
      <c r="H56" s="218">
        <f ca="1">IFERROR(__xludf.DUMMYFUNCTION("ROUND((IF(SINGLE('Ground Base'!H$154)&gt;ROUND(((1-GroundResDiscount31Up-GroundResIncentive)*'Ground Base'!H51),2),ROUND((SINGLE('Ground Base'!H$154)+GroundResidentialFee)*(1+GroundFuelSurcharge),2),ROUND((((1-GroundResDiscount31Up-GroundResIncentive)*'Groun"&amp;"d Base'!H51)+GroundResidentialFee)*(1+GroundFuelSurcharge),2)))*(1+FedEx_Markup),2)"),57.75)</f>
        <v>57.75</v>
      </c>
      <c r="I56" s="218">
        <f>ROUND((IF('Ground Base'!I$154&gt;ROUND(((1-GroundAKHIDiscount)*'Ground Base'!I51),2),ROUND(('Ground Base'!I$154+GroundResidentialFee)*(1+GroundFuelSurcharge),2),ROUND((((1-GroundAKHIDiscount)*'Ground Base'!I51)+GroundResidentialFee)*(1+GroundFuelSurcharge),2)))*(1+FedEx_Markup),2)</f>
        <v>267.64</v>
      </c>
      <c r="J56" s="218">
        <f>ROUND((IF('Ground Base'!J$154&gt;ROUND(((1-GroundAKHIDiscount)*'Ground Base'!J51),2),ROUND(('Ground Base'!J$154+GroundResidentialFee)*(1+GroundFuelSurcharge),2),ROUND((((1-GroundAKHIDiscount)*'Ground Base'!J51)+GroundResidentialFee)*(1+GroundFuelSurcharge),2)))*(1+FedEx_Markup),2)</f>
        <v>267.64</v>
      </c>
      <c r="K56" s="218">
        <f>ROUND((IF('Ground Base'!K$154&gt;ROUND(((1-GroundZone51Discount)*'Ground Base'!K51),2),ROUND(('Ground Base'!K$154+GroundResidentialFee)*(1+GroundFuelSurcharge),2),ROUND((((1-GroundZone51Discount)*'Ground Base'!K51)+GroundResidentialFee)*(1+GroundFuelSurcharge),2)))*(1+FedEx_Markup),2)</f>
        <v>84.05</v>
      </c>
      <c r="L56" s="218">
        <f>ROUND((IF('Ground Base'!L$154&gt;ROUND(((1-GroundZone54Discount)*'Ground Base'!L51),2),ROUND(('Ground Base'!L$154+GroundResidentialFee)*(1+GroundFuelSurcharge),2),ROUND((((1-GroundZone54Discount)*'Ground Base'!L51)+GroundResidentialFee)*(1+GroundFuelSurcharge),2)))*(1+FedEx_Markup),2)</f>
        <v>98.14</v>
      </c>
    </row>
    <row r="57" spans="1:12" ht="12.75" customHeight="1">
      <c r="A57" s="217">
        <v>50</v>
      </c>
      <c r="B57" s="218">
        <f ca="1">IFERROR(__xludf.DUMMYFUNCTION("ROUND((IF(SINGLE('Ground Base'!B$154)&gt;ROUND(((1-GroundResDiscount31Up-GroundResIncentive)*'Ground Base'!B52),2),ROUND((SINGLE('Ground Base'!B$154)+GroundResidentialFee)*(1+GroundFuelSurcharge),2),ROUND((((1-GroundResDiscount31Up-GroundResIncentive)*'Groun"&amp;"d Base'!B52)+GroundResidentialFee)*(1+GroundFuelSurcharge),2)))*(1+FedEx_Markup),2)"),21.22)</f>
        <v>21.22</v>
      </c>
      <c r="C57" s="218">
        <f ca="1">IFERROR(__xludf.DUMMYFUNCTION("ROUND((IF(SINGLE('Ground Base'!C$154)&gt;ROUND(((1-GroundResDiscount31Up-GroundResIncentive)*'Ground Base'!C52),2),ROUND((SINGLE('Ground Base'!C$154)+GroundResidentialFee)*(1+GroundFuelSurcharge),2),ROUND((((1-GroundResDiscount31Up-GroundResIncentive)*'Groun"&amp;"d Base'!C52)+GroundResidentialFee)*(1+GroundFuelSurcharge),2)))*(1+FedEx_Markup),2)"),25.7)</f>
        <v>25.7</v>
      </c>
      <c r="D57" s="218">
        <f ca="1">IFERROR(__xludf.DUMMYFUNCTION("ROUND((IF(SINGLE('Ground Base'!D$154)&gt;ROUND(((1-GroundResDiscount31Up-GroundResIncentive)*'Ground Base'!D52),2),ROUND((SINGLE('Ground Base'!D$154)+GroundResidentialFee)*(1+GroundFuelSurcharge),2),ROUND((((1-GroundResDiscount31Up-GroundResIncentive)*'Groun"&amp;"d Base'!D52)+GroundResidentialFee)*(1+GroundFuelSurcharge),2)))*(1+FedEx_Markup),2)"),30.16)</f>
        <v>30.16</v>
      </c>
      <c r="E57" s="218">
        <f ca="1">IFERROR(__xludf.DUMMYFUNCTION("ROUND((IF(SINGLE('Ground Base'!E$154)&gt;ROUND(((1-GroundResDiscount31Up-GroundResIncentive)*'Ground Base'!E52),2),ROUND((SINGLE('Ground Base'!E$154)+GroundResidentialFee)*(1+GroundFuelSurcharge),2),ROUND((((1-GroundResDiscount31Up-GroundResIncentive)*'Groun"&amp;"d Base'!E52)+GroundResidentialFee)*(1+GroundFuelSurcharge),2)))*(1+FedEx_Markup),2)"),35.88)</f>
        <v>35.880000000000003</v>
      </c>
      <c r="F57" s="218">
        <f ca="1">IFERROR(__xludf.DUMMYFUNCTION("ROUND((IF(SINGLE('Ground Base'!F$154)&gt;ROUND(((1-GroundResDiscount31Up-GroundResIncentive)*'Ground Base'!F52),2),ROUND((SINGLE('Ground Base'!F$154)+GroundResidentialFee)*(1+GroundFuelSurcharge),2),ROUND((((1-GroundResDiscount31Up-GroundResIncentive)*'Groun"&amp;"d Base'!F52)+GroundResidentialFee)*(1+GroundFuelSurcharge),2)))*(1+FedEx_Markup),2)"),44.36)</f>
        <v>44.36</v>
      </c>
      <c r="G57" s="218">
        <f ca="1">IFERROR(__xludf.DUMMYFUNCTION("ROUND((IF(SINGLE('Ground Base'!G$154)&gt;ROUND(((1-GroundResDiscount31Up-GroundResIncentive)*'Ground Base'!G52),2),ROUND((SINGLE('Ground Base'!G$154)+GroundResidentialFee)*(1+GroundFuelSurcharge),2),ROUND((((1-GroundResDiscount31Up-GroundResIncentive)*'Groun"&amp;"d Base'!G52)+GroundResidentialFee)*(1+GroundFuelSurcharge),2)))*(1+FedEx_Markup),2)"),52.99)</f>
        <v>52.99</v>
      </c>
      <c r="H57" s="218">
        <f ca="1">IFERROR(__xludf.DUMMYFUNCTION("ROUND((IF(SINGLE('Ground Base'!H$154)&gt;ROUND(((1-GroundResDiscount31Up-GroundResIncentive)*'Ground Base'!H52),2),ROUND((SINGLE('Ground Base'!H$154)+GroundResidentialFee)*(1+GroundFuelSurcharge),2),ROUND((((1-GroundResDiscount31Up-GroundResIncentive)*'Groun"&amp;"d Base'!H52)+GroundResidentialFee)*(1+GroundFuelSurcharge),2)))*(1+FedEx_Markup),2)"),58.52)</f>
        <v>58.52</v>
      </c>
      <c r="I57" s="218">
        <f>ROUND((IF('Ground Base'!I$154&gt;ROUND(((1-GroundAKHIDiscount)*'Ground Base'!I52),2),ROUND(('Ground Base'!I$154+GroundResidentialFee)*(1+GroundFuelSurcharge),2),ROUND((((1-GroundAKHIDiscount)*'Ground Base'!I52)+GroundResidentialFee)*(1+GroundFuelSurcharge),2)))*(1+FedEx_Markup),2)</f>
        <v>272.08</v>
      </c>
      <c r="J57" s="218">
        <f>ROUND((IF('Ground Base'!J$154&gt;ROUND(((1-GroundAKHIDiscount)*'Ground Base'!J52),2),ROUND(('Ground Base'!J$154+GroundResidentialFee)*(1+GroundFuelSurcharge),2),ROUND((((1-GroundAKHIDiscount)*'Ground Base'!J52)+GroundResidentialFee)*(1+GroundFuelSurcharge),2)))*(1+FedEx_Markup),2)</f>
        <v>272.08</v>
      </c>
      <c r="K57" s="218">
        <f>ROUND((IF('Ground Base'!K$154&gt;ROUND(((1-GroundZone51Discount)*'Ground Base'!K52),2),ROUND(('Ground Base'!K$154+GroundResidentialFee)*(1+GroundFuelSurcharge),2),ROUND((((1-GroundZone51Discount)*'Ground Base'!K52)+GroundResidentialFee)*(1+GroundFuelSurcharge),2)))*(1+FedEx_Markup),2)</f>
        <v>85.38</v>
      </c>
      <c r="L57" s="218">
        <f>ROUND((IF('Ground Base'!L$154&gt;ROUND(((1-GroundZone54Discount)*'Ground Base'!L52),2),ROUND(('Ground Base'!L$154+GroundResidentialFee)*(1+GroundFuelSurcharge),2),ROUND((((1-GroundZone54Discount)*'Ground Base'!L52)+GroundResidentialFee)*(1+GroundFuelSurcharge),2)))*(1+FedEx_Markup),2)</f>
        <v>99.65</v>
      </c>
    </row>
    <row r="58" spans="1:12" ht="12.75" customHeight="1">
      <c r="A58" s="217">
        <v>51</v>
      </c>
      <c r="B58" s="218">
        <f ca="1">IFERROR(__xludf.DUMMYFUNCTION("ROUND((IF(SINGLE('Ground Base'!B$154)&gt;ROUND(((1-GroundResDiscount31Up-GroundResIncentive)*'Ground Base'!B53),2),ROUND((SINGLE('Ground Base'!B$154)+GroundResidentialFee)*(1+GroundFuelSurcharge),2),ROUND((((1-GroundResDiscount31Up-GroundResIncentive)*'Groun"&amp;"d Base'!B53)+GroundResidentialFee)*(1+GroundFuelSurcharge),2)))*(1+FedEx_Markup),2)"),21.34)</f>
        <v>21.34</v>
      </c>
      <c r="C58" s="218">
        <f ca="1">IFERROR(__xludf.DUMMYFUNCTION("ROUND((IF(SINGLE('Ground Base'!C$154)&gt;ROUND(((1-GroundResDiscount31Up-GroundResIncentive)*'Ground Base'!C53),2),ROUND((SINGLE('Ground Base'!C$154)+GroundResidentialFee)*(1+GroundFuelSurcharge),2),ROUND((((1-GroundResDiscount31Up-GroundResIncentive)*'Groun"&amp;"d Base'!C53)+GroundResidentialFee)*(1+GroundFuelSurcharge),2)))*(1+FedEx_Markup),2)"),25.86)</f>
        <v>25.86</v>
      </c>
      <c r="D58" s="218">
        <f ca="1">IFERROR(__xludf.DUMMYFUNCTION("ROUND((IF(SINGLE('Ground Base'!D$154)&gt;ROUND(((1-GroundResDiscount31Up-GroundResIncentive)*'Ground Base'!D53),2),ROUND((SINGLE('Ground Base'!D$154)+GroundResidentialFee)*(1+GroundFuelSurcharge),2),ROUND((((1-GroundResDiscount31Up-GroundResIncentive)*'Groun"&amp;"d Base'!D53)+GroundResidentialFee)*(1+GroundFuelSurcharge),2)))*(1+FedEx_Markup),2)"),30.43)</f>
        <v>30.43</v>
      </c>
      <c r="E58" s="218">
        <f ca="1">IFERROR(__xludf.DUMMYFUNCTION("ROUND((IF(SINGLE('Ground Base'!E$154)&gt;ROUND(((1-GroundResDiscount31Up-GroundResIncentive)*'Ground Base'!E53),2),ROUND((SINGLE('Ground Base'!E$154)+GroundResidentialFee)*(1+GroundFuelSurcharge),2),ROUND((((1-GroundResDiscount31Up-GroundResIncentive)*'Groun"&amp;"d Base'!E53)+GroundResidentialFee)*(1+GroundFuelSurcharge),2)))*(1+FedEx_Markup),2)"),36.19)</f>
        <v>36.19</v>
      </c>
      <c r="F58" s="218">
        <f ca="1">IFERROR(__xludf.DUMMYFUNCTION("ROUND((IF(SINGLE('Ground Base'!F$154)&gt;ROUND(((1-GroundResDiscount31Up-GroundResIncentive)*'Ground Base'!F53),2),ROUND((SINGLE('Ground Base'!F$154)+GroundResidentialFee)*(1+GroundFuelSurcharge),2),ROUND((((1-GroundResDiscount31Up-GroundResIncentive)*'Groun"&amp;"d Base'!F53)+GroundResidentialFee)*(1+GroundFuelSurcharge),2)))*(1+FedEx_Markup),2)"),45.07)</f>
        <v>45.07</v>
      </c>
      <c r="G58" s="218">
        <f ca="1">IFERROR(__xludf.DUMMYFUNCTION("ROUND((IF(SINGLE('Ground Base'!G$154)&gt;ROUND(((1-GroundResDiscount31Up-GroundResIncentive)*'Ground Base'!G53),2),ROUND((SINGLE('Ground Base'!G$154)+GroundResidentialFee)*(1+GroundFuelSurcharge),2),ROUND((((1-GroundResDiscount31Up-GroundResIncentive)*'Groun"&amp;"d Base'!G53)+GroundResidentialFee)*(1+GroundFuelSurcharge),2)))*(1+FedEx_Markup),2)"),53.84)</f>
        <v>53.84</v>
      </c>
      <c r="H58" s="218">
        <f ca="1">IFERROR(__xludf.DUMMYFUNCTION("ROUND((IF(SINGLE('Ground Base'!H$154)&gt;ROUND(((1-GroundResDiscount31Up-GroundResIncentive)*'Ground Base'!H53),2),ROUND((SINGLE('Ground Base'!H$154)+GroundResidentialFee)*(1+GroundFuelSurcharge),2),ROUND((((1-GroundResDiscount31Up-GroundResIncentive)*'Groun"&amp;"d Base'!H53)+GroundResidentialFee)*(1+GroundFuelSurcharge),2)))*(1+FedEx_Markup),2)"),60.06)</f>
        <v>60.06</v>
      </c>
      <c r="I58" s="218">
        <f>ROUND((IF('Ground Base'!I$154&gt;ROUND(((1-GroundAKHIDiscount)*'Ground Base'!I53),2),ROUND(('Ground Base'!I$154+GroundResidentialFee)*(1+GroundFuelSurcharge),2),ROUND((((1-GroundAKHIDiscount)*'Ground Base'!I53)+GroundResidentialFee)*(1+GroundFuelSurcharge),2)))*(1+FedEx_Markup),2)</f>
        <v>280.39</v>
      </c>
      <c r="J58" s="218">
        <f>ROUND((IF('Ground Base'!J$154&gt;ROUND(((1-GroundAKHIDiscount)*'Ground Base'!J53),2),ROUND(('Ground Base'!J$154+GroundResidentialFee)*(1+GroundFuelSurcharge),2),ROUND((((1-GroundAKHIDiscount)*'Ground Base'!J53)+GroundResidentialFee)*(1+GroundFuelSurcharge),2)))*(1+FedEx_Markup),2)</f>
        <v>280.39</v>
      </c>
      <c r="K58" s="218">
        <f>ROUND((IF('Ground Base'!K$154&gt;ROUND(((1-GroundZone51Discount)*'Ground Base'!K53),2),ROUND(('Ground Base'!K$154+GroundResidentialFee)*(1+GroundFuelSurcharge),2),ROUND((((1-GroundZone51Discount)*'Ground Base'!K53)+GroundResidentialFee)*(1+GroundFuelSurcharge),2)))*(1+FedEx_Markup),2)</f>
        <v>87.88</v>
      </c>
      <c r="L58" s="218">
        <f>ROUND((IF('Ground Base'!L$154&gt;ROUND(((1-GroundZone54Discount)*'Ground Base'!L53),2),ROUND(('Ground Base'!L$154+GroundResidentialFee)*(1+GroundFuelSurcharge),2),ROUND((((1-GroundZone54Discount)*'Ground Base'!L53)+GroundResidentialFee)*(1+GroundFuelSurcharge),2)))*(1+FedEx_Markup),2)</f>
        <v>101.66</v>
      </c>
    </row>
    <row r="59" spans="1:12" ht="12.75" customHeight="1">
      <c r="A59" s="217">
        <v>52</v>
      </c>
      <c r="B59" s="218">
        <f ca="1">IFERROR(__xludf.DUMMYFUNCTION("ROUND((IF(SINGLE('Ground Base'!B$154)&gt;ROUND(((1-GroundResDiscount31Up-GroundResIncentive)*'Ground Base'!B54),2),ROUND((SINGLE('Ground Base'!B$154)+GroundResidentialFee)*(1+GroundFuelSurcharge),2),ROUND((((1-GroundResDiscount31Up-GroundResIncentive)*'Groun"&amp;"d Base'!B54)+GroundResidentialFee)*(1+GroundFuelSurcharge),2)))*(1+FedEx_Markup),2)"),21.34)</f>
        <v>21.34</v>
      </c>
      <c r="C59" s="218">
        <f ca="1">IFERROR(__xludf.DUMMYFUNCTION("ROUND((IF(SINGLE('Ground Base'!C$154)&gt;ROUND(((1-GroundResDiscount31Up-GroundResIncentive)*'Ground Base'!C54),2),ROUND((SINGLE('Ground Base'!C$154)+GroundResidentialFee)*(1+GroundFuelSurcharge),2),ROUND((((1-GroundResDiscount31Up-GroundResIncentive)*'Groun"&amp;"d Base'!C54)+GroundResidentialFee)*(1+GroundFuelSurcharge),2)))*(1+FedEx_Markup),2)"),25.88)</f>
        <v>25.88</v>
      </c>
      <c r="D59" s="218">
        <f ca="1">IFERROR(__xludf.DUMMYFUNCTION("ROUND((IF(SINGLE('Ground Base'!D$154)&gt;ROUND(((1-GroundResDiscount31Up-GroundResIncentive)*'Ground Base'!D54),2),ROUND((SINGLE('Ground Base'!D$154)+GroundResidentialFee)*(1+GroundFuelSurcharge),2),ROUND((((1-GroundResDiscount31Up-GroundResIncentive)*'Groun"&amp;"d Base'!D54)+GroundResidentialFee)*(1+GroundFuelSurcharge),2)))*(1+FedEx_Markup),2)"),30.44)</f>
        <v>30.44</v>
      </c>
      <c r="E59" s="218">
        <f ca="1">IFERROR(__xludf.DUMMYFUNCTION("ROUND((IF(SINGLE('Ground Base'!E$154)&gt;ROUND(((1-GroundResDiscount31Up-GroundResIncentive)*'Ground Base'!E54),2),ROUND((SINGLE('Ground Base'!E$154)+GroundResidentialFee)*(1+GroundFuelSurcharge),2),ROUND((((1-GroundResDiscount31Up-GroundResIncentive)*'Groun"&amp;"d Base'!E54)+GroundResidentialFee)*(1+GroundFuelSurcharge),2)))*(1+FedEx_Markup),2)"),36.21)</f>
        <v>36.21</v>
      </c>
      <c r="F59" s="218">
        <f ca="1">IFERROR(__xludf.DUMMYFUNCTION("ROUND((IF(SINGLE('Ground Base'!F$154)&gt;ROUND(((1-GroundResDiscount31Up-GroundResIncentive)*'Ground Base'!F54),2),ROUND((SINGLE('Ground Base'!F$154)+GroundResidentialFee)*(1+GroundFuelSurcharge),2),ROUND((((1-GroundResDiscount31Up-GroundResIncentive)*'Groun"&amp;"d Base'!F54)+GroundResidentialFee)*(1+GroundFuelSurcharge),2)))*(1+FedEx_Markup),2)"),45.07)</f>
        <v>45.07</v>
      </c>
      <c r="G59" s="218">
        <f ca="1">IFERROR(__xludf.DUMMYFUNCTION("ROUND((IF(SINGLE('Ground Base'!G$154)&gt;ROUND(((1-GroundResDiscount31Up-GroundResIncentive)*'Ground Base'!G54),2),ROUND((SINGLE('Ground Base'!G$154)+GroundResidentialFee)*(1+GroundFuelSurcharge),2),ROUND((((1-GroundResDiscount31Up-GroundResIncentive)*'Groun"&amp;"d Base'!G54)+GroundResidentialFee)*(1+GroundFuelSurcharge),2)))*(1+FedEx_Markup),2)"),53.85)</f>
        <v>53.85</v>
      </c>
      <c r="H59" s="218">
        <f ca="1">IFERROR(__xludf.DUMMYFUNCTION("ROUND((IF(SINGLE('Ground Base'!H$154)&gt;ROUND(((1-GroundResDiscount31Up-GroundResIncentive)*'Ground Base'!H54),2),ROUND((SINGLE('Ground Base'!H$154)+GroundResidentialFee)*(1+GroundFuelSurcharge),2),ROUND((((1-GroundResDiscount31Up-GroundResIncentive)*'Groun"&amp;"d Base'!H54)+GroundResidentialFee)*(1+GroundFuelSurcharge),2)))*(1+FedEx_Markup),2)"),60.06)</f>
        <v>60.06</v>
      </c>
      <c r="I59" s="218">
        <f>ROUND((IF('Ground Base'!I$154&gt;ROUND(((1-GroundAKHIDiscount)*'Ground Base'!I54),2),ROUND(('Ground Base'!I$154+GroundResidentialFee)*(1+GroundFuelSurcharge),2),ROUND((((1-GroundAKHIDiscount)*'Ground Base'!I54)+GroundResidentialFee)*(1+GroundFuelSurcharge),2)))*(1+FedEx_Markup),2)</f>
        <v>280.95</v>
      </c>
      <c r="J59" s="218">
        <f>ROUND((IF('Ground Base'!J$154&gt;ROUND(((1-GroundAKHIDiscount)*'Ground Base'!J54),2),ROUND(('Ground Base'!J$154+GroundResidentialFee)*(1+GroundFuelSurcharge),2),ROUND((((1-GroundAKHIDiscount)*'Ground Base'!J54)+GroundResidentialFee)*(1+GroundFuelSurcharge),2)))*(1+FedEx_Markup),2)</f>
        <v>280.95</v>
      </c>
      <c r="K59" s="218">
        <f>ROUND((IF('Ground Base'!K$154&gt;ROUND(((1-GroundZone51Discount)*'Ground Base'!K54),2),ROUND(('Ground Base'!K$154+GroundResidentialFee)*(1+GroundFuelSurcharge),2),ROUND((((1-GroundZone51Discount)*'Ground Base'!K54)+GroundResidentialFee)*(1+GroundFuelSurcharge),2)))*(1+FedEx_Markup),2)</f>
        <v>87.89</v>
      </c>
      <c r="L59" s="218">
        <f>ROUND((IF('Ground Base'!L$154&gt;ROUND(((1-GroundZone54Discount)*'Ground Base'!L54),2),ROUND(('Ground Base'!L$154+GroundResidentialFee)*(1+GroundFuelSurcharge),2),ROUND((((1-GroundZone54Discount)*'Ground Base'!L54)+GroundResidentialFee)*(1+GroundFuelSurcharge),2)))*(1+FedEx_Markup),2)</f>
        <v>101.68</v>
      </c>
    </row>
    <row r="60" spans="1:12" ht="12.75" customHeight="1">
      <c r="A60" s="217">
        <v>53</v>
      </c>
      <c r="B60" s="218">
        <f ca="1">IFERROR(__xludf.DUMMYFUNCTION("ROUND((IF(SINGLE('Ground Base'!B$154)&gt;ROUND(((1-GroundResDiscount31Up-GroundResIncentive)*'Ground Base'!B55),2),ROUND((SINGLE('Ground Base'!B$154)+GroundResidentialFee)*(1+GroundFuelSurcharge),2),ROUND((((1-GroundResDiscount31Up-GroundResIncentive)*'Groun"&amp;"d Base'!B55)+GroundResidentialFee)*(1+GroundFuelSurcharge),2)))*(1+FedEx_Markup),2)"),21.36)</f>
        <v>21.36</v>
      </c>
      <c r="C60" s="218">
        <f ca="1">IFERROR(__xludf.DUMMYFUNCTION("ROUND((IF(SINGLE('Ground Base'!C$154)&gt;ROUND(((1-GroundResDiscount31Up-GroundResIncentive)*'Ground Base'!C55),2),ROUND((SINGLE('Ground Base'!C$154)+GroundResidentialFee)*(1+GroundFuelSurcharge),2),ROUND((((1-GroundResDiscount31Up-GroundResIncentive)*'Groun"&amp;"d Base'!C55)+GroundResidentialFee)*(1+GroundFuelSurcharge),2)))*(1+FedEx_Markup),2)"),25.88)</f>
        <v>25.88</v>
      </c>
      <c r="D60" s="218">
        <f ca="1">IFERROR(__xludf.DUMMYFUNCTION("ROUND((IF(SINGLE('Ground Base'!D$154)&gt;ROUND(((1-GroundResDiscount31Up-GroundResIncentive)*'Ground Base'!D55),2),ROUND((SINGLE('Ground Base'!D$154)+GroundResidentialFee)*(1+GroundFuelSurcharge),2),ROUND((((1-GroundResDiscount31Up-GroundResIncentive)*'Groun"&amp;"d Base'!D55)+GroundResidentialFee)*(1+GroundFuelSurcharge),2)))*(1+FedEx_Markup),2)"),30.45)</f>
        <v>30.45</v>
      </c>
      <c r="E60" s="218">
        <f ca="1">IFERROR(__xludf.DUMMYFUNCTION("ROUND((IF(SINGLE('Ground Base'!E$154)&gt;ROUND(((1-GroundResDiscount31Up-GroundResIncentive)*'Ground Base'!E55),2),ROUND((SINGLE('Ground Base'!E$154)+GroundResidentialFee)*(1+GroundFuelSurcharge),2),ROUND((((1-GroundResDiscount31Up-GroundResIncentive)*'Groun"&amp;"d Base'!E55)+GroundResidentialFee)*(1+GroundFuelSurcharge),2)))*(1+FedEx_Markup),2)"),36.54)</f>
        <v>36.54</v>
      </c>
      <c r="F60" s="218">
        <f ca="1">IFERROR(__xludf.DUMMYFUNCTION("ROUND((IF(SINGLE('Ground Base'!F$154)&gt;ROUND(((1-GroundResDiscount31Up-GroundResIncentive)*'Ground Base'!F55),2),ROUND((SINGLE('Ground Base'!F$154)+GroundResidentialFee)*(1+GroundFuelSurcharge),2),ROUND((((1-GroundResDiscount31Up-GroundResIncentive)*'Groun"&amp;"d Base'!F55)+GroundResidentialFee)*(1+GroundFuelSurcharge),2)))*(1+FedEx_Markup),2)"),45.08)</f>
        <v>45.08</v>
      </c>
      <c r="G60" s="218">
        <f ca="1">IFERROR(__xludf.DUMMYFUNCTION("ROUND((IF(SINGLE('Ground Base'!G$154)&gt;ROUND(((1-GroundResDiscount31Up-GroundResIncentive)*'Ground Base'!G55),2),ROUND((SINGLE('Ground Base'!G$154)+GroundResidentialFee)*(1+GroundFuelSurcharge),2),ROUND((((1-GroundResDiscount31Up-GroundResIncentive)*'Groun"&amp;"d Base'!G55)+GroundResidentialFee)*(1+GroundFuelSurcharge),2)))*(1+FedEx_Markup),2)"),53.85)</f>
        <v>53.85</v>
      </c>
      <c r="H60" s="218">
        <f ca="1">IFERROR(__xludf.DUMMYFUNCTION("ROUND((IF(SINGLE('Ground Base'!H$154)&gt;ROUND(((1-GroundResDiscount31Up-GroundResIncentive)*'Ground Base'!H55),2),ROUND((SINGLE('Ground Base'!H$154)+GroundResidentialFee)*(1+GroundFuelSurcharge),2),ROUND((((1-GroundResDiscount31Up-GroundResIncentive)*'Groun"&amp;"d Base'!H55)+GroundResidentialFee)*(1+GroundFuelSurcharge),2)))*(1+FedEx_Markup),2)"),60.62)</f>
        <v>60.62</v>
      </c>
      <c r="I60" s="218">
        <f>ROUND((IF('Ground Base'!I$154&gt;ROUND(((1-GroundAKHIDiscount)*'Ground Base'!I55),2),ROUND(('Ground Base'!I$154+GroundResidentialFee)*(1+GroundFuelSurcharge),2),ROUND((((1-GroundAKHIDiscount)*'Ground Base'!I55)+GroundResidentialFee)*(1+GroundFuelSurcharge),2)))*(1+FedEx_Markup),2)</f>
        <v>285.14999999999998</v>
      </c>
      <c r="J60" s="218">
        <f>ROUND((IF('Ground Base'!J$154&gt;ROUND(((1-GroundAKHIDiscount)*'Ground Base'!J55),2),ROUND(('Ground Base'!J$154+GroundResidentialFee)*(1+GroundFuelSurcharge),2),ROUND((((1-GroundAKHIDiscount)*'Ground Base'!J55)+GroundResidentialFee)*(1+GroundFuelSurcharge),2)))*(1+FedEx_Markup),2)</f>
        <v>285.14999999999998</v>
      </c>
      <c r="K60" s="218">
        <f>ROUND((IF('Ground Base'!K$154&gt;ROUND(((1-GroundZone51Discount)*'Ground Base'!K55),2),ROUND(('Ground Base'!K$154+GroundResidentialFee)*(1+GroundFuelSurcharge),2),ROUND((((1-GroundZone51Discount)*'Ground Base'!K55)+GroundResidentialFee)*(1+GroundFuelSurcharge),2)))*(1+FedEx_Markup),2)</f>
        <v>90.23</v>
      </c>
      <c r="L60" s="218">
        <f>ROUND((IF('Ground Base'!L$154&gt;ROUND(((1-GroundZone54Discount)*'Ground Base'!L55),2),ROUND(('Ground Base'!L$154+GroundResidentialFee)*(1+GroundFuelSurcharge),2),ROUND((((1-GroundZone54Discount)*'Ground Base'!L55)+GroundResidentialFee)*(1+GroundFuelSurcharge),2)))*(1+FedEx_Markup),2)</f>
        <v>103.56</v>
      </c>
    </row>
    <row r="61" spans="1:12" ht="12.75" customHeight="1">
      <c r="A61" s="217">
        <v>54</v>
      </c>
      <c r="B61" s="218">
        <f ca="1">IFERROR(__xludf.DUMMYFUNCTION("ROUND((IF(SINGLE('Ground Base'!B$154)&gt;ROUND(((1-GroundResDiscount31Up-GroundResIncentive)*'Ground Base'!B56),2),ROUND((SINGLE('Ground Base'!B$154)+GroundResidentialFee)*(1+GroundFuelSurcharge),2),ROUND((((1-GroundResDiscount31Up-GroundResIncentive)*'Groun"&amp;"d Base'!B56)+GroundResidentialFee)*(1+GroundFuelSurcharge),2)))*(1+FedEx_Markup),2)"),21.36)</f>
        <v>21.36</v>
      </c>
      <c r="C61" s="218">
        <f ca="1">IFERROR(__xludf.DUMMYFUNCTION("ROUND((IF(SINGLE('Ground Base'!C$154)&gt;ROUND(((1-GroundResDiscount31Up-GroundResIncentive)*'Ground Base'!C56),2),ROUND((SINGLE('Ground Base'!C$154)+GroundResidentialFee)*(1+GroundFuelSurcharge),2),ROUND((((1-GroundResDiscount31Up-GroundResIncentive)*'Groun"&amp;"d Base'!C56)+GroundResidentialFee)*(1+GroundFuelSurcharge),2)))*(1+FedEx_Markup),2)"),25.89)</f>
        <v>25.89</v>
      </c>
      <c r="D61" s="218">
        <f ca="1">IFERROR(__xludf.DUMMYFUNCTION("ROUND((IF(SINGLE('Ground Base'!D$154)&gt;ROUND(((1-GroundResDiscount31Up-GroundResIncentive)*'Ground Base'!D56),2),ROUND((SINGLE('Ground Base'!D$154)+GroundResidentialFee)*(1+GroundFuelSurcharge),2),ROUND((((1-GroundResDiscount31Up-GroundResIncentive)*'Groun"&amp;"d Base'!D56)+GroundResidentialFee)*(1+GroundFuelSurcharge),2)))*(1+FedEx_Markup),2)"),30.49)</f>
        <v>30.49</v>
      </c>
      <c r="E61" s="218">
        <f ca="1">IFERROR(__xludf.DUMMYFUNCTION("ROUND((IF(SINGLE('Ground Base'!E$154)&gt;ROUND(((1-GroundResDiscount31Up-GroundResIncentive)*'Ground Base'!E56),2),ROUND((SINGLE('Ground Base'!E$154)+GroundResidentialFee)*(1+GroundFuelSurcharge),2),ROUND((((1-GroundResDiscount31Up-GroundResIncentive)*'Groun"&amp;"d Base'!E56)+GroundResidentialFee)*(1+GroundFuelSurcharge),2)))*(1+FedEx_Markup),2)"),36.6)</f>
        <v>36.6</v>
      </c>
      <c r="F61" s="218">
        <f ca="1">IFERROR(__xludf.DUMMYFUNCTION("ROUND((IF(SINGLE('Ground Base'!F$154)&gt;ROUND(((1-GroundResDiscount31Up-GroundResIncentive)*'Ground Base'!F56),2),ROUND((SINGLE('Ground Base'!F$154)+GroundResidentialFee)*(1+GroundFuelSurcharge),2),ROUND((((1-GroundResDiscount31Up-GroundResIncentive)*'Groun"&amp;"d Base'!F56)+GroundResidentialFee)*(1+GroundFuelSurcharge),2)))*(1+FedEx_Markup),2)"),45.09)</f>
        <v>45.09</v>
      </c>
      <c r="G61" s="218">
        <f ca="1">IFERROR(__xludf.DUMMYFUNCTION("ROUND((IF(SINGLE('Ground Base'!G$154)&gt;ROUND(((1-GroundResDiscount31Up-GroundResIncentive)*'Ground Base'!G56),2),ROUND((SINGLE('Ground Base'!G$154)+GroundResidentialFee)*(1+GroundFuelSurcharge),2),ROUND((((1-GroundResDiscount31Up-GroundResIncentive)*'Groun"&amp;"d Base'!G56)+GroundResidentialFee)*(1+GroundFuelSurcharge),2)))*(1+FedEx_Markup),2)"),53.87)</f>
        <v>53.87</v>
      </c>
      <c r="H61" s="218">
        <f ca="1">IFERROR(__xludf.DUMMYFUNCTION("ROUND((IF(SINGLE('Ground Base'!H$154)&gt;ROUND(((1-GroundResDiscount31Up-GroundResIncentive)*'Ground Base'!H56),2),ROUND((SINGLE('Ground Base'!H$154)+GroundResidentialFee)*(1+GroundFuelSurcharge),2),ROUND((((1-GroundResDiscount31Up-GroundResIncentive)*'Groun"&amp;"d Base'!H56)+GroundResidentialFee)*(1+GroundFuelSurcharge),2)))*(1+FedEx_Markup),2)"),60.63)</f>
        <v>60.63</v>
      </c>
      <c r="I61" s="218">
        <f>ROUND((IF('Ground Base'!I$154&gt;ROUND(((1-GroundAKHIDiscount)*'Ground Base'!I56),2),ROUND(('Ground Base'!I$154+GroundResidentialFee)*(1+GroundFuelSurcharge),2),ROUND((((1-GroundAKHIDiscount)*'Ground Base'!I56)+GroundResidentialFee)*(1+GroundFuelSurcharge),2)))*(1+FedEx_Markup),2)</f>
        <v>289.13</v>
      </c>
      <c r="J61" s="218">
        <f>ROUND((IF('Ground Base'!J$154&gt;ROUND(((1-GroundAKHIDiscount)*'Ground Base'!J56),2),ROUND(('Ground Base'!J$154+GroundResidentialFee)*(1+GroundFuelSurcharge),2),ROUND((((1-GroundAKHIDiscount)*'Ground Base'!J56)+GroundResidentialFee)*(1+GroundFuelSurcharge),2)))*(1+FedEx_Markup),2)</f>
        <v>289.13</v>
      </c>
      <c r="K61" s="218">
        <f>ROUND((IF('Ground Base'!K$154&gt;ROUND(((1-GroundZone51Discount)*'Ground Base'!K56),2),ROUND(('Ground Base'!K$154+GroundResidentialFee)*(1+GroundFuelSurcharge),2),ROUND((((1-GroundZone51Discount)*'Ground Base'!K56)+GroundResidentialFee)*(1+GroundFuelSurcharge),2)))*(1+FedEx_Markup),2)</f>
        <v>90.25</v>
      </c>
      <c r="L61" s="218">
        <f>ROUND((IF('Ground Base'!L$154&gt;ROUND(((1-GroundZone54Discount)*'Ground Base'!L56),2),ROUND(('Ground Base'!L$154+GroundResidentialFee)*(1+GroundFuelSurcharge),2),ROUND((((1-GroundZone54Discount)*'Ground Base'!L56)+GroundResidentialFee)*(1+GroundFuelSurcharge),2)))*(1+FedEx_Markup),2)</f>
        <v>103.58</v>
      </c>
    </row>
    <row r="62" spans="1:12" ht="12.75" customHeight="1">
      <c r="A62" s="217">
        <v>55</v>
      </c>
      <c r="B62" s="218">
        <f ca="1">IFERROR(__xludf.DUMMYFUNCTION("ROUND((IF(SINGLE('Ground Base'!B$154)&gt;ROUND(((1-GroundResDiscount31Up-GroundResIncentive)*'Ground Base'!B57),2),ROUND((SINGLE('Ground Base'!B$154)+GroundResidentialFee)*(1+GroundFuelSurcharge),2),ROUND((((1-GroundResDiscount31Up-GroundResIncentive)*'Groun"&amp;"d Base'!B57)+GroundResidentialFee)*(1+GroundFuelSurcharge),2)))*(1+FedEx_Markup),2)"),21.37)</f>
        <v>21.37</v>
      </c>
      <c r="C62" s="218">
        <f ca="1">IFERROR(__xludf.DUMMYFUNCTION("ROUND((IF(SINGLE('Ground Base'!C$154)&gt;ROUND(((1-GroundResDiscount31Up-GroundResIncentive)*'Ground Base'!C57),2),ROUND((SINGLE('Ground Base'!C$154)+GroundResidentialFee)*(1+GroundFuelSurcharge),2),ROUND((((1-GroundResDiscount31Up-GroundResIncentive)*'Groun"&amp;"d Base'!C57)+GroundResidentialFee)*(1+GroundFuelSurcharge),2)))*(1+FedEx_Markup),2)"),25.89)</f>
        <v>25.89</v>
      </c>
      <c r="D62" s="218">
        <f ca="1">IFERROR(__xludf.DUMMYFUNCTION("ROUND((IF(SINGLE('Ground Base'!D$154)&gt;ROUND(((1-GroundResDiscount31Up-GroundResIncentive)*'Ground Base'!D57),2),ROUND((SINGLE('Ground Base'!D$154)+GroundResidentialFee)*(1+GroundFuelSurcharge),2),ROUND((((1-GroundResDiscount31Up-GroundResIncentive)*'Groun"&amp;"d Base'!D57)+GroundResidentialFee)*(1+GroundFuelSurcharge),2)))*(1+FedEx_Markup),2)"),30.49)</f>
        <v>30.49</v>
      </c>
      <c r="E62" s="218">
        <f ca="1">IFERROR(__xludf.DUMMYFUNCTION("ROUND((IF(SINGLE('Ground Base'!E$154)&gt;ROUND(((1-GroundResDiscount31Up-GroundResIncentive)*'Ground Base'!E57),2),ROUND((SINGLE('Ground Base'!E$154)+GroundResidentialFee)*(1+GroundFuelSurcharge),2),ROUND((((1-GroundResDiscount31Up-GroundResIncentive)*'Groun"&amp;"d Base'!E57)+GroundResidentialFee)*(1+GroundFuelSurcharge),2)))*(1+FedEx_Markup),2)"),36.6)</f>
        <v>36.6</v>
      </c>
      <c r="F62" s="218">
        <f ca="1">IFERROR(__xludf.DUMMYFUNCTION("ROUND((IF(SINGLE('Ground Base'!F$154)&gt;ROUND(((1-GroundResDiscount31Up-GroundResIncentive)*'Ground Base'!F57),2),ROUND((SINGLE('Ground Base'!F$154)+GroundResidentialFee)*(1+GroundFuelSurcharge),2),ROUND((((1-GroundResDiscount31Up-GroundResIncentive)*'Groun"&amp;"d Base'!F57)+GroundResidentialFee)*(1+GroundFuelSurcharge),2)))*(1+FedEx_Markup),2)"),45.09)</f>
        <v>45.09</v>
      </c>
      <c r="G62" s="218">
        <f ca="1">IFERROR(__xludf.DUMMYFUNCTION("ROUND((IF(SINGLE('Ground Base'!G$154)&gt;ROUND(((1-GroundResDiscount31Up-GroundResIncentive)*'Ground Base'!G57),2),ROUND((SINGLE('Ground Base'!G$154)+GroundResidentialFee)*(1+GroundFuelSurcharge),2),ROUND((((1-GroundResDiscount31Up-GroundResIncentive)*'Groun"&amp;"d Base'!G57)+GroundResidentialFee)*(1+GroundFuelSurcharge),2)))*(1+FedEx_Markup),2)"),53.88)</f>
        <v>53.88</v>
      </c>
      <c r="H62" s="218">
        <f ca="1">IFERROR(__xludf.DUMMYFUNCTION("ROUND((IF(SINGLE('Ground Base'!H$154)&gt;ROUND(((1-GroundResDiscount31Up-GroundResIncentive)*'Ground Base'!H57),2),ROUND((SINGLE('Ground Base'!H$154)+GroundResidentialFee)*(1+GroundFuelSurcharge),2),ROUND((((1-GroundResDiscount31Up-GroundResIncentive)*'Groun"&amp;"d Base'!H57)+GroundResidentialFee)*(1+GroundFuelSurcharge),2)))*(1+FedEx_Markup),2)"),60.64)</f>
        <v>60.64</v>
      </c>
      <c r="I62" s="218">
        <f>ROUND((IF('Ground Base'!I$154&gt;ROUND(((1-GroundAKHIDiscount)*'Ground Base'!I57),2),ROUND(('Ground Base'!I$154+GroundResidentialFee)*(1+GroundFuelSurcharge),2),ROUND((((1-GroundAKHIDiscount)*'Ground Base'!I57)+GroundResidentialFee)*(1+GroundFuelSurcharge),2)))*(1+FedEx_Markup),2)</f>
        <v>292.99</v>
      </c>
      <c r="J62" s="218">
        <f>ROUND((IF('Ground Base'!J$154&gt;ROUND(((1-GroundAKHIDiscount)*'Ground Base'!J57),2),ROUND(('Ground Base'!J$154+GroundResidentialFee)*(1+GroundFuelSurcharge),2),ROUND((((1-GroundAKHIDiscount)*'Ground Base'!J57)+GroundResidentialFee)*(1+GroundFuelSurcharge),2)))*(1+FedEx_Markup),2)</f>
        <v>292.99</v>
      </c>
      <c r="K62" s="218">
        <f>ROUND((IF('Ground Base'!K$154&gt;ROUND(((1-GroundZone51Discount)*'Ground Base'!K57),2),ROUND(('Ground Base'!K$154+GroundResidentialFee)*(1+GroundFuelSurcharge),2),ROUND((((1-GroundZone51Discount)*'Ground Base'!K57)+GroundResidentialFee)*(1+GroundFuelSurcharge),2)))*(1+FedEx_Markup),2)</f>
        <v>92.26</v>
      </c>
      <c r="L62" s="218">
        <f>ROUND((IF('Ground Base'!L$154&gt;ROUND(((1-GroundZone54Discount)*'Ground Base'!L57),2),ROUND(('Ground Base'!L$154+GroundResidentialFee)*(1+GroundFuelSurcharge),2),ROUND((((1-GroundZone54Discount)*'Ground Base'!L57)+GroundResidentialFee)*(1+GroundFuelSurcharge),2)))*(1+FedEx_Markup),2)</f>
        <v>105.64</v>
      </c>
    </row>
    <row r="63" spans="1:12" ht="12.75" customHeight="1">
      <c r="A63" s="217">
        <v>56</v>
      </c>
      <c r="B63" s="218">
        <f ca="1">IFERROR(__xludf.DUMMYFUNCTION("ROUND((IF(SINGLE('Ground Base'!B$154)&gt;ROUND(((1-GroundResDiscount31Up-GroundResIncentive)*'Ground Base'!B58),2),ROUND((SINGLE('Ground Base'!B$154)+GroundResidentialFee)*(1+GroundFuelSurcharge),2),ROUND((((1-GroundResDiscount31Up-GroundResIncentive)*'Groun"&amp;"d Base'!B58)+GroundResidentialFee)*(1+GroundFuelSurcharge),2)))*(1+FedEx_Markup),2)"),21.38)</f>
        <v>21.38</v>
      </c>
      <c r="C63" s="218">
        <f ca="1">IFERROR(__xludf.DUMMYFUNCTION("ROUND((IF(SINGLE('Ground Base'!C$154)&gt;ROUND(((1-GroundResDiscount31Up-GroundResIncentive)*'Ground Base'!C58),2),ROUND((SINGLE('Ground Base'!C$154)+GroundResidentialFee)*(1+GroundFuelSurcharge),2),ROUND((((1-GroundResDiscount31Up-GroundResIncentive)*'Groun"&amp;"d Base'!C58)+GroundResidentialFee)*(1+GroundFuelSurcharge),2)))*(1+FedEx_Markup),2)"),25.9)</f>
        <v>25.9</v>
      </c>
      <c r="D63" s="218">
        <f ca="1">IFERROR(__xludf.DUMMYFUNCTION("ROUND((IF(SINGLE('Ground Base'!D$154)&gt;ROUND(((1-GroundResDiscount31Up-GroundResIncentive)*'Ground Base'!D58),2),ROUND((SINGLE('Ground Base'!D$154)+GroundResidentialFee)*(1+GroundFuelSurcharge),2),ROUND((((1-GroundResDiscount31Up-GroundResIncentive)*'Groun"&amp;"d Base'!D58)+GroundResidentialFee)*(1+GroundFuelSurcharge),2)))*(1+FedEx_Markup),2)"),30.5)</f>
        <v>30.5</v>
      </c>
      <c r="E63" s="218">
        <f ca="1">IFERROR(__xludf.DUMMYFUNCTION("ROUND((IF(SINGLE('Ground Base'!E$154)&gt;ROUND(((1-GroundResDiscount31Up-GroundResIncentive)*'Ground Base'!E58),2),ROUND((SINGLE('Ground Base'!E$154)+GroundResidentialFee)*(1+GroundFuelSurcharge),2),ROUND((((1-GroundResDiscount31Up-GroundResIncentive)*'Groun"&amp;"d Base'!E58)+GroundResidentialFee)*(1+GroundFuelSurcharge),2)))*(1+FedEx_Markup),2)"),36.62)</f>
        <v>36.619999999999997</v>
      </c>
      <c r="F63" s="218">
        <f ca="1">IFERROR(__xludf.DUMMYFUNCTION("ROUND((IF(SINGLE('Ground Base'!F$154)&gt;ROUND(((1-GroundResDiscount31Up-GroundResIncentive)*'Ground Base'!F58),2),ROUND((SINGLE('Ground Base'!F$154)+GroundResidentialFee)*(1+GroundFuelSurcharge),2),ROUND((((1-GroundResDiscount31Up-GroundResIncentive)*'Groun"&amp;"d Base'!F58)+GroundResidentialFee)*(1+GroundFuelSurcharge),2)))*(1+FedEx_Markup),2)"),45.1)</f>
        <v>45.1</v>
      </c>
      <c r="G63" s="218">
        <f ca="1">IFERROR(__xludf.DUMMYFUNCTION("ROUND((IF(SINGLE('Ground Base'!G$154)&gt;ROUND(((1-GroundResDiscount31Up-GroundResIncentive)*'Ground Base'!G58),2),ROUND((SINGLE('Ground Base'!G$154)+GroundResidentialFee)*(1+GroundFuelSurcharge),2),ROUND((((1-GroundResDiscount31Up-GroundResIncentive)*'Groun"&amp;"d Base'!G58)+GroundResidentialFee)*(1+GroundFuelSurcharge),2)))*(1+FedEx_Markup),2)"),53.89)</f>
        <v>53.89</v>
      </c>
      <c r="H63" s="218">
        <f ca="1">IFERROR(__xludf.DUMMYFUNCTION("ROUND((IF(SINGLE('Ground Base'!H$154)&gt;ROUND(((1-GroundResDiscount31Up-GroundResIncentive)*'Ground Base'!H58),2),ROUND((SINGLE('Ground Base'!H$154)+GroundResidentialFee)*(1+GroundFuelSurcharge),2),ROUND((((1-GroundResDiscount31Up-GroundResIncentive)*'Groun"&amp;"d Base'!H58)+GroundResidentialFee)*(1+GroundFuelSurcharge),2)))*(1+FedEx_Markup),2)"),61.35)</f>
        <v>61.35</v>
      </c>
      <c r="I63" s="218">
        <f>ROUND((IF('Ground Base'!I$154&gt;ROUND(((1-GroundAKHIDiscount)*'Ground Base'!I58),2),ROUND(('Ground Base'!I$154+GroundResidentialFee)*(1+GroundFuelSurcharge),2),ROUND((((1-GroundAKHIDiscount)*'Ground Base'!I58)+GroundResidentialFee)*(1+GroundFuelSurcharge),2)))*(1+FedEx_Markup),2)</f>
        <v>296.89999999999998</v>
      </c>
      <c r="J63" s="218">
        <f>ROUND((IF('Ground Base'!J$154&gt;ROUND(((1-GroundAKHIDiscount)*'Ground Base'!J58),2),ROUND(('Ground Base'!J$154+GroundResidentialFee)*(1+GroundFuelSurcharge),2),ROUND((((1-GroundAKHIDiscount)*'Ground Base'!J58)+GroundResidentialFee)*(1+GroundFuelSurcharge),2)))*(1+FedEx_Markup),2)</f>
        <v>296.89999999999998</v>
      </c>
      <c r="K63" s="218">
        <f>ROUND((IF('Ground Base'!K$154&gt;ROUND(((1-GroundZone51Discount)*'Ground Base'!K58),2),ROUND(('Ground Base'!K$154+GroundResidentialFee)*(1+GroundFuelSurcharge),2),ROUND((((1-GroundZone51Discount)*'Ground Base'!K58)+GroundResidentialFee)*(1+GroundFuelSurcharge),2)))*(1+FedEx_Markup),2)</f>
        <v>92.28</v>
      </c>
      <c r="L63" s="218">
        <f>ROUND((IF('Ground Base'!L$154&gt;ROUND(((1-GroundZone54Discount)*'Ground Base'!L58),2),ROUND(('Ground Base'!L$154+GroundResidentialFee)*(1+GroundFuelSurcharge),2),ROUND((((1-GroundZone54Discount)*'Ground Base'!L58)+GroundResidentialFee)*(1+GroundFuelSurcharge),2)))*(1+FedEx_Markup),2)</f>
        <v>105.64</v>
      </c>
    </row>
    <row r="64" spans="1:12" ht="12.75" customHeight="1">
      <c r="A64" s="217">
        <v>57</v>
      </c>
      <c r="B64" s="218">
        <f ca="1">IFERROR(__xludf.DUMMYFUNCTION("ROUND((IF(SINGLE('Ground Base'!B$154)&gt;ROUND(((1-GroundResDiscount31Up-GroundResIncentive)*'Ground Base'!B59),2),ROUND((SINGLE('Ground Base'!B$154)+GroundResidentialFee)*(1+GroundFuelSurcharge),2),ROUND((((1-GroundResDiscount31Up-GroundResIncentive)*'Groun"&amp;"d Base'!B59)+GroundResidentialFee)*(1+GroundFuelSurcharge),2)))*(1+FedEx_Markup),2)"),21.7)</f>
        <v>21.7</v>
      </c>
      <c r="C64" s="218">
        <f ca="1">IFERROR(__xludf.DUMMYFUNCTION("ROUND((IF(SINGLE('Ground Base'!C$154)&gt;ROUND(((1-GroundResDiscount31Up-GroundResIncentive)*'Ground Base'!C59),2),ROUND((SINGLE('Ground Base'!C$154)+GroundResidentialFee)*(1+GroundFuelSurcharge),2),ROUND((((1-GroundResDiscount31Up-GroundResIncentive)*'Groun"&amp;"d Base'!C59)+GroundResidentialFee)*(1+GroundFuelSurcharge),2)))*(1+FedEx_Markup),2)"),26.01)</f>
        <v>26.01</v>
      </c>
      <c r="D64" s="218">
        <f ca="1">IFERROR(__xludf.DUMMYFUNCTION("ROUND((IF(SINGLE('Ground Base'!D$154)&gt;ROUND(((1-GroundResDiscount31Up-GroundResIncentive)*'Ground Base'!D59),2),ROUND((SINGLE('Ground Base'!D$154)+GroundResidentialFee)*(1+GroundFuelSurcharge),2),ROUND((((1-GroundResDiscount31Up-GroundResIncentive)*'Groun"&amp;"d Base'!D59)+GroundResidentialFee)*(1+GroundFuelSurcharge),2)))*(1+FedEx_Markup),2)"),30.51)</f>
        <v>30.51</v>
      </c>
      <c r="E64" s="218">
        <f ca="1">IFERROR(__xludf.DUMMYFUNCTION("ROUND((IF(SINGLE('Ground Base'!E$154)&gt;ROUND(((1-GroundResDiscount31Up-GroundResIncentive)*'Ground Base'!E59),2),ROUND((SINGLE('Ground Base'!E$154)+GroundResidentialFee)*(1+GroundFuelSurcharge),2),ROUND((((1-GroundResDiscount31Up-GroundResIncentive)*'Groun"&amp;"d Base'!E59)+GroundResidentialFee)*(1+GroundFuelSurcharge),2)))*(1+FedEx_Markup),2)"),37.61)</f>
        <v>37.61</v>
      </c>
      <c r="F64" s="218">
        <f ca="1">IFERROR(__xludf.DUMMYFUNCTION("ROUND((IF(SINGLE('Ground Base'!F$154)&gt;ROUND(((1-GroundResDiscount31Up-GroundResIncentive)*'Ground Base'!F59),2),ROUND((SINGLE('Ground Base'!F$154)+GroundResidentialFee)*(1+GroundFuelSurcharge),2),ROUND((((1-GroundResDiscount31Up-GroundResIncentive)*'Groun"&amp;"d Base'!F59)+GroundResidentialFee)*(1+GroundFuelSurcharge),2)))*(1+FedEx_Markup),2)"),45.11)</f>
        <v>45.11</v>
      </c>
      <c r="G64" s="218">
        <f ca="1">IFERROR(__xludf.DUMMYFUNCTION("ROUND((IF(SINGLE('Ground Base'!G$154)&gt;ROUND(((1-GroundResDiscount31Up-GroundResIncentive)*'Ground Base'!G59),2),ROUND((SINGLE('Ground Base'!G$154)+GroundResidentialFee)*(1+GroundFuelSurcharge),2),ROUND((((1-GroundResDiscount31Up-GroundResIncentive)*'Groun"&amp;"d Base'!G59)+GroundResidentialFee)*(1+GroundFuelSurcharge),2)))*(1+FedEx_Markup),2)"),53.9)</f>
        <v>53.9</v>
      </c>
      <c r="H64" s="218">
        <f ca="1">IFERROR(__xludf.DUMMYFUNCTION("ROUND((IF(SINGLE('Ground Base'!H$154)&gt;ROUND(((1-GroundResDiscount31Up-GroundResIncentive)*'Ground Base'!H59),2),ROUND((SINGLE('Ground Base'!H$154)+GroundResidentialFee)*(1+GroundFuelSurcharge),2),ROUND((((1-GroundResDiscount31Up-GroundResIncentive)*'Groun"&amp;"d Base'!H59)+GroundResidentialFee)*(1+GroundFuelSurcharge),2)))*(1+FedEx_Markup),2)"),61.94)</f>
        <v>61.94</v>
      </c>
      <c r="I64" s="218">
        <f>ROUND((IF('Ground Base'!I$154&gt;ROUND(((1-GroundAKHIDiscount)*'Ground Base'!I59),2),ROUND(('Ground Base'!I$154+GroundResidentialFee)*(1+GroundFuelSurcharge),2),ROUND((((1-GroundAKHIDiscount)*'Ground Base'!I59)+GroundResidentialFee)*(1+GroundFuelSurcharge),2)))*(1+FedEx_Markup),2)</f>
        <v>300.93</v>
      </c>
      <c r="J64" s="218">
        <f>ROUND((IF('Ground Base'!J$154&gt;ROUND(((1-GroundAKHIDiscount)*'Ground Base'!J59),2),ROUND(('Ground Base'!J$154+GroundResidentialFee)*(1+GroundFuelSurcharge),2),ROUND((((1-GroundAKHIDiscount)*'Ground Base'!J59)+GroundResidentialFee)*(1+GroundFuelSurcharge),2)))*(1+FedEx_Markup),2)</f>
        <v>300.93</v>
      </c>
      <c r="K64" s="218">
        <f>ROUND((IF('Ground Base'!K$154&gt;ROUND(((1-GroundZone51Discount)*'Ground Base'!K59),2),ROUND(('Ground Base'!K$154+GroundResidentialFee)*(1+GroundFuelSurcharge),2),ROUND((((1-GroundZone51Discount)*'Ground Base'!K59)+GroundResidentialFee)*(1+GroundFuelSurcharge),2)))*(1+FedEx_Markup),2)</f>
        <v>93.92</v>
      </c>
      <c r="L64" s="218">
        <f>ROUND((IF('Ground Base'!L$154&gt;ROUND(((1-GroundZone54Discount)*'Ground Base'!L59),2),ROUND(('Ground Base'!L$154+GroundResidentialFee)*(1+GroundFuelSurcharge),2),ROUND((((1-GroundZone54Discount)*'Ground Base'!L59)+GroundResidentialFee)*(1+GroundFuelSurcharge),2)))*(1+FedEx_Markup),2)</f>
        <v>107.71</v>
      </c>
    </row>
    <row r="65" spans="1:12" ht="12.75" customHeight="1">
      <c r="A65" s="217">
        <v>58</v>
      </c>
      <c r="B65" s="218">
        <f ca="1">IFERROR(__xludf.DUMMYFUNCTION("ROUND((IF(SINGLE('Ground Base'!B$154)&gt;ROUND(((1-GroundResDiscount31Up-GroundResIncentive)*'Ground Base'!B60),2),ROUND((SINGLE('Ground Base'!B$154)+GroundResidentialFee)*(1+GroundFuelSurcharge),2),ROUND((((1-GroundResDiscount31Up-GroundResIncentive)*'Groun"&amp;"d Base'!B60)+GroundResidentialFee)*(1+GroundFuelSurcharge),2)))*(1+FedEx_Markup),2)"),21.71)</f>
        <v>21.71</v>
      </c>
      <c r="C65" s="218">
        <f ca="1">IFERROR(__xludf.DUMMYFUNCTION("ROUND((IF(SINGLE('Ground Base'!C$154)&gt;ROUND(((1-GroundResDiscount31Up-GroundResIncentive)*'Ground Base'!C60),2),ROUND((SINGLE('Ground Base'!C$154)+GroundResidentialFee)*(1+GroundFuelSurcharge),2),ROUND((((1-GroundResDiscount31Up-GroundResIncentive)*'Groun"&amp;"d Base'!C60)+GroundResidentialFee)*(1+GroundFuelSurcharge),2)))*(1+FedEx_Markup),2)"),26.02)</f>
        <v>26.02</v>
      </c>
      <c r="D65" s="218">
        <f ca="1">IFERROR(__xludf.DUMMYFUNCTION("ROUND((IF(SINGLE('Ground Base'!D$154)&gt;ROUND(((1-GroundResDiscount31Up-GroundResIncentive)*'Ground Base'!D60),2),ROUND((SINGLE('Ground Base'!D$154)+GroundResidentialFee)*(1+GroundFuelSurcharge),2),ROUND((((1-GroundResDiscount31Up-GroundResIncentive)*'Groun"&amp;"d Base'!D60)+GroundResidentialFee)*(1+GroundFuelSurcharge),2)))*(1+FedEx_Markup),2)"),30.52)</f>
        <v>30.52</v>
      </c>
      <c r="E65" s="218">
        <f ca="1">IFERROR(__xludf.DUMMYFUNCTION("ROUND((IF(SINGLE('Ground Base'!E$154)&gt;ROUND(((1-GroundResDiscount31Up-GroundResIncentive)*'Ground Base'!E60),2),ROUND((SINGLE('Ground Base'!E$154)+GroundResidentialFee)*(1+GroundFuelSurcharge),2),ROUND((((1-GroundResDiscount31Up-GroundResIncentive)*'Groun"&amp;"d Base'!E60)+GroundResidentialFee)*(1+GroundFuelSurcharge),2)))*(1+FedEx_Markup),2)"),37.62)</f>
        <v>37.619999999999997</v>
      </c>
      <c r="F65" s="218">
        <f ca="1">IFERROR(__xludf.DUMMYFUNCTION("ROUND((IF(SINGLE('Ground Base'!F$154)&gt;ROUND(((1-GroundResDiscount31Up-GroundResIncentive)*'Ground Base'!F60),2),ROUND((SINGLE('Ground Base'!F$154)+GroundResidentialFee)*(1+GroundFuelSurcharge),2),ROUND((((1-GroundResDiscount31Up-GroundResIncentive)*'Groun"&amp;"d Base'!F60)+GroundResidentialFee)*(1+GroundFuelSurcharge),2)))*(1+FedEx_Markup),2)"),45.13)</f>
        <v>45.13</v>
      </c>
      <c r="G65" s="218">
        <f ca="1">IFERROR(__xludf.DUMMYFUNCTION("ROUND((IF(SINGLE('Ground Base'!G$154)&gt;ROUND(((1-GroundResDiscount31Up-GroundResIncentive)*'Ground Base'!G60),2),ROUND((SINGLE('Ground Base'!G$154)+GroundResidentialFee)*(1+GroundFuelSurcharge),2),ROUND((((1-GroundResDiscount31Up-GroundResIncentive)*'Groun"&amp;"d Base'!G60)+GroundResidentialFee)*(1+GroundFuelSurcharge),2)))*(1+FedEx_Markup),2)"),53.91)</f>
        <v>53.91</v>
      </c>
      <c r="H65" s="218">
        <f ca="1">IFERROR(__xludf.DUMMYFUNCTION("ROUND((IF(SINGLE('Ground Base'!H$154)&gt;ROUND(((1-GroundResDiscount31Up-GroundResIncentive)*'Ground Base'!H60),2),ROUND((SINGLE('Ground Base'!H$154)+GroundResidentialFee)*(1+GroundFuelSurcharge),2),ROUND((((1-GroundResDiscount31Up-GroundResIncentive)*'Groun"&amp;"d Base'!H60)+GroundResidentialFee)*(1+GroundFuelSurcharge),2)))*(1+FedEx_Markup),2)"),62.46)</f>
        <v>62.46</v>
      </c>
      <c r="I65" s="218">
        <f>ROUND((IF('Ground Base'!I$154&gt;ROUND(((1-GroundAKHIDiscount)*'Ground Base'!I60),2),ROUND(('Ground Base'!I$154+GroundResidentialFee)*(1+GroundFuelSurcharge),2),ROUND((((1-GroundAKHIDiscount)*'Ground Base'!I60)+GroundResidentialFee)*(1+GroundFuelSurcharge),2)))*(1+FedEx_Markup),2)</f>
        <v>302.02</v>
      </c>
      <c r="J65" s="218">
        <f>ROUND((IF('Ground Base'!J$154&gt;ROUND(((1-GroundAKHIDiscount)*'Ground Base'!J60),2),ROUND(('Ground Base'!J$154+GroundResidentialFee)*(1+GroundFuelSurcharge),2),ROUND((((1-GroundAKHIDiscount)*'Ground Base'!J60)+GroundResidentialFee)*(1+GroundFuelSurcharge),2)))*(1+FedEx_Markup),2)</f>
        <v>302.02</v>
      </c>
      <c r="K65" s="218">
        <f>ROUND((IF('Ground Base'!K$154&gt;ROUND(((1-GroundZone51Discount)*'Ground Base'!K60),2),ROUND(('Ground Base'!K$154+GroundResidentialFee)*(1+GroundFuelSurcharge),2),ROUND((((1-GroundZone51Discount)*'Ground Base'!K60)+GroundResidentialFee)*(1+GroundFuelSurcharge),2)))*(1+FedEx_Markup),2)</f>
        <v>101.38</v>
      </c>
      <c r="L65" s="218">
        <f>ROUND((IF('Ground Base'!L$154&gt;ROUND(((1-GroundZone54Discount)*'Ground Base'!L60),2),ROUND(('Ground Base'!L$154+GroundResidentialFee)*(1+GroundFuelSurcharge),2),ROUND((((1-GroundZone54Discount)*'Ground Base'!L60)+GroundResidentialFee)*(1+GroundFuelSurcharge),2)))*(1+FedEx_Markup),2)</f>
        <v>107.72</v>
      </c>
    </row>
    <row r="66" spans="1:12" ht="12.75" customHeight="1">
      <c r="A66" s="217">
        <v>59</v>
      </c>
      <c r="B66" s="218">
        <f ca="1">IFERROR(__xludf.DUMMYFUNCTION("ROUND((IF(SINGLE('Ground Base'!B$154)&gt;ROUND(((1-GroundResDiscount31Up-GroundResIncentive)*'Ground Base'!B61),2),ROUND((SINGLE('Ground Base'!B$154)+GroundResidentialFee)*(1+GroundFuelSurcharge),2),ROUND((((1-GroundResDiscount31Up-GroundResIncentive)*'Groun"&amp;"d Base'!B61)+GroundResidentialFee)*(1+GroundFuelSurcharge),2)))*(1+FedEx_Markup),2)"),21.72)</f>
        <v>21.72</v>
      </c>
      <c r="C66" s="218">
        <f ca="1">IFERROR(__xludf.DUMMYFUNCTION("ROUND((IF(SINGLE('Ground Base'!C$154)&gt;ROUND(((1-GroundResDiscount31Up-GroundResIncentive)*'Ground Base'!C61),2),ROUND((SINGLE('Ground Base'!C$154)+GroundResidentialFee)*(1+GroundFuelSurcharge),2),ROUND((((1-GroundResDiscount31Up-GroundResIncentive)*'Groun"&amp;"d Base'!C61)+GroundResidentialFee)*(1+GroundFuelSurcharge),2)))*(1+FedEx_Markup),2)"),26.05)</f>
        <v>26.05</v>
      </c>
      <c r="D66" s="218">
        <f ca="1">IFERROR(__xludf.DUMMYFUNCTION("ROUND((IF(SINGLE('Ground Base'!D$154)&gt;ROUND(((1-GroundResDiscount31Up-GroundResIncentive)*'Ground Base'!D61),2),ROUND((SINGLE('Ground Base'!D$154)+GroundResidentialFee)*(1+GroundFuelSurcharge),2),ROUND((((1-GroundResDiscount31Up-GroundResIncentive)*'Groun"&amp;"d Base'!D61)+GroundResidentialFee)*(1+GroundFuelSurcharge),2)))*(1+FedEx_Markup),2)"),30.71)</f>
        <v>30.71</v>
      </c>
      <c r="E66" s="218">
        <f ca="1">IFERROR(__xludf.DUMMYFUNCTION("ROUND((IF(SINGLE('Ground Base'!E$154)&gt;ROUND(((1-GroundResDiscount31Up-GroundResIncentive)*'Ground Base'!E61),2),ROUND((SINGLE('Ground Base'!E$154)+GroundResidentialFee)*(1+GroundFuelSurcharge),2),ROUND((((1-GroundResDiscount31Up-GroundResIncentive)*'Groun"&amp;"d Base'!E61)+GroundResidentialFee)*(1+GroundFuelSurcharge),2)))*(1+FedEx_Markup),2)"),37.64)</f>
        <v>37.64</v>
      </c>
      <c r="F66" s="218">
        <f ca="1">IFERROR(__xludf.DUMMYFUNCTION("ROUND((IF(SINGLE('Ground Base'!F$154)&gt;ROUND(((1-GroundResDiscount31Up-GroundResIncentive)*'Ground Base'!F61),2),ROUND((SINGLE('Ground Base'!F$154)+GroundResidentialFee)*(1+GroundFuelSurcharge),2),ROUND((((1-GroundResDiscount31Up-GroundResIncentive)*'Groun"&amp;"d Base'!F61)+GroundResidentialFee)*(1+GroundFuelSurcharge),2)))*(1+FedEx_Markup),2)"),45.43)</f>
        <v>45.43</v>
      </c>
      <c r="G66" s="218">
        <f ca="1">IFERROR(__xludf.DUMMYFUNCTION("ROUND((IF(SINGLE('Ground Base'!G$154)&gt;ROUND(((1-GroundResDiscount31Up-GroundResIncentive)*'Ground Base'!G61),2),ROUND((SINGLE('Ground Base'!G$154)+GroundResidentialFee)*(1+GroundFuelSurcharge),2),ROUND((((1-GroundResDiscount31Up-GroundResIncentive)*'Groun"&amp;"d Base'!G61)+GroundResidentialFee)*(1+GroundFuelSurcharge),2)))*(1+FedEx_Markup),2)"),53.91)</f>
        <v>53.91</v>
      </c>
      <c r="H66" s="218">
        <f ca="1">IFERROR(__xludf.DUMMYFUNCTION("ROUND((IF(SINGLE('Ground Base'!H$154)&gt;ROUND(((1-GroundResDiscount31Up-GroundResIncentive)*'Ground Base'!H61),2),ROUND((SINGLE('Ground Base'!H$154)+GroundResidentialFee)*(1+GroundFuelSurcharge),2),ROUND((((1-GroundResDiscount31Up-GroundResIncentive)*'Groun"&amp;"d Base'!H61)+GroundResidentialFee)*(1+GroundFuelSurcharge),2)))*(1+FedEx_Markup),2)"),63.45)</f>
        <v>63.45</v>
      </c>
      <c r="I66" s="218">
        <f>ROUND((IF('Ground Base'!I$154&gt;ROUND(((1-GroundAKHIDiscount)*'Ground Base'!I61),2),ROUND(('Ground Base'!I$154+GroundResidentialFee)*(1+GroundFuelSurcharge),2),ROUND((((1-GroundAKHIDiscount)*'Ground Base'!I61)+GroundResidentialFee)*(1+GroundFuelSurcharge),2)))*(1+FedEx_Markup),2)</f>
        <v>309.41000000000003</v>
      </c>
      <c r="J66" s="218">
        <f>ROUND((IF('Ground Base'!J$154&gt;ROUND(((1-GroundAKHIDiscount)*'Ground Base'!J61),2),ROUND(('Ground Base'!J$154+GroundResidentialFee)*(1+GroundFuelSurcharge),2),ROUND((((1-GroundAKHIDiscount)*'Ground Base'!J61)+GroundResidentialFee)*(1+GroundFuelSurcharge),2)))*(1+FedEx_Markup),2)</f>
        <v>309.41000000000003</v>
      </c>
      <c r="K66" s="218">
        <f>ROUND((IF('Ground Base'!K$154&gt;ROUND(((1-GroundZone51Discount)*'Ground Base'!K61),2),ROUND(('Ground Base'!K$154+GroundResidentialFee)*(1+GroundFuelSurcharge),2),ROUND((((1-GroundZone51Discount)*'Ground Base'!K61)+GroundResidentialFee)*(1+GroundFuelSurcharge),2)))*(1+FedEx_Markup),2)</f>
        <v>101.4</v>
      </c>
      <c r="L66" s="218">
        <f>ROUND((IF('Ground Base'!L$154&gt;ROUND(((1-GroundZone54Discount)*'Ground Base'!L61),2),ROUND(('Ground Base'!L$154+GroundResidentialFee)*(1+GroundFuelSurcharge),2),ROUND((((1-GroundZone54Discount)*'Ground Base'!L61)+GroundResidentialFee)*(1+GroundFuelSurcharge),2)))*(1+FedEx_Markup),2)</f>
        <v>109.55</v>
      </c>
    </row>
    <row r="67" spans="1:12" ht="12.75" customHeight="1">
      <c r="A67" s="217">
        <v>60</v>
      </c>
      <c r="B67" s="218">
        <f ca="1">IFERROR(__xludf.DUMMYFUNCTION("ROUND((IF(SINGLE('Ground Base'!B$154)&gt;ROUND(((1-GroundResDiscount31Up-GroundResIncentive)*'Ground Base'!B62),2),ROUND((SINGLE('Ground Base'!B$154)+GroundResidentialFee)*(1+GroundFuelSurcharge),2),ROUND((((1-GroundResDiscount31Up-GroundResIncentive)*'Groun"&amp;"d Base'!B62)+GroundResidentialFee)*(1+GroundFuelSurcharge),2)))*(1+FedEx_Markup),2)"),22.23)</f>
        <v>22.23</v>
      </c>
      <c r="C67" s="218">
        <f ca="1">IFERROR(__xludf.DUMMYFUNCTION("ROUND((IF(SINGLE('Ground Base'!C$154)&gt;ROUND(((1-GroundResDiscount31Up-GroundResIncentive)*'Ground Base'!C62),2),ROUND((SINGLE('Ground Base'!C$154)+GroundResidentialFee)*(1+GroundFuelSurcharge),2),ROUND((((1-GroundResDiscount31Up-GroundResIncentive)*'Groun"&amp;"d Base'!C62)+GroundResidentialFee)*(1+GroundFuelSurcharge),2)))*(1+FedEx_Markup),2)"),26.92)</f>
        <v>26.92</v>
      </c>
      <c r="D67" s="218">
        <f ca="1">IFERROR(__xludf.DUMMYFUNCTION("ROUND((IF(SINGLE('Ground Base'!D$154)&gt;ROUND(((1-GroundResDiscount31Up-GroundResIncentive)*'Ground Base'!D62),2),ROUND((SINGLE('Ground Base'!D$154)+GroundResidentialFee)*(1+GroundFuelSurcharge),2),ROUND((((1-GroundResDiscount31Up-GroundResIncentive)*'Groun"&amp;"d Base'!D62)+GroundResidentialFee)*(1+GroundFuelSurcharge),2)))*(1+FedEx_Markup),2)"),31.18)</f>
        <v>31.18</v>
      </c>
      <c r="E67" s="218">
        <f ca="1">IFERROR(__xludf.DUMMYFUNCTION("ROUND((IF(SINGLE('Ground Base'!E$154)&gt;ROUND(((1-GroundResDiscount31Up-GroundResIncentive)*'Ground Base'!E62),2),ROUND((SINGLE('Ground Base'!E$154)+GroundResidentialFee)*(1+GroundFuelSurcharge),2),ROUND((((1-GroundResDiscount31Up-GroundResIncentive)*'Groun"&amp;"d Base'!E62)+GroundResidentialFee)*(1+GroundFuelSurcharge),2)))*(1+FedEx_Markup),2)"),38.85)</f>
        <v>38.85</v>
      </c>
      <c r="F67" s="218">
        <f ca="1">IFERROR(__xludf.DUMMYFUNCTION("ROUND((IF(SINGLE('Ground Base'!F$154)&gt;ROUND(((1-GroundResDiscount31Up-GroundResIncentive)*'Ground Base'!F62),2),ROUND((SINGLE('Ground Base'!F$154)+GroundResidentialFee)*(1+GroundFuelSurcharge),2),ROUND((((1-GroundResDiscount31Up-GroundResIncentive)*'Groun"&amp;"d Base'!F62)+GroundResidentialFee)*(1+GroundFuelSurcharge),2)))*(1+FedEx_Markup),2)"),46.21)</f>
        <v>46.21</v>
      </c>
      <c r="G67" s="218">
        <f ca="1">IFERROR(__xludf.DUMMYFUNCTION("ROUND((IF(SINGLE('Ground Base'!G$154)&gt;ROUND(((1-GroundResDiscount31Up-GroundResIncentive)*'Ground Base'!G62),2),ROUND((SINGLE('Ground Base'!G$154)+GroundResidentialFee)*(1+GroundFuelSurcharge),2),ROUND((((1-GroundResDiscount31Up-GroundResIncentive)*'Groun"&amp;"d Base'!G62)+GroundResidentialFee)*(1+GroundFuelSurcharge),2)))*(1+FedEx_Markup),2)"),54.1)</f>
        <v>54.1</v>
      </c>
      <c r="H67" s="218">
        <f ca="1">IFERROR(__xludf.DUMMYFUNCTION("ROUND((IF(SINGLE('Ground Base'!H$154)&gt;ROUND(((1-GroundResDiscount31Up-GroundResIncentive)*'Ground Base'!H62),2),ROUND((SINGLE('Ground Base'!H$154)+GroundResidentialFee)*(1+GroundFuelSurcharge),2),ROUND((((1-GroundResDiscount31Up-GroundResIncentive)*'Groun"&amp;"d Base'!H62)+GroundResidentialFee)*(1+GroundFuelSurcharge),2)))*(1+FedEx_Markup),2)"),63.81)</f>
        <v>63.81</v>
      </c>
      <c r="I67" s="218">
        <f>ROUND((IF('Ground Base'!I$154&gt;ROUND(((1-GroundAKHIDiscount)*'Ground Base'!I62),2),ROUND(('Ground Base'!I$154+GroundResidentialFee)*(1+GroundFuelSurcharge),2),ROUND((((1-GroundAKHIDiscount)*'Ground Base'!I62)+GroundResidentialFee)*(1+GroundFuelSurcharge),2)))*(1+FedEx_Markup),2)</f>
        <v>314.18</v>
      </c>
      <c r="J67" s="218">
        <f>ROUND((IF('Ground Base'!J$154&gt;ROUND(((1-GroundAKHIDiscount)*'Ground Base'!J62),2),ROUND(('Ground Base'!J$154+GroundResidentialFee)*(1+GroundFuelSurcharge),2),ROUND((((1-GroundAKHIDiscount)*'Ground Base'!J62)+GroundResidentialFee)*(1+GroundFuelSurcharge),2)))*(1+FedEx_Markup),2)</f>
        <v>314.18</v>
      </c>
      <c r="K67" s="218">
        <f>ROUND((IF('Ground Base'!K$154&gt;ROUND(((1-GroundZone51Discount)*'Ground Base'!K62),2),ROUND(('Ground Base'!K$154+GroundResidentialFee)*(1+GroundFuelSurcharge),2),ROUND((((1-GroundZone51Discount)*'Ground Base'!K62)+GroundResidentialFee)*(1+GroundFuelSurcharge),2)))*(1+FedEx_Markup),2)</f>
        <v>101.4</v>
      </c>
      <c r="L67" s="218">
        <f>ROUND((IF('Ground Base'!L$154&gt;ROUND(((1-GroundZone54Discount)*'Ground Base'!L62),2),ROUND(('Ground Base'!L$154+GroundResidentialFee)*(1+GroundFuelSurcharge),2),ROUND((((1-GroundZone54Discount)*'Ground Base'!L62)+GroundResidentialFee)*(1+GroundFuelSurcharge),2)))*(1+FedEx_Markup),2)</f>
        <v>109.56</v>
      </c>
    </row>
    <row r="68" spans="1:12" ht="12.75" customHeight="1">
      <c r="A68" s="217">
        <v>61</v>
      </c>
      <c r="B68" s="218">
        <f ca="1">IFERROR(__xludf.DUMMYFUNCTION("ROUND((IF(SINGLE('Ground Base'!B$154)&gt;ROUND(((1-GroundResDiscount31Up-GroundResIncentive)*'Ground Base'!B63),2),ROUND((SINGLE('Ground Base'!B$154)+GroundResidentialFee)*(1+GroundFuelSurcharge),2),ROUND((((1-GroundResDiscount31Up-GroundResIncentive)*'Groun"&amp;"d Base'!B63)+GroundResidentialFee)*(1+GroundFuelSurcharge),2)))*(1+FedEx_Markup),2)"),22.24)</f>
        <v>22.24</v>
      </c>
      <c r="C68" s="218">
        <f ca="1">IFERROR(__xludf.DUMMYFUNCTION("ROUND((IF(SINGLE('Ground Base'!C$154)&gt;ROUND(((1-GroundResDiscount31Up-GroundResIncentive)*'Ground Base'!C63),2),ROUND((SINGLE('Ground Base'!C$154)+GroundResidentialFee)*(1+GroundFuelSurcharge),2),ROUND((((1-GroundResDiscount31Up-GroundResIncentive)*'Groun"&amp;"d Base'!C63)+GroundResidentialFee)*(1+GroundFuelSurcharge),2)))*(1+FedEx_Markup),2)"),26.99)</f>
        <v>26.99</v>
      </c>
      <c r="D68" s="218">
        <f ca="1">IFERROR(__xludf.DUMMYFUNCTION("ROUND((IF(SINGLE('Ground Base'!D$154)&gt;ROUND(((1-GroundResDiscount31Up-GroundResIncentive)*'Ground Base'!D63),2),ROUND((SINGLE('Ground Base'!D$154)+GroundResidentialFee)*(1+GroundFuelSurcharge),2),ROUND((((1-GroundResDiscount31Up-GroundResIncentive)*'Groun"&amp;"d Base'!D63)+GroundResidentialFee)*(1+GroundFuelSurcharge),2)))*(1+FedEx_Markup),2)"),31.45)</f>
        <v>31.45</v>
      </c>
      <c r="E68" s="218">
        <f ca="1">IFERROR(__xludf.DUMMYFUNCTION("ROUND((IF(SINGLE('Ground Base'!E$154)&gt;ROUND(((1-GroundResDiscount31Up-GroundResIncentive)*'Ground Base'!E63),2),ROUND((SINGLE('Ground Base'!E$154)+GroundResidentialFee)*(1+GroundFuelSurcharge),2),ROUND((((1-GroundResDiscount31Up-GroundResIncentive)*'Groun"&amp;"d Base'!E63)+GroundResidentialFee)*(1+GroundFuelSurcharge),2)))*(1+FedEx_Markup),2)"),38.94)</f>
        <v>38.94</v>
      </c>
      <c r="F68" s="218">
        <f ca="1">IFERROR(__xludf.DUMMYFUNCTION("ROUND((IF(SINGLE('Ground Base'!F$154)&gt;ROUND(((1-GroundResDiscount31Up-GroundResIncentive)*'Ground Base'!F63),2),ROUND((SINGLE('Ground Base'!F$154)+GroundResidentialFee)*(1+GroundFuelSurcharge),2),ROUND((((1-GroundResDiscount31Up-GroundResIncentive)*'Groun"&amp;"d Base'!F63)+GroundResidentialFee)*(1+GroundFuelSurcharge),2)))*(1+FedEx_Markup),2)"),46.21)</f>
        <v>46.21</v>
      </c>
      <c r="G68" s="218">
        <f ca="1">IFERROR(__xludf.DUMMYFUNCTION("ROUND((IF(SINGLE('Ground Base'!G$154)&gt;ROUND(((1-GroundResDiscount31Up-GroundResIncentive)*'Ground Base'!G63),2),ROUND((SINGLE('Ground Base'!G$154)+GroundResidentialFee)*(1+GroundFuelSurcharge),2),ROUND((((1-GroundResDiscount31Up-GroundResIncentive)*'Groun"&amp;"d Base'!G63)+GroundResidentialFee)*(1+GroundFuelSurcharge),2)))*(1+FedEx_Markup),2)"),54.1)</f>
        <v>54.1</v>
      </c>
      <c r="H68" s="218">
        <f ca="1">IFERROR(__xludf.DUMMYFUNCTION("ROUND((IF(SINGLE('Ground Base'!H$154)&gt;ROUND(((1-GroundResDiscount31Up-GroundResIncentive)*'Ground Base'!H63),2),ROUND((SINGLE('Ground Base'!H$154)+GroundResidentialFee)*(1+GroundFuelSurcharge),2),ROUND((((1-GroundResDiscount31Up-GroundResIncentive)*'Groun"&amp;"d Base'!H63)+GroundResidentialFee)*(1+GroundFuelSurcharge),2)))*(1+FedEx_Markup),2)"),63.81)</f>
        <v>63.81</v>
      </c>
      <c r="I68" s="218">
        <f>ROUND((IF('Ground Base'!I$154&gt;ROUND(((1-GroundAKHIDiscount)*'Ground Base'!I63),2),ROUND(('Ground Base'!I$154+GroundResidentialFee)*(1+GroundFuelSurcharge),2),ROUND((((1-GroundAKHIDiscount)*'Ground Base'!I63)+GroundResidentialFee)*(1+GroundFuelSurcharge),2)))*(1+FedEx_Markup),2)</f>
        <v>318.02</v>
      </c>
      <c r="J68" s="218">
        <f>ROUND((IF('Ground Base'!J$154&gt;ROUND(((1-GroundAKHIDiscount)*'Ground Base'!J63),2),ROUND(('Ground Base'!J$154+GroundResidentialFee)*(1+GroundFuelSurcharge),2),ROUND((((1-GroundAKHIDiscount)*'Ground Base'!J63)+GroundResidentialFee)*(1+GroundFuelSurcharge),2)))*(1+FedEx_Markup),2)</f>
        <v>318.02</v>
      </c>
      <c r="K68" s="218">
        <f>ROUND((IF('Ground Base'!K$154&gt;ROUND(((1-GroundZone51Discount)*'Ground Base'!K63),2),ROUND(('Ground Base'!K$154+GroundResidentialFee)*(1+GroundFuelSurcharge),2),ROUND((((1-GroundZone51Discount)*'Ground Base'!K63)+GroundResidentialFee)*(1+GroundFuelSurcharge),2)))*(1+FedEx_Markup),2)</f>
        <v>101.41</v>
      </c>
      <c r="L68" s="218">
        <f>ROUND((IF('Ground Base'!L$154&gt;ROUND(((1-GroundZone54Discount)*'Ground Base'!L63),2),ROUND(('Ground Base'!L$154+GroundResidentialFee)*(1+GroundFuelSurcharge),2),ROUND((((1-GroundZone54Discount)*'Ground Base'!L63)+GroundResidentialFee)*(1+GroundFuelSurcharge),2)))*(1+FedEx_Markup),2)</f>
        <v>111.84</v>
      </c>
    </row>
    <row r="69" spans="1:12" ht="12.75" customHeight="1">
      <c r="A69" s="217">
        <v>62</v>
      </c>
      <c r="B69" s="218">
        <f ca="1">IFERROR(__xludf.DUMMYFUNCTION("ROUND((IF(SINGLE('Ground Base'!B$154)&gt;ROUND(((1-GroundResDiscount31Up-GroundResIncentive)*'Ground Base'!B64),2),ROUND((SINGLE('Ground Base'!B$154)+GroundResidentialFee)*(1+GroundFuelSurcharge),2),ROUND((((1-GroundResDiscount31Up-GroundResIncentive)*'Groun"&amp;"d Base'!B64)+GroundResidentialFee)*(1+GroundFuelSurcharge),2)))*(1+FedEx_Markup),2)"),23.02)</f>
        <v>23.02</v>
      </c>
      <c r="C69" s="218">
        <f ca="1">IFERROR(__xludf.DUMMYFUNCTION("ROUND((IF(SINGLE('Ground Base'!C$154)&gt;ROUND(((1-GroundResDiscount31Up-GroundResIncentive)*'Ground Base'!C64),2),ROUND((SINGLE('Ground Base'!C$154)+GroundResidentialFee)*(1+GroundFuelSurcharge),2),ROUND((((1-GroundResDiscount31Up-GroundResIncentive)*'Groun"&amp;"d Base'!C64)+GroundResidentialFee)*(1+GroundFuelSurcharge),2)))*(1+FedEx_Markup),2)"),28.68)</f>
        <v>28.68</v>
      </c>
      <c r="D69" s="218">
        <f ca="1">IFERROR(__xludf.DUMMYFUNCTION("ROUND((IF(SINGLE('Ground Base'!D$154)&gt;ROUND(((1-GroundResDiscount31Up-GroundResIncentive)*'Ground Base'!D64),2),ROUND((SINGLE('Ground Base'!D$154)+GroundResidentialFee)*(1+GroundFuelSurcharge),2),ROUND((((1-GroundResDiscount31Up-GroundResIncentive)*'Groun"&amp;"d Base'!D64)+GroundResidentialFee)*(1+GroundFuelSurcharge),2)))*(1+FedEx_Markup),2)"),31.9)</f>
        <v>31.9</v>
      </c>
      <c r="E69" s="218">
        <f ca="1">IFERROR(__xludf.DUMMYFUNCTION("ROUND((IF(SINGLE('Ground Base'!E$154)&gt;ROUND(((1-GroundResDiscount31Up-GroundResIncentive)*'Ground Base'!E64),2),ROUND((SINGLE('Ground Base'!E$154)+GroundResidentialFee)*(1+GroundFuelSurcharge),2),ROUND((((1-GroundResDiscount31Up-GroundResIncentive)*'Groun"&amp;"d Base'!E64)+GroundResidentialFee)*(1+GroundFuelSurcharge),2)))*(1+FedEx_Markup),2)"),39.94)</f>
        <v>39.94</v>
      </c>
      <c r="F69" s="218">
        <f ca="1">IFERROR(__xludf.DUMMYFUNCTION("ROUND((IF(SINGLE('Ground Base'!F$154)&gt;ROUND(((1-GroundResDiscount31Up-GroundResIncentive)*'Ground Base'!F64),2),ROUND((SINGLE('Ground Base'!F$154)+GroundResidentialFee)*(1+GroundFuelSurcharge),2),ROUND((((1-GroundResDiscount31Up-GroundResIncentive)*'Groun"&amp;"d Base'!F64)+GroundResidentialFee)*(1+GroundFuelSurcharge),2)))*(1+FedEx_Markup),2)"),46.86)</f>
        <v>46.86</v>
      </c>
      <c r="G69" s="218">
        <f ca="1">IFERROR(__xludf.DUMMYFUNCTION("ROUND((IF(SINGLE('Ground Base'!G$154)&gt;ROUND(((1-GroundResDiscount31Up-GroundResIncentive)*'Ground Base'!G64),2),ROUND((SINGLE('Ground Base'!G$154)+GroundResidentialFee)*(1+GroundFuelSurcharge),2),ROUND((((1-GroundResDiscount31Up-GroundResIncentive)*'Groun"&amp;"d Base'!G64)+GroundResidentialFee)*(1+GroundFuelSurcharge),2)))*(1+FedEx_Markup),2)"),54.88)</f>
        <v>54.88</v>
      </c>
      <c r="H69" s="218">
        <f ca="1">IFERROR(__xludf.DUMMYFUNCTION("ROUND((IF(SINGLE('Ground Base'!H$154)&gt;ROUND(((1-GroundResDiscount31Up-GroundResIncentive)*'Ground Base'!H64),2),ROUND((SINGLE('Ground Base'!H$154)+GroundResidentialFee)*(1+GroundFuelSurcharge),2),ROUND((((1-GroundResDiscount31Up-GroundResIncentive)*'Groun"&amp;"d Base'!H64)+GroundResidentialFee)*(1+GroundFuelSurcharge),2)))*(1+FedEx_Markup),2)"),64.55)</f>
        <v>64.55</v>
      </c>
      <c r="I69" s="218">
        <f>ROUND((IF('Ground Base'!I$154&gt;ROUND(((1-GroundAKHIDiscount)*'Ground Base'!I64),2),ROUND(('Ground Base'!I$154+GroundResidentialFee)*(1+GroundFuelSurcharge),2),ROUND((((1-GroundAKHIDiscount)*'Ground Base'!I64)+GroundResidentialFee)*(1+GroundFuelSurcharge),2)))*(1+FedEx_Markup),2)</f>
        <v>323.2</v>
      </c>
      <c r="J69" s="218">
        <f>ROUND((IF('Ground Base'!J$154&gt;ROUND(((1-GroundAKHIDiscount)*'Ground Base'!J64),2),ROUND(('Ground Base'!J$154+GroundResidentialFee)*(1+GroundFuelSurcharge),2),ROUND((((1-GroundAKHIDiscount)*'Ground Base'!J64)+GroundResidentialFee)*(1+GroundFuelSurcharge),2)))*(1+FedEx_Markup),2)</f>
        <v>323.2</v>
      </c>
      <c r="K69" s="218">
        <f>ROUND((IF('Ground Base'!K$154&gt;ROUND(((1-GroundZone51Discount)*'Ground Base'!K64),2),ROUND(('Ground Base'!K$154+GroundResidentialFee)*(1+GroundFuelSurcharge),2),ROUND((((1-GroundZone51Discount)*'Ground Base'!K64)+GroundResidentialFee)*(1+GroundFuelSurcharge),2)))*(1+FedEx_Markup),2)</f>
        <v>101.42</v>
      </c>
      <c r="L69" s="218">
        <f>ROUND((IF('Ground Base'!L$154&gt;ROUND(((1-GroundZone54Discount)*'Ground Base'!L64),2),ROUND(('Ground Base'!L$154+GroundResidentialFee)*(1+GroundFuelSurcharge),2),ROUND((((1-GroundZone54Discount)*'Ground Base'!L64)+GroundResidentialFee)*(1+GroundFuelSurcharge),2)))*(1+FedEx_Markup),2)</f>
        <v>111.85</v>
      </c>
    </row>
    <row r="70" spans="1:12" ht="12.75" customHeight="1">
      <c r="A70" s="217">
        <v>63</v>
      </c>
      <c r="B70" s="218">
        <f ca="1">IFERROR(__xludf.DUMMYFUNCTION("ROUND((IF(SINGLE('Ground Base'!B$154)&gt;ROUND(((1-GroundResDiscount31Up-GroundResIncentive)*'Ground Base'!B65),2),ROUND((SINGLE('Ground Base'!B$154)+GroundResidentialFee)*(1+GroundFuelSurcharge),2),ROUND((((1-GroundResDiscount31Up-GroundResIncentive)*'Groun"&amp;"d Base'!B65)+GroundResidentialFee)*(1+GroundFuelSurcharge),2)))*(1+FedEx_Markup),2)"),23.02)</f>
        <v>23.02</v>
      </c>
      <c r="C70" s="218">
        <f ca="1">IFERROR(__xludf.DUMMYFUNCTION("ROUND((IF(SINGLE('Ground Base'!C$154)&gt;ROUND(((1-GroundResDiscount31Up-GroundResIncentive)*'Ground Base'!C65),2),ROUND((SINGLE('Ground Base'!C$154)+GroundResidentialFee)*(1+GroundFuelSurcharge),2),ROUND((((1-GroundResDiscount31Up-GroundResIncentive)*'Groun"&amp;"d Base'!C65)+GroundResidentialFee)*(1+GroundFuelSurcharge),2)))*(1+FedEx_Markup),2)"),28.68)</f>
        <v>28.68</v>
      </c>
      <c r="D70" s="218">
        <f ca="1">IFERROR(__xludf.DUMMYFUNCTION("ROUND((IF(SINGLE('Ground Base'!D$154)&gt;ROUND(((1-GroundResDiscount31Up-GroundResIncentive)*'Ground Base'!D65),2),ROUND((SINGLE('Ground Base'!D$154)+GroundResidentialFee)*(1+GroundFuelSurcharge),2),ROUND((((1-GroundResDiscount31Up-GroundResIncentive)*'Groun"&amp;"d Base'!D65)+GroundResidentialFee)*(1+GroundFuelSurcharge),2)))*(1+FedEx_Markup),2)"),32.18)</f>
        <v>32.18</v>
      </c>
      <c r="E70" s="218">
        <f ca="1">IFERROR(__xludf.DUMMYFUNCTION("ROUND((IF(SINGLE('Ground Base'!E$154)&gt;ROUND(((1-GroundResDiscount31Up-GroundResIncentive)*'Ground Base'!E65),2),ROUND((SINGLE('Ground Base'!E$154)+GroundResidentialFee)*(1+GroundFuelSurcharge),2),ROUND((((1-GroundResDiscount31Up-GroundResIncentive)*'Groun"&amp;"d Base'!E65)+GroundResidentialFee)*(1+GroundFuelSurcharge),2)))*(1+FedEx_Markup),2)"),39.96)</f>
        <v>39.96</v>
      </c>
      <c r="F70" s="218">
        <f ca="1">IFERROR(__xludf.DUMMYFUNCTION("ROUND((IF(SINGLE('Ground Base'!F$154)&gt;ROUND(((1-GroundResDiscount31Up-GroundResIncentive)*'Ground Base'!F65),2),ROUND((SINGLE('Ground Base'!F$154)+GroundResidentialFee)*(1+GroundFuelSurcharge),2),ROUND((((1-GroundResDiscount31Up-GroundResIncentive)*'Groun"&amp;"d Base'!F65)+GroundResidentialFee)*(1+GroundFuelSurcharge),2)))*(1+FedEx_Markup),2)"),47.16)</f>
        <v>47.16</v>
      </c>
      <c r="G70" s="218">
        <f ca="1">IFERROR(__xludf.DUMMYFUNCTION("ROUND((IF(SINGLE('Ground Base'!G$154)&gt;ROUND(((1-GroundResDiscount31Up-GroundResIncentive)*'Ground Base'!G65),2),ROUND((SINGLE('Ground Base'!G$154)+GroundResidentialFee)*(1+GroundFuelSurcharge),2),ROUND((((1-GroundResDiscount31Up-GroundResIncentive)*'Groun"&amp;"d Base'!G65)+GroundResidentialFee)*(1+GroundFuelSurcharge),2)))*(1+FedEx_Markup),2)"),55.3)</f>
        <v>55.3</v>
      </c>
      <c r="H70" s="218">
        <f ca="1">IFERROR(__xludf.DUMMYFUNCTION("ROUND((IF(SINGLE('Ground Base'!H$154)&gt;ROUND(((1-GroundResDiscount31Up-GroundResIncentive)*'Ground Base'!H65),2),ROUND((SINGLE('Ground Base'!H$154)+GroundResidentialFee)*(1+GroundFuelSurcharge),2),ROUND((((1-GroundResDiscount31Up-GroundResIncentive)*'Groun"&amp;"d Base'!H65)+GroundResidentialFee)*(1+GroundFuelSurcharge),2)))*(1+FedEx_Markup),2)"),64.92)</f>
        <v>64.92</v>
      </c>
      <c r="I70" s="218">
        <f>ROUND((IF('Ground Base'!I$154&gt;ROUND(((1-GroundAKHIDiscount)*'Ground Base'!I65),2),ROUND(('Ground Base'!I$154+GroundResidentialFee)*(1+GroundFuelSurcharge),2),ROUND((((1-GroundAKHIDiscount)*'Ground Base'!I65)+GroundResidentialFee)*(1+GroundFuelSurcharge),2)))*(1+FedEx_Markup),2)</f>
        <v>328.44</v>
      </c>
      <c r="J70" s="218">
        <f>ROUND((IF('Ground Base'!J$154&gt;ROUND(((1-GroundAKHIDiscount)*'Ground Base'!J65),2),ROUND(('Ground Base'!J$154+GroundResidentialFee)*(1+GroundFuelSurcharge),2),ROUND((((1-GroundAKHIDiscount)*'Ground Base'!J65)+GroundResidentialFee)*(1+GroundFuelSurcharge),2)))*(1+FedEx_Markup),2)</f>
        <v>328.44</v>
      </c>
      <c r="K70" s="218">
        <f>ROUND((IF('Ground Base'!K$154&gt;ROUND(((1-GroundZone51Discount)*'Ground Base'!K65),2),ROUND(('Ground Base'!K$154+GroundResidentialFee)*(1+GroundFuelSurcharge),2),ROUND((((1-GroundZone51Discount)*'Ground Base'!K65)+GroundResidentialFee)*(1+GroundFuelSurcharge),2)))*(1+FedEx_Markup),2)</f>
        <v>101.43</v>
      </c>
      <c r="L70" s="218">
        <f>ROUND((IF('Ground Base'!L$154&gt;ROUND(((1-GroundZone54Discount)*'Ground Base'!L65),2),ROUND(('Ground Base'!L$154+GroundResidentialFee)*(1+GroundFuelSurcharge),2),ROUND((((1-GroundZone54Discount)*'Ground Base'!L65)+GroundResidentialFee)*(1+GroundFuelSurcharge),2)))*(1+FedEx_Markup),2)</f>
        <v>113.87</v>
      </c>
    </row>
    <row r="71" spans="1:12" ht="12.75" customHeight="1">
      <c r="A71" s="217">
        <v>64</v>
      </c>
      <c r="B71" s="218">
        <f ca="1">IFERROR(__xludf.DUMMYFUNCTION("ROUND((IF(SINGLE('Ground Base'!B$154)&gt;ROUND(((1-GroundResDiscount31Up-GroundResIncentive)*'Ground Base'!B66),2),ROUND((SINGLE('Ground Base'!B$154)+GroundResidentialFee)*(1+GroundFuelSurcharge),2),ROUND((((1-GroundResDiscount31Up-GroundResIncentive)*'Groun"&amp;"d Base'!B66)+GroundResidentialFee)*(1+GroundFuelSurcharge),2)))*(1+FedEx_Markup),2)"),23.55)</f>
        <v>23.55</v>
      </c>
      <c r="C71" s="218">
        <f ca="1">IFERROR(__xludf.DUMMYFUNCTION("ROUND((IF(SINGLE('Ground Base'!C$154)&gt;ROUND(((1-GroundResDiscount31Up-GroundResIncentive)*'Ground Base'!C66),2),ROUND((SINGLE('Ground Base'!C$154)+GroundResidentialFee)*(1+GroundFuelSurcharge),2),ROUND((((1-GroundResDiscount31Up-GroundResIncentive)*'Groun"&amp;"d Base'!C66)+GroundResidentialFee)*(1+GroundFuelSurcharge),2)))*(1+FedEx_Markup),2)"),28.69)</f>
        <v>28.69</v>
      </c>
      <c r="D71" s="218">
        <f ca="1">IFERROR(__xludf.DUMMYFUNCTION("ROUND((IF(SINGLE('Ground Base'!D$154)&gt;ROUND(((1-GroundResDiscount31Up-GroundResIncentive)*'Ground Base'!D66),2),ROUND((SINGLE('Ground Base'!D$154)+GroundResidentialFee)*(1+GroundFuelSurcharge),2),ROUND((((1-GroundResDiscount31Up-GroundResIncentive)*'Groun"&amp;"d Base'!D66)+GroundResidentialFee)*(1+GroundFuelSurcharge),2)))*(1+FedEx_Markup),2)"),32.66)</f>
        <v>32.659999999999997</v>
      </c>
      <c r="E71" s="218">
        <f ca="1">IFERROR(__xludf.DUMMYFUNCTION("ROUND((IF(SINGLE('Ground Base'!E$154)&gt;ROUND(((1-GroundResDiscount31Up-GroundResIncentive)*'Ground Base'!E66),2),ROUND((SINGLE('Ground Base'!E$154)+GroundResidentialFee)*(1+GroundFuelSurcharge),2),ROUND((((1-GroundResDiscount31Up-GroundResIncentive)*'Groun"&amp;"d Base'!E66)+GroundResidentialFee)*(1+GroundFuelSurcharge),2)))*(1+FedEx_Markup),2)"),39.97)</f>
        <v>39.97</v>
      </c>
      <c r="F71" s="218">
        <f ca="1">IFERROR(__xludf.DUMMYFUNCTION("ROUND((IF(SINGLE('Ground Base'!F$154)&gt;ROUND(((1-GroundResDiscount31Up-GroundResIncentive)*'Ground Base'!F66),2),ROUND((SINGLE('Ground Base'!F$154)+GroundResidentialFee)*(1+GroundFuelSurcharge),2),ROUND((((1-GroundResDiscount31Up-GroundResIncentive)*'Groun"&amp;"d Base'!F66)+GroundResidentialFee)*(1+GroundFuelSurcharge),2)))*(1+FedEx_Markup),2)"),47.48)</f>
        <v>47.48</v>
      </c>
      <c r="G71" s="218">
        <f ca="1">IFERROR(__xludf.DUMMYFUNCTION("ROUND((IF(SINGLE('Ground Base'!G$154)&gt;ROUND(((1-GroundResDiscount31Up-GroundResIncentive)*'Ground Base'!G66),2),ROUND((SINGLE('Ground Base'!G$154)+GroundResidentialFee)*(1+GroundFuelSurcharge),2),ROUND((((1-GroundResDiscount31Up-GroundResIncentive)*'Groun"&amp;"d Base'!G66)+GroundResidentialFee)*(1+GroundFuelSurcharge),2)))*(1+FedEx_Markup),2)"),55.32)</f>
        <v>55.32</v>
      </c>
      <c r="H71" s="218">
        <f ca="1">IFERROR(__xludf.DUMMYFUNCTION("ROUND((IF(SINGLE('Ground Base'!H$154)&gt;ROUND(((1-GroundResDiscount31Up-GroundResIncentive)*'Ground Base'!H66),2),ROUND((SINGLE('Ground Base'!H$154)+GroundResidentialFee)*(1+GroundFuelSurcharge),2),ROUND((((1-GroundResDiscount31Up-GroundResIncentive)*'Groun"&amp;"d Base'!H66)+GroundResidentialFee)*(1+GroundFuelSurcharge),2)))*(1+FedEx_Markup),2)"),65.31)</f>
        <v>65.31</v>
      </c>
      <c r="I71" s="218">
        <f>ROUND((IF('Ground Base'!I$154&gt;ROUND(((1-GroundAKHIDiscount)*'Ground Base'!I66),2),ROUND(('Ground Base'!I$154+GroundResidentialFee)*(1+GroundFuelSurcharge),2),ROUND((((1-GroundAKHIDiscount)*'Ground Base'!I66)+GroundResidentialFee)*(1+GroundFuelSurcharge),2)))*(1+FedEx_Markup),2)</f>
        <v>333.85</v>
      </c>
      <c r="J71" s="218">
        <f>ROUND((IF('Ground Base'!J$154&gt;ROUND(((1-GroundAKHIDiscount)*'Ground Base'!J66),2),ROUND(('Ground Base'!J$154+GroundResidentialFee)*(1+GroundFuelSurcharge),2),ROUND((((1-GroundAKHIDiscount)*'Ground Base'!J66)+GroundResidentialFee)*(1+GroundFuelSurcharge),2)))*(1+FedEx_Markup),2)</f>
        <v>333.85</v>
      </c>
      <c r="K71" s="218">
        <f>ROUND((IF('Ground Base'!K$154&gt;ROUND(((1-GroundZone51Discount)*'Ground Base'!K66),2),ROUND(('Ground Base'!K$154+GroundResidentialFee)*(1+GroundFuelSurcharge),2),ROUND((((1-GroundZone51Discount)*'Ground Base'!K66)+GroundResidentialFee)*(1+GroundFuelSurcharge),2)))*(1+FedEx_Markup),2)</f>
        <v>101.44</v>
      </c>
      <c r="L71" s="218">
        <f>ROUND((IF('Ground Base'!L$154&gt;ROUND(((1-GroundZone54Discount)*'Ground Base'!L66),2),ROUND(('Ground Base'!L$154+GroundResidentialFee)*(1+GroundFuelSurcharge),2),ROUND((((1-GroundZone54Discount)*'Ground Base'!L66)+GroundResidentialFee)*(1+GroundFuelSurcharge),2)))*(1+FedEx_Markup),2)</f>
        <v>113.88</v>
      </c>
    </row>
    <row r="72" spans="1:12" ht="12.75" customHeight="1">
      <c r="A72" s="217">
        <v>65</v>
      </c>
      <c r="B72" s="218">
        <f ca="1">IFERROR(__xludf.DUMMYFUNCTION("ROUND((IF(SINGLE('Ground Base'!B$154)&gt;ROUND(((1-GroundResDiscount31Up-GroundResIncentive)*'Ground Base'!B67),2),ROUND((SINGLE('Ground Base'!B$154)+GroundResidentialFee)*(1+GroundFuelSurcharge),2),ROUND((((1-GroundResDiscount31Up-GroundResIncentive)*'Groun"&amp;"d Base'!B67)+GroundResidentialFee)*(1+GroundFuelSurcharge),2)))*(1+FedEx_Markup),2)"),23.77)</f>
        <v>23.77</v>
      </c>
      <c r="C72" s="218">
        <f ca="1">IFERROR(__xludf.DUMMYFUNCTION("ROUND((IF(SINGLE('Ground Base'!C$154)&gt;ROUND(((1-GroundResDiscount31Up-GroundResIncentive)*'Ground Base'!C67),2),ROUND((SINGLE('Ground Base'!C$154)+GroundResidentialFee)*(1+GroundFuelSurcharge),2),ROUND((((1-GroundResDiscount31Up-GroundResIncentive)*'Groun"&amp;"d Base'!C67)+GroundResidentialFee)*(1+GroundFuelSurcharge),2)))*(1+FedEx_Markup),2)"),29.37)</f>
        <v>29.37</v>
      </c>
      <c r="D72" s="218">
        <f ca="1">IFERROR(__xludf.DUMMYFUNCTION("ROUND((IF(SINGLE('Ground Base'!D$154)&gt;ROUND(((1-GroundResDiscount31Up-GroundResIncentive)*'Ground Base'!D67),2),ROUND((SINGLE('Ground Base'!D$154)+GroundResidentialFee)*(1+GroundFuelSurcharge),2),ROUND((((1-GroundResDiscount31Up-GroundResIncentive)*'Groun"&amp;"d Base'!D67)+GroundResidentialFee)*(1+GroundFuelSurcharge),2)))*(1+FedEx_Markup),2)"),32.66)</f>
        <v>32.659999999999997</v>
      </c>
      <c r="E72" s="218">
        <f ca="1">IFERROR(__xludf.DUMMYFUNCTION("ROUND((IF(SINGLE('Ground Base'!E$154)&gt;ROUND(((1-GroundResDiscount31Up-GroundResIncentive)*'Ground Base'!E67),2),ROUND((SINGLE('Ground Base'!E$154)+GroundResidentialFee)*(1+GroundFuelSurcharge),2),ROUND((((1-GroundResDiscount31Up-GroundResIncentive)*'Groun"&amp;"d Base'!E67)+GroundResidentialFee)*(1+GroundFuelSurcharge),2)))*(1+FedEx_Markup),2)"),39.97)</f>
        <v>39.97</v>
      </c>
      <c r="F72" s="218">
        <f ca="1">IFERROR(__xludf.DUMMYFUNCTION("ROUND((IF(SINGLE('Ground Base'!F$154)&gt;ROUND(((1-GroundResDiscount31Up-GroundResIncentive)*'Ground Base'!F67),2),ROUND((SINGLE('Ground Base'!F$154)+GroundResidentialFee)*(1+GroundFuelSurcharge),2),ROUND((((1-GroundResDiscount31Up-GroundResIncentive)*'Groun"&amp;"d Base'!F67)+GroundResidentialFee)*(1+GroundFuelSurcharge),2)))*(1+FedEx_Markup),2)"),47.86)</f>
        <v>47.86</v>
      </c>
      <c r="G72" s="218">
        <f ca="1">IFERROR(__xludf.DUMMYFUNCTION("ROUND((IF(SINGLE('Ground Base'!G$154)&gt;ROUND(((1-GroundResDiscount31Up-GroundResIncentive)*'Ground Base'!G67),2),ROUND((SINGLE('Ground Base'!G$154)+GroundResidentialFee)*(1+GroundFuelSurcharge),2),ROUND((((1-GroundResDiscount31Up-GroundResIncentive)*'Groun"&amp;"d Base'!G67)+GroundResidentialFee)*(1+GroundFuelSurcharge),2)))*(1+FedEx_Markup),2)"),55.43)</f>
        <v>55.43</v>
      </c>
      <c r="H72" s="218">
        <f ca="1">IFERROR(__xludf.DUMMYFUNCTION("ROUND((IF(SINGLE('Ground Base'!H$154)&gt;ROUND(((1-GroundResDiscount31Up-GroundResIncentive)*'Ground Base'!H67),2),ROUND((SINGLE('Ground Base'!H$154)+GroundResidentialFee)*(1+GroundFuelSurcharge),2),ROUND((((1-GroundResDiscount31Up-GroundResIncentive)*'Groun"&amp;"d Base'!H67)+GroundResidentialFee)*(1+GroundFuelSurcharge),2)))*(1+FedEx_Markup),2)"),65.4)</f>
        <v>65.400000000000006</v>
      </c>
      <c r="I72" s="218">
        <f>ROUND((IF('Ground Base'!I$154&gt;ROUND(((1-GroundAKHIDiscount)*'Ground Base'!I67),2),ROUND(('Ground Base'!I$154+GroundResidentialFee)*(1+GroundFuelSurcharge),2),ROUND((((1-GroundAKHIDiscount)*'Ground Base'!I67)+GroundResidentialFee)*(1+GroundFuelSurcharge),2)))*(1+FedEx_Markup),2)</f>
        <v>339.25</v>
      </c>
      <c r="J72" s="218">
        <f>ROUND((IF('Ground Base'!J$154&gt;ROUND(((1-GroundAKHIDiscount)*'Ground Base'!J67),2),ROUND(('Ground Base'!J$154+GroundResidentialFee)*(1+GroundFuelSurcharge),2),ROUND((((1-GroundAKHIDiscount)*'Ground Base'!J67)+GroundResidentialFee)*(1+GroundFuelSurcharge),2)))*(1+FedEx_Markup),2)</f>
        <v>339.25</v>
      </c>
      <c r="K72" s="218">
        <f>ROUND((IF('Ground Base'!K$154&gt;ROUND(((1-GroundZone51Discount)*'Ground Base'!K67),2),ROUND(('Ground Base'!K$154+GroundResidentialFee)*(1+GroundFuelSurcharge),2),ROUND((((1-GroundZone51Discount)*'Ground Base'!K67)+GroundResidentialFee)*(1+GroundFuelSurcharge),2)))*(1+FedEx_Markup),2)</f>
        <v>101.45</v>
      </c>
      <c r="L72" s="218">
        <f>ROUND((IF('Ground Base'!L$154&gt;ROUND(((1-GroundZone54Discount)*'Ground Base'!L67),2),ROUND(('Ground Base'!L$154+GroundResidentialFee)*(1+GroundFuelSurcharge),2),ROUND((((1-GroundZone54Discount)*'Ground Base'!L67)+GroundResidentialFee)*(1+GroundFuelSurcharge),2)))*(1+FedEx_Markup),2)</f>
        <v>115.66</v>
      </c>
    </row>
    <row r="73" spans="1:12" ht="12.75" customHeight="1">
      <c r="A73" s="217">
        <v>66</v>
      </c>
      <c r="B73" s="218">
        <f ca="1">IFERROR(__xludf.DUMMYFUNCTION("ROUND((IF(SINGLE('Ground Base'!B$154)&gt;ROUND(((1-GroundResDiscount31Up-GroundResIncentive)*'Ground Base'!B68),2),ROUND((SINGLE('Ground Base'!B$154)+GroundResidentialFee)*(1+GroundFuelSurcharge),2),ROUND((((1-GroundResDiscount31Up-GroundResIncentive)*'Groun"&amp;"d Base'!B68)+GroundResidentialFee)*(1+GroundFuelSurcharge),2)))*(1+FedEx_Markup),2)"),23.87)</f>
        <v>23.87</v>
      </c>
      <c r="C73" s="218">
        <f ca="1">IFERROR(__xludf.DUMMYFUNCTION("ROUND((IF(SINGLE('Ground Base'!C$154)&gt;ROUND(((1-GroundResDiscount31Up-GroundResIncentive)*'Ground Base'!C68),2),ROUND((SINGLE('Ground Base'!C$154)+GroundResidentialFee)*(1+GroundFuelSurcharge),2),ROUND((((1-GroundResDiscount31Up-GroundResIncentive)*'Groun"&amp;"d Base'!C68)+GroundResidentialFee)*(1+GroundFuelSurcharge),2)))*(1+FedEx_Markup),2)"),29.62)</f>
        <v>29.62</v>
      </c>
      <c r="D73" s="218">
        <f ca="1">IFERROR(__xludf.DUMMYFUNCTION("ROUND((IF(SINGLE('Ground Base'!D$154)&gt;ROUND(((1-GroundResDiscount31Up-GroundResIncentive)*'Ground Base'!D68),2),ROUND((SINGLE('Ground Base'!D$154)+GroundResidentialFee)*(1+GroundFuelSurcharge),2),ROUND((((1-GroundResDiscount31Up-GroundResIncentive)*'Groun"&amp;"d Base'!D68)+GroundResidentialFee)*(1+GroundFuelSurcharge),2)))*(1+FedEx_Markup),2)"),32.67)</f>
        <v>32.67</v>
      </c>
      <c r="E73" s="218">
        <f ca="1">IFERROR(__xludf.DUMMYFUNCTION("ROUND((IF(SINGLE('Ground Base'!E$154)&gt;ROUND(((1-GroundResDiscount31Up-GroundResIncentive)*'Ground Base'!E68),2),ROUND((SINGLE('Ground Base'!E$154)+GroundResidentialFee)*(1+GroundFuelSurcharge),2),ROUND((((1-GroundResDiscount31Up-GroundResIncentive)*'Groun"&amp;"d Base'!E68)+GroundResidentialFee)*(1+GroundFuelSurcharge),2)))*(1+FedEx_Markup),2)"),39.99)</f>
        <v>39.99</v>
      </c>
      <c r="F73" s="218">
        <f ca="1">IFERROR(__xludf.DUMMYFUNCTION("ROUND((IF(SINGLE('Ground Base'!F$154)&gt;ROUND(((1-GroundResDiscount31Up-GroundResIncentive)*'Ground Base'!F68),2),ROUND((SINGLE('Ground Base'!F$154)+GroundResidentialFee)*(1+GroundFuelSurcharge),2),ROUND((((1-GroundResDiscount31Up-GroundResIncentive)*'Groun"&amp;"d Base'!F68)+GroundResidentialFee)*(1+GroundFuelSurcharge),2)))*(1+FedEx_Markup),2)"),47.9)</f>
        <v>47.9</v>
      </c>
      <c r="G73" s="218">
        <f ca="1">IFERROR(__xludf.DUMMYFUNCTION("ROUND((IF(SINGLE('Ground Base'!G$154)&gt;ROUND(((1-GroundResDiscount31Up-GroundResIncentive)*'Ground Base'!G68),2),ROUND((SINGLE('Ground Base'!G$154)+GroundResidentialFee)*(1+GroundFuelSurcharge),2),ROUND((((1-GroundResDiscount31Up-GroundResIncentive)*'Groun"&amp;"d Base'!G68)+GroundResidentialFee)*(1+GroundFuelSurcharge),2)))*(1+FedEx_Markup),2)"),55.6)</f>
        <v>55.6</v>
      </c>
      <c r="H73" s="218">
        <f ca="1">IFERROR(__xludf.DUMMYFUNCTION("ROUND((IF(SINGLE('Ground Base'!H$154)&gt;ROUND(((1-GroundResDiscount31Up-GroundResIncentive)*'Ground Base'!H68),2),ROUND((SINGLE('Ground Base'!H$154)+GroundResidentialFee)*(1+GroundFuelSurcharge),2),ROUND((((1-GroundResDiscount31Up-GroundResIncentive)*'Groun"&amp;"d Base'!H68)+GroundResidentialFee)*(1+GroundFuelSurcharge),2)))*(1+FedEx_Markup),2)"),65.67)</f>
        <v>65.67</v>
      </c>
      <c r="I73" s="218">
        <f>ROUND((IF('Ground Base'!I$154&gt;ROUND(((1-GroundAKHIDiscount)*'Ground Base'!I68),2),ROUND(('Ground Base'!I$154+GroundResidentialFee)*(1+GroundFuelSurcharge),2),ROUND((((1-GroundAKHIDiscount)*'Ground Base'!I68)+GroundResidentialFee)*(1+GroundFuelSurcharge),2)))*(1+FedEx_Markup),2)</f>
        <v>344.44</v>
      </c>
      <c r="J73" s="218">
        <f>ROUND((IF('Ground Base'!J$154&gt;ROUND(((1-GroundAKHIDiscount)*'Ground Base'!J68),2),ROUND(('Ground Base'!J$154+GroundResidentialFee)*(1+GroundFuelSurcharge),2),ROUND((((1-GroundAKHIDiscount)*'Ground Base'!J68)+GroundResidentialFee)*(1+GroundFuelSurcharge),2)))*(1+FedEx_Markup),2)</f>
        <v>344.44</v>
      </c>
      <c r="K73" s="218">
        <f>ROUND((IF('Ground Base'!K$154&gt;ROUND(((1-GroundZone51Discount)*'Ground Base'!K68),2),ROUND(('Ground Base'!K$154+GroundResidentialFee)*(1+GroundFuelSurcharge),2),ROUND((((1-GroundZone51Discount)*'Ground Base'!K68)+GroundResidentialFee)*(1+GroundFuelSurcharge),2)))*(1+FedEx_Markup),2)</f>
        <v>101.46</v>
      </c>
      <c r="L73" s="218">
        <f>ROUND((IF('Ground Base'!L$154&gt;ROUND(((1-GroundZone54Discount)*'Ground Base'!L68),2),ROUND(('Ground Base'!L$154+GroundResidentialFee)*(1+GroundFuelSurcharge),2),ROUND((((1-GroundZone54Discount)*'Ground Base'!L68)+GroundResidentialFee)*(1+GroundFuelSurcharge),2)))*(1+FedEx_Markup),2)</f>
        <v>115.67</v>
      </c>
    </row>
    <row r="74" spans="1:12" ht="12.75" customHeight="1">
      <c r="A74" s="217">
        <v>67</v>
      </c>
      <c r="B74" s="218">
        <f ca="1">IFERROR(__xludf.DUMMYFUNCTION("ROUND((IF(SINGLE('Ground Base'!B$154)&gt;ROUND(((1-GroundResDiscount31Up-GroundResIncentive)*'Ground Base'!B69),2),ROUND((SINGLE('Ground Base'!B$154)+GroundResidentialFee)*(1+GroundFuelSurcharge),2),ROUND((((1-GroundResDiscount31Up-GroundResIncentive)*'Groun"&amp;"d Base'!B69)+GroundResidentialFee)*(1+GroundFuelSurcharge),2)))*(1+FedEx_Markup),2)"),23.87)</f>
        <v>23.87</v>
      </c>
      <c r="C74" s="218">
        <f ca="1">IFERROR(__xludf.DUMMYFUNCTION("ROUND((IF(SINGLE('Ground Base'!C$154)&gt;ROUND(((1-GroundResDiscount31Up-GroundResIncentive)*'Ground Base'!C69),2),ROUND((SINGLE('Ground Base'!C$154)+GroundResidentialFee)*(1+GroundFuelSurcharge),2),ROUND((((1-GroundResDiscount31Up-GroundResIncentive)*'Groun"&amp;"d Base'!C69)+GroundResidentialFee)*(1+GroundFuelSurcharge),2)))*(1+FedEx_Markup),2)"),29.65)</f>
        <v>29.65</v>
      </c>
      <c r="D74" s="218">
        <f ca="1">IFERROR(__xludf.DUMMYFUNCTION("ROUND((IF(SINGLE('Ground Base'!D$154)&gt;ROUND(((1-GroundResDiscount31Up-GroundResIncentive)*'Ground Base'!D69),2),ROUND((SINGLE('Ground Base'!D$154)+GroundResidentialFee)*(1+GroundFuelSurcharge),2),ROUND((((1-GroundResDiscount31Up-GroundResIncentive)*'Groun"&amp;"d Base'!D69)+GroundResidentialFee)*(1+GroundFuelSurcharge),2)))*(1+FedEx_Markup),2)"),32.67)</f>
        <v>32.67</v>
      </c>
      <c r="E74" s="218">
        <f ca="1">IFERROR(__xludf.DUMMYFUNCTION("ROUND((IF(SINGLE('Ground Base'!E$154)&gt;ROUND(((1-GroundResDiscount31Up-GroundResIncentive)*'Ground Base'!E69),2),ROUND((SINGLE('Ground Base'!E$154)+GroundResidentialFee)*(1+GroundFuelSurcharge),2),ROUND((((1-GroundResDiscount31Up-GroundResIncentive)*'Groun"&amp;"d Base'!E69)+GroundResidentialFee)*(1+GroundFuelSurcharge),2)))*(1+FedEx_Markup),2)"),40.05)</f>
        <v>40.049999999999997</v>
      </c>
      <c r="F74" s="218">
        <f ca="1">IFERROR(__xludf.DUMMYFUNCTION("ROUND((IF(SINGLE('Ground Base'!F$154)&gt;ROUND(((1-GroundResDiscount31Up-GroundResIncentive)*'Ground Base'!F69),2),ROUND((SINGLE('Ground Base'!F$154)+GroundResidentialFee)*(1+GroundFuelSurcharge),2),ROUND((((1-GroundResDiscount31Up-GroundResIncentive)*'Groun"&amp;"d Base'!F69)+GroundResidentialFee)*(1+GroundFuelSurcharge),2)))*(1+FedEx_Markup),2)"),48.24)</f>
        <v>48.24</v>
      </c>
      <c r="G74" s="218">
        <f ca="1">IFERROR(__xludf.DUMMYFUNCTION("ROUND((IF(SINGLE('Ground Base'!G$154)&gt;ROUND(((1-GroundResDiscount31Up-GroundResIncentive)*'Ground Base'!G69),2),ROUND((SINGLE('Ground Base'!G$154)+GroundResidentialFee)*(1+GroundFuelSurcharge),2),ROUND((((1-GroundResDiscount31Up-GroundResIncentive)*'Groun"&amp;"d Base'!G69)+GroundResidentialFee)*(1+GroundFuelSurcharge),2)))*(1+FedEx_Markup),2)"),55.86)</f>
        <v>55.86</v>
      </c>
      <c r="H74" s="218">
        <f ca="1">IFERROR(__xludf.DUMMYFUNCTION("ROUND((IF(SINGLE('Ground Base'!H$154)&gt;ROUND(((1-GroundResDiscount31Up-GroundResIncentive)*'Ground Base'!H69),2),ROUND((SINGLE('Ground Base'!H$154)+GroundResidentialFee)*(1+GroundFuelSurcharge),2),ROUND((((1-GroundResDiscount31Up-GroundResIncentive)*'Groun"&amp;"d Base'!H69)+GroundResidentialFee)*(1+GroundFuelSurcharge),2)))*(1+FedEx_Markup),2)"),66.25)</f>
        <v>66.25</v>
      </c>
      <c r="I74" s="218">
        <f>ROUND((IF('Ground Base'!I$154&gt;ROUND(((1-GroundAKHIDiscount)*'Ground Base'!I69),2),ROUND(('Ground Base'!I$154+GroundResidentialFee)*(1+GroundFuelSurcharge),2),ROUND((((1-GroundAKHIDiscount)*'Ground Base'!I69)+GroundResidentialFee)*(1+GroundFuelSurcharge),2)))*(1+FedEx_Markup),2)</f>
        <v>349.62</v>
      </c>
      <c r="J74" s="218">
        <f>ROUND((IF('Ground Base'!J$154&gt;ROUND(((1-GroundAKHIDiscount)*'Ground Base'!J69),2),ROUND(('Ground Base'!J$154+GroundResidentialFee)*(1+GroundFuelSurcharge),2),ROUND((((1-GroundAKHIDiscount)*'Ground Base'!J69)+GroundResidentialFee)*(1+GroundFuelSurcharge),2)))*(1+FedEx_Markup),2)</f>
        <v>349.62</v>
      </c>
      <c r="K74" s="218">
        <f>ROUND((IF('Ground Base'!K$154&gt;ROUND(((1-GroundZone51Discount)*'Ground Base'!K69),2),ROUND(('Ground Base'!K$154+GroundResidentialFee)*(1+GroundFuelSurcharge),2),ROUND((((1-GroundZone51Discount)*'Ground Base'!K69)+GroundResidentialFee)*(1+GroundFuelSurcharge),2)))*(1+FedEx_Markup),2)</f>
        <v>101.49</v>
      </c>
      <c r="L74" s="218">
        <f>ROUND((IF('Ground Base'!L$154&gt;ROUND(((1-GroundZone54Discount)*'Ground Base'!L69),2),ROUND(('Ground Base'!L$154+GroundResidentialFee)*(1+GroundFuelSurcharge),2),ROUND((((1-GroundZone54Discount)*'Ground Base'!L69)+GroundResidentialFee)*(1+GroundFuelSurcharge),2)))*(1+FedEx_Markup),2)</f>
        <v>117.67</v>
      </c>
    </row>
    <row r="75" spans="1:12" ht="12.75" customHeight="1">
      <c r="A75" s="217">
        <v>68</v>
      </c>
      <c r="B75" s="218">
        <f ca="1">IFERROR(__xludf.DUMMYFUNCTION("ROUND((IF(SINGLE('Ground Base'!B$154)&gt;ROUND(((1-GroundResDiscount31Up-GroundResIncentive)*'Ground Base'!B70),2),ROUND((SINGLE('Ground Base'!B$154)+GroundResidentialFee)*(1+GroundFuelSurcharge),2),ROUND((((1-GroundResDiscount31Up-GroundResIncentive)*'Groun"&amp;"d Base'!B70)+GroundResidentialFee)*(1+GroundFuelSurcharge),2)))*(1+FedEx_Markup),2)"),24.12)</f>
        <v>24.12</v>
      </c>
      <c r="C75" s="218">
        <f ca="1">IFERROR(__xludf.DUMMYFUNCTION("ROUND((IF(SINGLE('Ground Base'!C$154)&gt;ROUND(((1-GroundResDiscount31Up-GroundResIncentive)*'Ground Base'!C70),2),ROUND((SINGLE('Ground Base'!C$154)+GroundResidentialFee)*(1+GroundFuelSurcharge),2),ROUND((((1-GroundResDiscount31Up-GroundResIncentive)*'Groun"&amp;"d Base'!C70)+GroundResidentialFee)*(1+GroundFuelSurcharge),2)))*(1+FedEx_Markup),2)"),30.12)</f>
        <v>30.12</v>
      </c>
      <c r="D75" s="218">
        <f ca="1">IFERROR(__xludf.DUMMYFUNCTION("ROUND((IF(SINGLE('Ground Base'!D$154)&gt;ROUND(((1-GroundResDiscount31Up-GroundResIncentive)*'Ground Base'!D70),2),ROUND((SINGLE('Ground Base'!D$154)+GroundResidentialFee)*(1+GroundFuelSurcharge),2),ROUND((((1-GroundResDiscount31Up-GroundResIncentive)*'Groun"&amp;"d Base'!D70)+GroundResidentialFee)*(1+GroundFuelSurcharge),2)))*(1+FedEx_Markup),2)"),34.45)</f>
        <v>34.450000000000003</v>
      </c>
      <c r="E75" s="218">
        <f ca="1">IFERROR(__xludf.DUMMYFUNCTION("ROUND((IF(SINGLE('Ground Base'!E$154)&gt;ROUND(((1-GroundResDiscount31Up-GroundResIncentive)*'Ground Base'!E70),2),ROUND((SINGLE('Ground Base'!E$154)+GroundResidentialFee)*(1+GroundFuelSurcharge),2),ROUND((((1-GroundResDiscount31Up-GroundResIncentive)*'Groun"&amp;"d Base'!E70)+GroundResidentialFee)*(1+GroundFuelSurcharge),2)))*(1+FedEx_Markup),2)"),40.88)</f>
        <v>40.880000000000003</v>
      </c>
      <c r="F75" s="218">
        <f ca="1">IFERROR(__xludf.DUMMYFUNCTION("ROUND((IF(SINGLE('Ground Base'!F$154)&gt;ROUND(((1-GroundResDiscount31Up-GroundResIncentive)*'Ground Base'!F70),2),ROUND((SINGLE('Ground Base'!F$154)+GroundResidentialFee)*(1+GroundFuelSurcharge),2),ROUND((((1-GroundResDiscount31Up-GroundResIncentive)*'Groun"&amp;"d Base'!F70)+GroundResidentialFee)*(1+GroundFuelSurcharge),2)))*(1+FedEx_Markup),2)"),48.91)</f>
        <v>48.91</v>
      </c>
      <c r="G75" s="218">
        <f ca="1">IFERROR(__xludf.DUMMYFUNCTION("ROUND((IF(SINGLE('Ground Base'!G$154)&gt;ROUND(((1-GroundResDiscount31Up-GroundResIncentive)*'Ground Base'!G70),2),ROUND((SINGLE('Ground Base'!G$154)+GroundResidentialFee)*(1+GroundFuelSurcharge),2),ROUND((((1-GroundResDiscount31Up-GroundResIncentive)*'Groun"&amp;"d Base'!G70)+GroundResidentialFee)*(1+GroundFuelSurcharge),2)))*(1+FedEx_Markup),2)"),56.65)</f>
        <v>56.65</v>
      </c>
      <c r="H75" s="218">
        <f ca="1">IFERROR(__xludf.DUMMYFUNCTION("ROUND((IF(SINGLE('Ground Base'!H$154)&gt;ROUND(((1-GroundResDiscount31Up-GroundResIncentive)*'Ground Base'!H70),2),ROUND((SINGLE('Ground Base'!H$154)+GroundResidentialFee)*(1+GroundFuelSurcharge),2),ROUND((((1-GroundResDiscount31Up-GroundResIncentive)*'Groun"&amp;"d Base'!H70)+GroundResidentialFee)*(1+GroundFuelSurcharge),2)))*(1+FedEx_Markup),2)"),66.26)</f>
        <v>66.260000000000005</v>
      </c>
      <c r="I75" s="218">
        <f>ROUND((IF('Ground Base'!I$154&gt;ROUND(((1-GroundAKHIDiscount)*'Ground Base'!I70),2),ROUND(('Ground Base'!I$154+GroundResidentialFee)*(1+GroundFuelSurcharge),2),ROUND((((1-GroundAKHIDiscount)*'Ground Base'!I70)+GroundResidentialFee)*(1+GroundFuelSurcharge),2)))*(1+FedEx_Markup),2)</f>
        <v>354.6</v>
      </c>
      <c r="J75" s="218">
        <f>ROUND((IF('Ground Base'!J$154&gt;ROUND(((1-GroundAKHIDiscount)*'Ground Base'!J70),2),ROUND(('Ground Base'!J$154+GroundResidentialFee)*(1+GroundFuelSurcharge),2),ROUND((((1-GroundAKHIDiscount)*'Ground Base'!J70)+GroundResidentialFee)*(1+GroundFuelSurcharge),2)))*(1+FedEx_Markup),2)</f>
        <v>354.6</v>
      </c>
      <c r="K75" s="218">
        <f>ROUND((IF('Ground Base'!K$154&gt;ROUND(((1-GroundZone51Discount)*'Ground Base'!K70),2),ROUND(('Ground Base'!K$154+GroundResidentialFee)*(1+GroundFuelSurcharge),2),ROUND((((1-GroundZone51Discount)*'Ground Base'!K70)+GroundResidentialFee)*(1+GroundFuelSurcharge),2)))*(1+FedEx_Markup),2)</f>
        <v>101.5</v>
      </c>
      <c r="L75" s="218">
        <f>ROUND((IF('Ground Base'!L$154&gt;ROUND(((1-GroundZone54Discount)*'Ground Base'!L70),2),ROUND(('Ground Base'!L$154+GroundResidentialFee)*(1+GroundFuelSurcharge),2),ROUND((((1-GroundZone54Discount)*'Ground Base'!L70)+GroundResidentialFee)*(1+GroundFuelSurcharge),2)))*(1+FedEx_Markup),2)</f>
        <v>117.68</v>
      </c>
    </row>
    <row r="76" spans="1:12" ht="12.75" customHeight="1">
      <c r="A76" s="217">
        <v>69</v>
      </c>
      <c r="B76" s="218">
        <f ca="1">IFERROR(__xludf.DUMMYFUNCTION("ROUND((IF(SINGLE('Ground Base'!B$154)&gt;ROUND(((1-GroundResDiscount31Up-GroundResIncentive)*'Ground Base'!B71),2),ROUND((SINGLE('Ground Base'!B$154)+GroundResidentialFee)*(1+GroundFuelSurcharge),2),ROUND((((1-GroundResDiscount31Up-GroundResIncentive)*'Groun"&amp;"d Base'!B71)+GroundResidentialFee)*(1+GroundFuelSurcharge),2)))*(1+FedEx_Markup),2)"),24.55)</f>
        <v>24.55</v>
      </c>
      <c r="C76" s="218">
        <f ca="1">IFERROR(__xludf.DUMMYFUNCTION("ROUND((IF(SINGLE('Ground Base'!C$154)&gt;ROUND(((1-GroundResDiscount31Up-GroundResIncentive)*'Ground Base'!C71),2),ROUND((SINGLE('Ground Base'!C$154)+GroundResidentialFee)*(1+GroundFuelSurcharge),2),ROUND((((1-GroundResDiscount31Up-GroundResIncentive)*'Groun"&amp;"d Base'!C71)+GroundResidentialFee)*(1+GroundFuelSurcharge),2)))*(1+FedEx_Markup),2)"),30.38)</f>
        <v>30.38</v>
      </c>
      <c r="D76" s="218">
        <f ca="1">IFERROR(__xludf.DUMMYFUNCTION("ROUND((IF(SINGLE('Ground Base'!D$154)&gt;ROUND(((1-GroundResDiscount31Up-GroundResIncentive)*'Ground Base'!D71),2),ROUND((SINGLE('Ground Base'!D$154)+GroundResidentialFee)*(1+GroundFuelSurcharge),2),ROUND((((1-GroundResDiscount31Up-GroundResIncentive)*'Groun"&amp;"d Base'!D71)+GroundResidentialFee)*(1+GroundFuelSurcharge),2)))*(1+FedEx_Markup),2)"),34.76)</f>
        <v>34.76</v>
      </c>
      <c r="E76" s="218">
        <f ca="1">IFERROR(__xludf.DUMMYFUNCTION("ROUND((IF(SINGLE('Ground Base'!E$154)&gt;ROUND(((1-GroundResDiscount31Up-GroundResIncentive)*'Ground Base'!E71),2),ROUND((SINGLE('Ground Base'!E$154)+GroundResidentialFee)*(1+GroundFuelSurcharge),2),ROUND((((1-GroundResDiscount31Up-GroundResIncentive)*'Groun"&amp;"d Base'!E71)+GroundResidentialFee)*(1+GroundFuelSurcharge),2)))*(1+FedEx_Markup),2)"),41.16)</f>
        <v>41.16</v>
      </c>
      <c r="F76" s="218">
        <f ca="1">IFERROR(__xludf.DUMMYFUNCTION("ROUND((IF(SINGLE('Ground Base'!F$154)&gt;ROUND(((1-GroundResDiscount31Up-GroundResIncentive)*'Ground Base'!F71),2),ROUND((SINGLE('Ground Base'!F$154)+GroundResidentialFee)*(1+GroundFuelSurcharge),2),ROUND((((1-GroundResDiscount31Up-GroundResIncentive)*'Groun"&amp;"d Base'!F71)+GroundResidentialFee)*(1+GroundFuelSurcharge),2)))*(1+FedEx_Markup),2)"),49.15)</f>
        <v>49.15</v>
      </c>
      <c r="G76" s="218">
        <f ca="1">IFERROR(__xludf.DUMMYFUNCTION("ROUND((IF(SINGLE('Ground Base'!G$154)&gt;ROUND(((1-GroundResDiscount31Up-GroundResIncentive)*'Ground Base'!G71),2),ROUND((SINGLE('Ground Base'!G$154)+GroundResidentialFee)*(1+GroundFuelSurcharge),2),ROUND((((1-GroundResDiscount31Up-GroundResIncentive)*'Groun"&amp;"d Base'!G71)+GroundResidentialFee)*(1+GroundFuelSurcharge),2)))*(1+FedEx_Markup),2)"),56.66)</f>
        <v>56.66</v>
      </c>
      <c r="H76" s="218">
        <f ca="1">IFERROR(__xludf.DUMMYFUNCTION("ROUND((IF(SINGLE('Ground Base'!H$154)&gt;ROUND(((1-GroundResDiscount31Up-GroundResIncentive)*'Ground Base'!H71),2),ROUND((SINGLE('Ground Base'!H$154)+GroundResidentialFee)*(1+GroundFuelSurcharge),2),ROUND((((1-GroundResDiscount31Up-GroundResIncentive)*'Groun"&amp;"d Base'!H71)+GroundResidentialFee)*(1+GroundFuelSurcharge),2)))*(1+FedEx_Markup),2)"),66.6)</f>
        <v>66.599999999999994</v>
      </c>
      <c r="I76" s="218">
        <f>ROUND((IF('Ground Base'!I$154&gt;ROUND(((1-GroundAKHIDiscount)*'Ground Base'!I71),2),ROUND(('Ground Base'!I$154+GroundResidentialFee)*(1+GroundFuelSurcharge),2),ROUND((((1-GroundAKHIDiscount)*'Ground Base'!I71)+GroundResidentialFee)*(1+GroundFuelSurcharge),2)))*(1+FedEx_Markup),2)</f>
        <v>359.71</v>
      </c>
      <c r="J76" s="218">
        <f>ROUND((IF('Ground Base'!J$154&gt;ROUND(((1-GroundAKHIDiscount)*'Ground Base'!J71),2),ROUND(('Ground Base'!J$154+GroundResidentialFee)*(1+GroundFuelSurcharge),2),ROUND((((1-GroundAKHIDiscount)*'Ground Base'!J71)+GroundResidentialFee)*(1+GroundFuelSurcharge),2)))*(1+FedEx_Markup),2)</f>
        <v>359.71</v>
      </c>
      <c r="K76" s="218">
        <f>ROUND((IF('Ground Base'!K$154&gt;ROUND(((1-GroundZone51Discount)*'Ground Base'!K71),2),ROUND(('Ground Base'!K$154+GroundResidentialFee)*(1+GroundFuelSurcharge),2),ROUND((((1-GroundZone51Discount)*'Ground Base'!K71)+GroundResidentialFee)*(1+GroundFuelSurcharge),2)))*(1+FedEx_Markup),2)</f>
        <v>102.94</v>
      </c>
      <c r="L76" s="218">
        <f>ROUND((IF('Ground Base'!L$154&gt;ROUND(((1-GroundZone54Discount)*'Ground Base'!L71),2),ROUND(('Ground Base'!L$154+GroundResidentialFee)*(1+GroundFuelSurcharge),2),ROUND((((1-GroundZone54Discount)*'Ground Base'!L71)+GroundResidentialFee)*(1+GroundFuelSurcharge),2)))*(1+FedEx_Markup),2)</f>
        <v>119.97</v>
      </c>
    </row>
    <row r="77" spans="1:12" ht="12.75" customHeight="1">
      <c r="A77" s="217">
        <v>70</v>
      </c>
      <c r="B77" s="218">
        <f ca="1">IFERROR(__xludf.DUMMYFUNCTION("ROUND((IF(SINGLE('Ground Base'!B$154)&gt;ROUND(((1-GroundResDiscount31Up-GroundResIncentive)*'Ground Base'!B72),2),ROUND((SINGLE('Ground Base'!B$154)+GroundResidentialFee)*(1+GroundFuelSurcharge),2),ROUND((((1-GroundResDiscount31Up-GroundResIncentive)*'Groun"&amp;"d Base'!B72)+GroundResidentialFee)*(1+GroundFuelSurcharge),2)))*(1+FedEx_Markup),2)"),24.64)</f>
        <v>24.64</v>
      </c>
      <c r="C77" s="218">
        <f ca="1">IFERROR(__xludf.DUMMYFUNCTION("ROUND((IF(SINGLE('Ground Base'!C$154)&gt;ROUND(((1-GroundResDiscount31Up-GroundResIncentive)*'Ground Base'!C72),2),ROUND((SINGLE('Ground Base'!C$154)+GroundResidentialFee)*(1+GroundFuelSurcharge),2),ROUND((((1-GroundResDiscount31Up-GroundResIncentive)*'Groun"&amp;"d Base'!C72)+GroundResidentialFee)*(1+GroundFuelSurcharge),2)))*(1+FedEx_Markup),2)"),30.76)</f>
        <v>30.76</v>
      </c>
      <c r="D77" s="218">
        <f ca="1">IFERROR(__xludf.DUMMYFUNCTION("ROUND((IF(SINGLE('Ground Base'!D$154)&gt;ROUND(((1-GroundResDiscount31Up-GroundResIncentive)*'Ground Base'!D72),2),ROUND((SINGLE('Ground Base'!D$154)+GroundResidentialFee)*(1+GroundFuelSurcharge),2),ROUND((((1-GroundResDiscount31Up-GroundResIncentive)*'Groun"&amp;"d Base'!D72)+GroundResidentialFee)*(1+GroundFuelSurcharge),2)))*(1+FedEx_Markup),2)"),35.44)</f>
        <v>35.44</v>
      </c>
      <c r="E77" s="218">
        <f ca="1">IFERROR(__xludf.DUMMYFUNCTION("ROUND((IF(SINGLE('Ground Base'!E$154)&gt;ROUND(((1-GroundResDiscount31Up-GroundResIncentive)*'Ground Base'!E72),2),ROUND((SINGLE('Ground Base'!E$154)+GroundResidentialFee)*(1+GroundFuelSurcharge),2),ROUND((((1-GroundResDiscount31Up-GroundResIncentive)*'Groun"&amp;"d Base'!E72)+GroundResidentialFee)*(1+GroundFuelSurcharge),2)))*(1+FedEx_Markup),2)"),42.98)</f>
        <v>42.98</v>
      </c>
      <c r="F77" s="218">
        <f ca="1">IFERROR(__xludf.DUMMYFUNCTION("ROUND((IF(SINGLE('Ground Base'!F$154)&gt;ROUND(((1-GroundResDiscount31Up-GroundResIncentive)*'Ground Base'!F72),2),ROUND((SINGLE('Ground Base'!F$154)+GroundResidentialFee)*(1+GroundFuelSurcharge),2),ROUND((((1-GroundResDiscount31Up-GroundResIncentive)*'Groun"&amp;"d Base'!F72)+GroundResidentialFee)*(1+GroundFuelSurcharge),2)))*(1+FedEx_Markup),2)"),50.06)</f>
        <v>50.06</v>
      </c>
      <c r="G77" s="218">
        <f ca="1">IFERROR(__xludf.DUMMYFUNCTION("ROUND((IF(SINGLE('Ground Base'!G$154)&gt;ROUND(((1-GroundResDiscount31Up-GroundResIncentive)*'Ground Base'!G72),2),ROUND((SINGLE('Ground Base'!G$154)+GroundResidentialFee)*(1+GroundFuelSurcharge),2),ROUND((((1-GroundResDiscount31Up-GroundResIncentive)*'Groun"&amp;"d Base'!G72)+GroundResidentialFee)*(1+GroundFuelSurcharge),2)))*(1+FedEx_Markup),2)"),56.66)</f>
        <v>56.66</v>
      </c>
      <c r="H77" s="218">
        <f ca="1">IFERROR(__xludf.DUMMYFUNCTION("ROUND((IF(SINGLE('Ground Base'!H$154)&gt;ROUND(((1-GroundResDiscount31Up-GroundResIncentive)*'Ground Base'!H72),2),ROUND((SINGLE('Ground Base'!H$154)+GroundResidentialFee)*(1+GroundFuelSurcharge),2),ROUND((((1-GroundResDiscount31Up-GroundResIncentive)*'Groun"&amp;"d Base'!H72)+GroundResidentialFee)*(1+GroundFuelSurcharge),2)))*(1+FedEx_Markup),2)"),67.14)</f>
        <v>67.14</v>
      </c>
      <c r="I77" s="218">
        <f>ROUND((IF('Ground Base'!I$154&gt;ROUND(((1-GroundAKHIDiscount)*'Ground Base'!I72),2),ROUND(('Ground Base'!I$154+GroundResidentialFee)*(1+GroundFuelSurcharge),2),ROUND((((1-GroundAKHIDiscount)*'Ground Base'!I72)+GroundResidentialFee)*(1+GroundFuelSurcharge),2)))*(1+FedEx_Markup),2)</f>
        <v>367.21</v>
      </c>
      <c r="J77" s="218">
        <f>ROUND((IF('Ground Base'!J$154&gt;ROUND(((1-GroundAKHIDiscount)*'Ground Base'!J72),2),ROUND(('Ground Base'!J$154+GroundResidentialFee)*(1+GroundFuelSurcharge),2),ROUND((((1-GroundAKHIDiscount)*'Ground Base'!J72)+GroundResidentialFee)*(1+GroundFuelSurcharge),2)))*(1+FedEx_Markup),2)</f>
        <v>367.21</v>
      </c>
      <c r="K77" s="218">
        <f>ROUND((IF('Ground Base'!K$154&gt;ROUND(((1-GroundZone51Discount)*'Ground Base'!K72),2),ROUND(('Ground Base'!K$154+GroundResidentialFee)*(1+GroundFuelSurcharge),2),ROUND((((1-GroundZone51Discount)*'Ground Base'!K72)+GroundResidentialFee)*(1+GroundFuelSurcharge),2)))*(1+FedEx_Markup),2)</f>
        <v>102.95</v>
      </c>
      <c r="L77" s="218">
        <f>ROUND((IF('Ground Base'!L$154&gt;ROUND(((1-GroundZone54Discount)*'Ground Base'!L72),2),ROUND(('Ground Base'!L$154+GroundResidentialFee)*(1+GroundFuelSurcharge),2),ROUND((((1-GroundZone54Discount)*'Ground Base'!L72)+GroundResidentialFee)*(1+GroundFuelSurcharge),2)))*(1+FedEx_Markup),2)</f>
        <v>119.98</v>
      </c>
    </row>
    <row r="78" spans="1:12" ht="12.75" customHeight="1">
      <c r="A78" s="217">
        <v>71</v>
      </c>
      <c r="B78" s="218">
        <f ca="1">IFERROR(__xludf.DUMMYFUNCTION("ROUND((IF(SINGLE('Ground Base'!B$154)&gt;ROUND(((1-GroundResDiscount31Up-GroundResIncentive)*'Ground Base'!B73),2),ROUND((SINGLE('Ground Base'!B$154)+GroundResidentialFee)*(1+GroundFuelSurcharge),2),ROUND((((1-GroundResDiscount31Up-GroundResIncentive)*'Groun"&amp;"d Base'!B73)+GroundResidentialFee)*(1+GroundFuelSurcharge),2)))*(1+FedEx_Markup),2)"),24.66)</f>
        <v>24.66</v>
      </c>
      <c r="C78" s="218">
        <f ca="1">IFERROR(__xludf.DUMMYFUNCTION("ROUND((IF(SINGLE('Ground Base'!C$154)&gt;ROUND(((1-GroundResDiscount31Up-GroundResIncentive)*'Ground Base'!C73),2),ROUND((SINGLE('Ground Base'!C$154)+GroundResidentialFee)*(1+GroundFuelSurcharge),2),ROUND((((1-GroundResDiscount31Up-GroundResIncentive)*'Groun"&amp;"d Base'!C73)+GroundResidentialFee)*(1+GroundFuelSurcharge),2)))*(1+FedEx_Markup),2)"),30.77)</f>
        <v>30.77</v>
      </c>
      <c r="D78" s="218">
        <f ca="1">IFERROR(__xludf.DUMMYFUNCTION("ROUND((IF(SINGLE('Ground Base'!D$154)&gt;ROUND(((1-GroundResDiscount31Up-GroundResIncentive)*'Ground Base'!D73),2),ROUND((SINGLE('Ground Base'!D$154)+GroundResidentialFee)*(1+GroundFuelSurcharge),2),ROUND((((1-GroundResDiscount31Up-GroundResIncentive)*'Groun"&amp;"d Base'!D73)+GroundResidentialFee)*(1+GroundFuelSurcharge),2)))*(1+FedEx_Markup),2)"),35.95)</f>
        <v>35.950000000000003</v>
      </c>
      <c r="E78" s="218">
        <f ca="1">IFERROR(__xludf.DUMMYFUNCTION("ROUND((IF(SINGLE('Ground Base'!E$154)&gt;ROUND(((1-GroundResDiscount31Up-GroundResIncentive)*'Ground Base'!E73),2),ROUND((SINGLE('Ground Base'!E$154)+GroundResidentialFee)*(1+GroundFuelSurcharge),2),ROUND((((1-GroundResDiscount31Up-GroundResIncentive)*'Groun"&amp;"d Base'!E73)+GroundResidentialFee)*(1+GroundFuelSurcharge),2)))*(1+FedEx_Markup),2)"),42.98)</f>
        <v>42.98</v>
      </c>
      <c r="F78" s="218">
        <f ca="1">IFERROR(__xludf.DUMMYFUNCTION("ROUND((IF(SINGLE('Ground Base'!F$154)&gt;ROUND(((1-GroundResDiscount31Up-GroundResIncentive)*'Ground Base'!F73),2),ROUND((SINGLE('Ground Base'!F$154)+GroundResidentialFee)*(1+GroundFuelSurcharge),2),ROUND((((1-GroundResDiscount31Up-GroundResIncentive)*'Groun"&amp;"d Base'!F73)+GroundResidentialFee)*(1+GroundFuelSurcharge),2)))*(1+FedEx_Markup),2)"),50.37)</f>
        <v>50.37</v>
      </c>
      <c r="G78" s="218">
        <f ca="1">IFERROR(__xludf.DUMMYFUNCTION("ROUND((IF(SINGLE('Ground Base'!G$154)&gt;ROUND(((1-GroundResDiscount31Up-GroundResIncentive)*'Ground Base'!G73),2),ROUND((SINGLE('Ground Base'!G$154)+GroundResidentialFee)*(1+GroundFuelSurcharge),2),ROUND((((1-GroundResDiscount31Up-GroundResIncentive)*'Groun"&amp;"d Base'!G73)+GroundResidentialFee)*(1+GroundFuelSurcharge),2)))*(1+FedEx_Markup),2)"),57.53)</f>
        <v>57.53</v>
      </c>
      <c r="H78" s="218">
        <f ca="1">IFERROR(__xludf.DUMMYFUNCTION("ROUND((IF(SINGLE('Ground Base'!H$154)&gt;ROUND(((1-GroundResDiscount31Up-GroundResIncentive)*'Ground Base'!H73),2),ROUND((SINGLE('Ground Base'!H$154)+GroundResidentialFee)*(1+GroundFuelSurcharge),2),ROUND((((1-GroundResDiscount31Up-GroundResIncentive)*'Groun"&amp;"d Base'!H73)+GroundResidentialFee)*(1+GroundFuelSurcharge),2)))*(1+FedEx_Markup),2)"),67.15)</f>
        <v>67.150000000000006</v>
      </c>
      <c r="I78" s="218">
        <f>ROUND((IF('Ground Base'!I$154&gt;ROUND(((1-GroundAKHIDiscount)*'Ground Base'!I73),2),ROUND(('Ground Base'!I$154+GroundResidentialFee)*(1+GroundFuelSurcharge),2),ROUND((((1-GroundAKHIDiscount)*'Ground Base'!I73)+GroundResidentialFee)*(1+GroundFuelSurcharge),2)))*(1+FedEx_Markup),2)</f>
        <v>372.81</v>
      </c>
      <c r="J78" s="218">
        <f>ROUND((IF('Ground Base'!J$154&gt;ROUND(((1-GroundAKHIDiscount)*'Ground Base'!J73),2),ROUND(('Ground Base'!J$154+GroundResidentialFee)*(1+GroundFuelSurcharge),2),ROUND((((1-GroundAKHIDiscount)*'Ground Base'!J73)+GroundResidentialFee)*(1+GroundFuelSurcharge),2)))*(1+FedEx_Markup),2)</f>
        <v>372.81</v>
      </c>
      <c r="K78" s="218">
        <f>ROUND((IF('Ground Base'!K$154&gt;ROUND(((1-GroundZone51Discount)*'Ground Base'!K73),2),ROUND(('Ground Base'!K$154+GroundResidentialFee)*(1+GroundFuelSurcharge),2),ROUND((((1-GroundZone51Discount)*'Ground Base'!K73)+GroundResidentialFee)*(1+GroundFuelSurcharge),2)))*(1+FedEx_Markup),2)</f>
        <v>105.32</v>
      </c>
      <c r="L78" s="218">
        <f>ROUND((IF('Ground Base'!L$154&gt;ROUND(((1-GroundZone54Discount)*'Ground Base'!L73),2),ROUND(('Ground Base'!L$154+GroundResidentialFee)*(1+GroundFuelSurcharge),2),ROUND((((1-GroundZone54Discount)*'Ground Base'!L73)+GroundResidentialFee)*(1+GroundFuelSurcharge),2)))*(1+FedEx_Markup),2)</f>
        <v>121.88</v>
      </c>
    </row>
    <row r="79" spans="1:12" ht="12.75" customHeight="1">
      <c r="A79" s="217">
        <v>72</v>
      </c>
      <c r="B79" s="218">
        <f ca="1">IFERROR(__xludf.DUMMYFUNCTION("ROUND((IF(SINGLE('Ground Base'!B$154)&gt;ROUND(((1-GroundResDiscount31Up-GroundResIncentive)*'Ground Base'!B74),2),ROUND((SINGLE('Ground Base'!B$154)+GroundResidentialFee)*(1+GroundFuelSurcharge),2),ROUND((((1-GroundResDiscount31Up-GroundResIncentive)*'Groun"&amp;"d Base'!B74)+GroundResidentialFee)*(1+GroundFuelSurcharge),2)))*(1+FedEx_Markup),2)"),25.27)</f>
        <v>25.27</v>
      </c>
      <c r="C79" s="218">
        <f ca="1">IFERROR(__xludf.DUMMYFUNCTION("ROUND((IF(SINGLE('Ground Base'!C$154)&gt;ROUND(((1-GroundResDiscount31Up-GroundResIncentive)*'Ground Base'!C74),2),ROUND((SINGLE('Ground Base'!C$154)+GroundResidentialFee)*(1+GroundFuelSurcharge),2),ROUND((((1-GroundResDiscount31Up-GroundResIncentive)*'Groun"&amp;"d Base'!C74)+GroundResidentialFee)*(1+GroundFuelSurcharge),2)))*(1+FedEx_Markup),2)"),30.77)</f>
        <v>30.77</v>
      </c>
      <c r="D79" s="218">
        <f ca="1">IFERROR(__xludf.DUMMYFUNCTION("ROUND((IF(SINGLE('Ground Base'!D$154)&gt;ROUND(((1-GroundResDiscount31Up-GroundResIncentive)*'Ground Base'!D74),2),ROUND((SINGLE('Ground Base'!D$154)+GroundResidentialFee)*(1+GroundFuelSurcharge),2),ROUND((((1-GroundResDiscount31Up-GroundResIncentive)*'Groun"&amp;"d Base'!D74)+GroundResidentialFee)*(1+GroundFuelSurcharge),2)))*(1+FedEx_Markup),2)"),36.63)</f>
        <v>36.630000000000003</v>
      </c>
      <c r="E79" s="218">
        <f ca="1">IFERROR(__xludf.DUMMYFUNCTION("ROUND((IF(SINGLE('Ground Base'!E$154)&gt;ROUND(((1-GroundResDiscount31Up-GroundResIncentive)*'Ground Base'!E74),2),ROUND((SINGLE('Ground Base'!E$154)+GroundResidentialFee)*(1+GroundFuelSurcharge),2),ROUND((((1-GroundResDiscount31Up-GroundResIncentive)*'Groun"&amp;"d Base'!E74)+GroundResidentialFee)*(1+GroundFuelSurcharge),2)))*(1+FedEx_Markup),2)"),43)</f>
        <v>43</v>
      </c>
      <c r="F79" s="218">
        <f ca="1">IFERROR(__xludf.DUMMYFUNCTION("ROUND((IF(SINGLE('Ground Base'!F$154)&gt;ROUND(((1-GroundResDiscount31Up-GroundResIncentive)*'Ground Base'!F74),2),ROUND((SINGLE('Ground Base'!F$154)+GroundResidentialFee)*(1+GroundFuelSurcharge),2),ROUND((((1-GroundResDiscount31Up-GroundResIncentive)*'Groun"&amp;"d Base'!F74)+GroundResidentialFee)*(1+GroundFuelSurcharge),2)))*(1+FedEx_Markup),2)"),51.15)</f>
        <v>51.15</v>
      </c>
      <c r="G79" s="218">
        <f ca="1">IFERROR(__xludf.DUMMYFUNCTION("ROUND((IF(SINGLE('Ground Base'!G$154)&gt;ROUND(((1-GroundResDiscount31Up-GroundResIncentive)*'Ground Base'!G74),2),ROUND((SINGLE('Ground Base'!G$154)+GroundResidentialFee)*(1+GroundFuelSurcharge),2),ROUND((((1-GroundResDiscount31Up-GroundResIncentive)*'Groun"&amp;"d Base'!G74)+GroundResidentialFee)*(1+GroundFuelSurcharge),2)))*(1+FedEx_Markup),2)"),59.83)</f>
        <v>59.83</v>
      </c>
      <c r="H79" s="218">
        <f ca="1">IFERROR(__xludf.DUMMYFUNCTION("ROUND((IF(SINGLE('Ground Base'!H$154)&gt;ROUND(((1-GroundResDiscount31Up-GroundResIncentive)*'Ground Base'!H74),2),ROUND((SINGLE('Ground Base'!H$154)+GroundResidentialFee)*(1+GroundFuelSurcharge),2),ROUND((((1-GroundResDiscount31Up-GroundResIncentive)*'Groun"&amp;"d Base'!H74)+GroundResidentialFee)*(1+GroundFuelSurcharge),2)))*(1+FedEx_Markup),2)"),67.25)</f>
        <v>67.25</v>
      </c>
      <c r="I79" s="218">
        <f>ROUND((IF('Ground Base'!I$154&gt;ROUND(((1-GroundAKHIDiscount)*'Ground Base'!I74),2),ROUND(('Ground Base'!I$154+GroundResidentialFee)*(1+GroundFuelSurcharge),2),ROUND((((1-GroundAKHIDiscount)*'Ground Base'!I74)+GroundResidentialFee)*(1+GroundFuelSurcharge),2)))*(1+FedEx_Markup),2)</f>
        <v>378.3</v>
      </c>
      <c r="J79" s="218">
        <f>ROUND((IF('Ground Base'!J$154&gt;ROUND(((1-GroundAKHIDiscount)*'Ground Base'!J74),2),ROUND(('Ground Base'!J$154+GroundResidentialFee)*(1+GroundFuelSurcharge),2),ROUND((((1-GroundAKHIDiscount)*'Ground Base'!J74)+GroundResidentialFee)*(1+GroundFuelSurcharge),2)))*(1+FedEx_Markup),2)</f>
        <v>378.3</v>
      </c>
      <c r="K79" s="218">
        <f>ROUND((IF('Ground Base'!K$154&gt;ROUND(((1-GroundZone51Discount)*'Ground Base'!K74),2),ROUND(('Ground Base'!K$154+GroundResidentialFee)*(1+GroundFuelSurcharge),2),ROUND((((1-GroundZone51Discount)*'Ground Base'!K74)+GroundResidentialFee)*(1+GroundFuelSurcharge),2)))*(1+FedEx_Markup),2)</f>
        <v>105.33</v>
      </c>
      <c r="L79" s="218">
        <f>ROUND((IF('Ground Base'!L$154&gt;ROUND(((1-GroundZone54Discount)*'Ground Base'!L74),2),ROUND(('Ground Base'!L$154+GroundResidentialFee)*(1+GroundFuelSurcharge),2),ROUND((((1-GroundZone54Discount)*'Ground Base'!L74)+GroundResidentialFee)*(1+GroundFuelSurcharge),2)))*(1+FedEx_Markup),2)</f>
        <v>121.89</v>
      </c>
    </row>
    <row r="80" spans="1:12" ht="12.75" customHeight="1">
      <c r="A80" s="217">
        <v>73</v>
      </c>
      <c r="B80" s="218">
        <f ca="1">IFERROR(__xludf.DUMMYFUNCTION("ROUND((IF(SINGLE('Ground Base'!B$154)&gt;ROUND(((1-GroundResDiscount31Up-GroundResIncentive)*'Ground Base'!B75),2),ROUND((SINGLE('Ground Base'!B$154)+GroundResidentialFee)*(1+GroundFuelSurcharge),2),ROUND((((1-GroundResDiscount31Up-GroundResIncentive)*'Groun"&amp;"d Base'!B75)+GroundResidentialFee)*(1+GroundFuelSurcharge),2)))*(1+FedEx_Markup),2)"),25.4)</f>
        <v>25.4</v>
      </c>
      <c r="C80" s="218">
        <f ca="1">IFERROR(__xludf.DUMMYFUNCTION("ROUND((IF(SINGLE('Ground Base'!C$154)&gt;ROUND(((1-GroundResDiscount31Up-GroundResIncentive)*'Ground Base'!C75),2),ROUND((SINGLE('Ground Base'!C$154)+GroundResidentialFee)*(1+GroundFuelSurcharge),2),ROUND((((1-GroundResDiscount31Up-GroundResIncentive)*'Groun"&amp;"d Base'!C75)+GroundResidentialFee)*(1+GroundFuelSurcharge),2)))*(1+FedEx_Markup),2)"),31.03)</f>
        <v>31.03</v>
      </c>
      <c r="D80" s="218">
        <f ca="1">IFERROR(__xludf.DUMMYFUNCTION("ROUND((IF(SINGLE('Ground Base'!D$154)&gt;ROUND(((1-GroundResDiscount31Up-GroundResIncentive)*'Ground Base'!D75),2),ROUND((SINGLE('Ground Base'!D$154)+GroundResidentialFee)*(1+GroundFuelSurcharge),2),ROUND((((1-GroundResDiscount31Up-GroundResIncentive)*'Groun"&amp;"d Base'!D75)+GroundResidentialFee)*(1+GroundFuelSurcharge),2)))*(1+FedEx_Markup),2)"),36.64)</f>
        <v>36.64</v>
      </c>
      <c r="E80" s="218">
        <f ca="1">IFERROR(__xludf.DUMMYFUNCTION("ROUND((IF(SINGLE('Ground Base'!E$154)&gt;ROUND(((1-GroundResDiscount31Up-GroundResIncentive)*'Ground Base'!E75),2),ROUND((SINGLE('Ground Base'!E$154)+GroundResidentialFee)*(1+GroundFuelSurcharge),2),ROUND((((1-GroundResDiscount31Up-GroundResIncentive)*'Groun"&amp;"d Base'!E75)+GroundResidentialFee)*(1+GroundFuelSurcharge),2)))*(1+FedEx_Markup),2)"),43.59)</f>
        <v>43.59</v>
      </c>
      <c r="F80" s="218">
        <f ca="1">IFERROR(__xludf.DUMMYFUNCTION("ROUND((IF(SINGLE('Ground Base'!F$154)&gt;ROUND(((1-GroundResDiscount31Up-GroundResIncentive)*'Ground Base'!F75),2),ROUND((SINGLE('Ground Base'!F$154)+GroundResidentialFee)*(1+GroundFuelSurcharge),2),ROUND((((1-GroundResDiscount31Up-GroundResIncentive)*'Groun"&amp;"d Base'!F75)+GroundResidentialFee)*(1+GroundFuelSurcharge),2)))*(1+FedEx_Markup),2)"),51.66)</f>
        <v>51.66</v>
      </c>
      <c r="G80" s="218">
        <f ca="1">IFERROR(__xludf.DUMMYFUNCTION("ROUND((IF(SINGLE('Ground Base'!G$154)&gt;ROUND(((1-GroundResDiscount31Up-GroundResIncentive)*'Ground Base'!G75),2),ROUND((SINGLE('Ground Base'!G$154)+GroundResidentialFee)*(1+GroundFuelSurcharge),2),ROUND((((1-GroundResDiscount31Up-GroundResIncentive)*'Groun"&amp;"d Base'!G75)+GroundResidentialFee)*(1+GroundFuelSurcharge),2)))*(1+FedEx_Markup),2)"),59.94)</f>
        <v>59.94</v>
      </c>
      <c r="H80" s="218">
        <f ca="1">IFERROR(__xludf.DUMMYFUNCTION("ROUND((IF(SINGLE('Ground Base'!H$154)&gt;ROUND(((1-GroundResDiscount31Up-GroundResIncentive)*'Ground Base'!H75),2),ROUND((SINGLE('Ground Base'!H$154)+GroundResidentialFee)*(1+GroundFuelSurcharge),2),ROUND((((1-GroundResDiscount31Up-GroundResIncentive)*'Groun"&amp;"d Base'!H75)+GroundResidentialFee)*(1+GroundFuelSurcharge),2)))*(1+FedEx_Markup),2)"),67.26)</f>
        <v>67.260000000000005</v>
      </c>
      <c r="I80" s="218">
        <f>ROUND((IF('Ground Base'!I$154&gt;ROUND(((1-GroundAKHIDiscount)*'Ground Base'!I75),2),ROUND(('Ground Base'!I$154+GroundResidentialFee)*(1+GroundFuelSurcharge),2),ROUND((((1-GroundAKHIDiscount)*'Ground Base'!I75)+GroundResidentialFee)*(1+GroundFuelSurcharge),2)))*(1+FedEx_Markup),2)</f>
        <v>383.79</v>
      </c>
      <c r="J80" s="218">
        <f>ROUND((IF('Ground Base'!J$154&gt;ROUND(((1-GroundAKHIDiscount)*'Ground Base'!J75),2),ROUND(('Ground Base'!J$154+GroundResidentialFee)*(1+GroundFuelSurcharge),2),ROUND((((1-GroundAKHIDiscount)*'Ground Base'!J75)+GroundResidentialFee)*(1+GroundFuelSurcharge),2)))*(1+FedEx_Markup),2)</f>
        <v>383.79</v>
      </c>
      <c r="K80" s="218">
        <f>ROUND((IF('Ground Base'!K$154&gt;ROUND(((1-GroundZone51Discount)*'Ground Base'!K75),2),ROUND(('Ground Base'!K$154+GroundResidentialFee)*(1+GroundFuelSurcharge),2),ROUND((((1-GroundZone51Discount)*'Ground Base'!K75)+GroundResidentialFee)*(1+GroundFuelSurcharge),2)))*(1+FedEx_Markup),2)</f>
        <v>106.9</v>
      </c>
      <c r="L80" s="218">
        <f>ROUND((IF('Ground Base'!L$154&gt;ROUND(((1-GroundZone54Discount)*'Ground Base'!L75),2),ROUND(('Ground Base'!L$154+GroundResidentialFee)*(1+GroundFuelSurcharge),2),ROUND((((1-GroundZone54Discount)*'Ground Base'!L75)+GroundResidentialFee)*(1+GroundFuelSurcharge),2)))*(1+FedEx_Markup),2)</f>
        <v>124.12</v>
      </c>
    </row>
    <row r="81" spans="1:26" ht="12.75" customHeight="1">
      <c r="A81" s="217">
        <v>74</v>
      </c>
      <c r="B81" s="218">
        <f ca="1">IFERROR(__xludf.DUMMYFUNCTION("ROUND((IF(SINGLE('Ground Base'!B$154)&gt;ROUND(((1-GroundResDiscount31Up-GroundResIncentive)*'Ground Base'!B76),2),ROUND((SINGLE('Ground Base'!B$154)+GroundResidentialFee)*(1+GroundFuelSurcharge),2),ROUND((((1-GroundResDiscount31Up-GroundResIncentive)*'Groun"&amp;"d Base'!B76)+GroundResidentialFee)*(1+GroundFuelSurcharge),2)))*(1+FedEx_Markup),2)"),25.99)</f>
        <v>25.99</v>
      </c>
      <c r="C81" s="218">
        <f ca="1">IFERROR(__xludf.DUMMYFUNCTION("ROUND((IF(SINGLE('Ground Base'!C$154)&gt;ROUND(((1-GroundResDiscount31Up-GroundResIncentive)*'Ground Base'!C76),2),ROUND((SINGLE('Ground Base'!C$154)+GroundResidentialFee)*(1+GroundFuelSurcharge),2),ROUND((((1-GroundResDiscount31Up-GroundResIncentive)*'Groun"&amp;"d Base'!C76)+GroundResidentialFee)*(1+GroundFuelSurcharge),2)))*(1+FedEx_Markup),2)"),31.04)</f>
        <v>31.04</v>
      </c>
      <c r="D81" s="218">
        <f ca="1">IFERROR(__xludf.DUMMYFUNCTION("ROUND((IF(SINGLE('Ground Base'!D$154)&gt;ROUND(((1-GroundResDiscount31Up-GroundResIncentive)*'Ground Base'!D76),2),ROUND((SINGLE('Ground Base'!D$154)+GroundResidentialFee)*(1+GroundFuelSurcharge),2),ROUND((((1-GroundResDiscount31Up-GroundResIncentive)*'Groun"&amp;"d Base'!D76)+GroundResidentialFee)*(1+GroundFuelSurcharge),2)))*(1+FedEx_Markup),2)"),36.64)</f>
        <v>36.64</v>
      </c>
      <c r="E81" s="218">
        <f ca="1">IFERROR(__xludf.DUMMYFUNCTION("ROUND((IF(SINGLE('Ground Base'!E$154)&gt;ROUND(((1-GroundResDiscount31Up-GroundResIncentive)*'Ground Base'!E76),2),ROUND((SINGLE('Ground Base'!E$154)+GroundResidentialFee)*(1+GroundFuelSurcharge),2),ROUND((((1-GroundResDiscount31Up-GroundResIncentive)*'Groun"&amp;"d Base'!E76)+GroundResidentialFee)*(1+GroundFuelSurcharge),2)))*(1+FedEx_Markup),2)"),43.6)</f>
        <v>43.6</v>
      </c>
      <c r="F81" s="218">
        <f ca="1">IFERROR(__xludf.DUMMYFUNCTION("ROUND((IF(SINGLE('Ground Base'!F$154)&gt;ROUND(((1-GroundResDiscount31Up-GroundResIncentive)*'Ground Base'!F76),2),ROUND((SINGLE('Ground Base'!F$154)+GroundResidentialFee)*(1+GroundFuelSurcharge),2),ROUND((((1-GroundResDiscount31Up-GroundResIncentive)*'Groun"&amp;"d Base'!F76)+GroundResidentialFee)*(1+GroundFuelSurcharge),2)))*(1+FedEx_Markup),2)"),52.41)</f>
        <v>52.41</v>
      </c>
      <c r="G81" s="218">
        <f ca="1">IFERROR(__xludf.DUMMYFUNCTION("ROUND((IF(SINGLE('Ground Base'!G$154)&gt;ROUND(((1-GroundResDiscount31Up-GroundResIncentive)*'Ground Base'!G76),2),ROUND((SINGLE('Ground Base'!G$154)+GroundResidentialFee)*(1+GroundFuelSurcharge),2),ROUND((((1-GroundResDiscount31Up-GroundResIncentive)*'Groun"&amp;"d Base'!G76)+GroundResidentialFee)*(1+GroundFuelSurcharge),2)))*(1+FedEx_Markup),2)"),59.95)</f>
        <v>59.95</v>
      </c>
      <c r="H81" s="218">
        <f ca="1">IFERROR(__xludf.DUMMYFUNCTION("ROUND((IF(SINGLE('Ground Base'!H$154)&gt;ROUND(((1-GroundResDiscount31Up-GroundResIncentive)*'Ground Base'!H76),2),ROUND((SINGLE('Ground Base'!H$154)+GroundResidentialFee)*(1+GroundFuelSurcharge),2),ROUND((((1-GroundResDiscount31Up-GroundResIncentive)*'Groun"&amp;"d Base'!H76)+GroundResidentialFee)*(1+GroundFuelSurcharge),2)))*(1+FedEx_Markup),2)"),67.28)</f>
        <v>67.28</v>
      </c>
      <c r="I81" s="218">
        <f>ROUND((IF('Ground Base'!I$154&gt;ROUND(((1-GroundAKHIDiscount)*'Ground Base'!I76),2),ROUND(('Ground Base'!I$154+GroundResidentialFee)*(1+GroundFuelSurcharge),2),ROUND((((1-GroundAKHIDiscount)*'Ground Base'!I76)+GroundResidentialFee)*(1+GroundFuelSurcharge),2)))*(1+FedEx_Markup),2)</f>
        <v>387.47</v>
      </c>
      <c r="J81" s="218">
        <f>ROUND((IF('Ground Base'!J$154&gt;ROUND(((1-GroundAKHIDiscount)*'Ground Base'!J76),2),ROUND(('Ground Base'!J$154+GroundResidentialFee)*(1+GroundFuelSurcharge),2),ROUND((((1-GroundAKHIDiscount)*'Ground Base'!J76)+GroundResidentialFee)*(1+GroundFuelSurcharge),2)))*(1+FedEx_Markup),2)</f>
        <v>387.47</v>
      </c>
      <c r="K81" s="218">
        <f>ROUND((IF('Ground Base'!K$154&gt;ROUND(((1-GroundZone51Discount)*'Ground Base'!K76),2),ROUND(('Ground Base'!K$154+GroundResidentialFee)*(1+GroundFuelSurcharge),2),ROUND((((1-GroundZone51Discount)*'Ground Base'!K76)+GroundResidentialFee)*(1+GroundFuelSurcharge),2)))*(1+FedEx_Markup),2)</f>
        <v>106.92</v>
      </c>
      <c r="L81" s="218">
        <f>ROUND((IF('Ground Base'!L$154&gt;ROUND(((1-GroundZone54Discount)*'Ground Base'!L76),2),ROUND(('Ground Base'!L$154+GroundResidentialFee)*(1+GroundFuelSurcharge),2),ROUND((((1-GroundZone54Discount)*'Ground Base'!L76)+GroundResidentialFee)*(1+GroundFuelSurcharge),2)))*(1+FedEx_Markup),2)</f>
        <v>124.12</v>
      </c>
    </row>
    <row r="82" spans="1:26" ht="12.75" customHeight="1">
      <c r="A82" s="217">
        <v>75</v>
      </c>
      <c r="B82" s="218">
        <f ca="1">IFERROR(__xludf.DUMMYFUNCTION("ROUND((IF(SINGLE('Ground Base'!B$154)&gt;ROUND(((1-GroundResDiscount31Up-GroundResIncentive)*'Ground Base'!B77),2),ROUND((SINGLE('Ground Base'!B$154)+GroundResidentialFee)*(1+GroundFuelSurcharge),2),ROUND((((1-GroundResDiscount31Up-GroundResIncentive)*'Groun"&amp;"d Base'!B77)+GroundResidentialFee)*(1+GroundFuelSurcharge),2)))*(1+FedEx_Markup),2)"),26.83)</f>
        <v>26.83</v>
      </c>
      <c r="C82" s="218">
        <f ca="1">IFERROR(__xludf.DUMMYFUNCTION("ROUND((IF(SINGLE('Ground Base'!C$154)&gt;ROUND(((1-GroundResDiscount31Up-GroundResIncentive)*'Ground Base'!C77),2),ROUND((SINGLE('Ground Base'!C$154)+GroundResidentialFee)*(1+GroundFuelSurcharge),2),ROUND((((1-GroundResDiscount31Up-GroundResIncentive)*'Groun"&amp;"d Base'!C77)+GroundResidentialFee)*(1+GroundFuelSurcharge),2)))*(1+FedEx_Markup),2)"),31.06)</f>
        <v>31.06</v>
      </c>
      <c r="D82" s="218">
        <f ca="1">IFERROR(__xludf.DUMMYFUNCTION("ROUND((IF(SINGLE('Ground Base'!D$154)&gt;ROUND(((1-GroundResDiscount31Up-GroundResIncentive)*'Ground Base'!D77),2),ROUND((SINGLE('Ground Base'!D$154)+GroundResidentialFee)*(1+GroundFuelSurcharge),2),ROUND((((1-GroundResDiscount31Up-GroundResIncentive)*'Groun"&amp;"d Base'!D77)+GroundResidentialFee)*(1+GroundFuelSurcharge),2)))*(1+FedEx_Markup),2)"),36.65)</f>
        <v>36.65</v>
      </c>
      <c r="E82" s="218">
        <f ca="1">IFERROR(__xludf.DUMMYFUNCTION("ROUND((IF(SINGLE('Ground Base'!E$154)&gt;ROUND(((1-GroundResDiscount31Up-GroundResIncentive)*'Ground Base'!E77),2),ROUND((SINGLE('Ground Base'!E$154)+GroundResidentialFee)*(1+GroundFuelSurcharge),2),ROUND((((1-GroundResDiscount31Up-GroundResIncentive)*'Groun"&amp;"d Base'!E77)+GroundResidentialFee)*(1+GroundFuelSurcharge),2)))*(1+FedEx_Markup),2)"),43.91)</f>
        <v>43.91</v>
      </c>
      <c r="F82" s="218">
        <f ca="1">IFERROR(__xludf.DUMMYFUNCTION("ROUND((IF(SINGLE('Ground Base'!F$154)&gt;ROUND(((1-GroundResDiscount31Up-GroundResIncentive)*'Ground Base'!F77),2),ROUND((SINGLE('Ground Base'!F$154)+GroundResidentialFee)*(1+GroundFuelSurcharge),2),ROUND((((1-GroundResDiscount31Up-GroundResIncentive)*'Groun"&amp;"d Base'!F77)+GroundResidentialFee)*(1+GroundFuelSurcharge),2)))*(1+FedEx_Markup),2)"),52.41)</f>
        <v>52.41</v>
      </c>
      <c r="G82" s="218">
        <f ca="1">IFERROR(__xludf.DUMMYFUNCTION("ROUND((IF(SINGLE('Ground Base'!G$154)&gt;ROUND(((1-GroundResDiscount31Up-GroundResIncentive)*'Ground Base'!G77),2),ROUND((SINGLE('Ground Base'!G$154)+GroundResidentialFee)*(1+GroundFuelSurcharge),2),ROUND((((1-GroundResDiscount31Up-GroundResIncentive)*'Groun"&amp;"d Base'!G77)+GroundResidentialFee)*(1+GroundFuelSurcharge),2)))*(1+FedEx_Markup),2)"),60.51)</f>
        <v>60.51</v>
      </c>
      <c r="H82" s="218">
        <f ca="1">IFERROR(__xludf.DUMMYFUNCTION("ROUND((IF(SINGLE('Ground Base'!H$154)&gt;ROUND(((1-GroundResDiscount31Up-GroundResIncentive)*'Ground Base'!H77),2),ROUND((SINGLE('Ground Base'!H$154)+GroundResidentialFee)*(1+GroundFuelSurcharge),2),ROUND((((1-GroundResDiscount31Up-GroundResIncentive)*'Groun"&amp;"d Base'!H77)+GroundResidentialFee)*(1+GroundFuelSurcharge),2)))*(1+FedEx_Markup),2)"),67.28)</f>
        <v>67.28</v>
      </c>
      <c r="I82" s="218">
        <f>ROUND((IF('Ground Base'!I$154&gt;ROUND(((1-GroundAKHIDiscount)*'Ground Base'!I77),2),ROUND(('Ground Base'!I$154+GroundResidentialFee)*(1+GroundFuelSurcharge),2),ROUND((((1-GroundAKHIDiscount)*'Ground Base'!I77)+GroundResidentialFee)*(1+GroundFuelSurcharge),2)))*(1+FedEx_Markup),2)</f>
        <v>391.81</v>
      </c>
      <c r="J82" s="218">
        <f>ROUND((IF('Ground Base'!J$154&gt;ROUND(((1-GroundAKHIDiscount)*'Ground Base'!J77),2),ROUND(('Ground Base'!J$154+GroundResidentialFee)*(1+GroundFuelSurcharge),2),ROUND((((1-GroundAKHIDiscount)*'Ground Base'!J77)+GroundResidentialFee)*(1+GroundFuelSurcharge),2)))*(1+FedEx_Markup),2)</f>
        <v>391.81</v>
      </c>
      <c r="K82" s="218">
        <f>ROUND((IF('Ground Base'!K$154&gt;ROUND(((1-GroundZone51Discount)*'Ground Base'!K77),2),ROUND(('Ground Base'!K$154+GroundResidentialFee)*(1+GroundFuelSurcharge),2),ROUND((((1-GroundZone51Discount)*'Ground Base'!K77)+GroundResidentialFee)*(1+GroundFuelSurcharge),2)))*(1+FedEx_Markup),2)</f>
        <v>108.36</v>
      </c>
      <c r="L82" s="218">
        <f>ROUND((IF('Ground Base'!L$154&gt;ROUND(((1-GroundZone54Discount)*'Ground Base'!L77),2),ROUND(('Ground Base'!L$154+GroundResidentialFee)*(1+GroundFuelSurcharge),2),ROUND((((1-GroundZone54Discount)*'Ground Base'!L77)+GroundResidentialFee)*(1+GroundFuelSurcharge),2)))*(1+FedEx_Markup),2)</f>
        <v>126.9</v>
      </c>
    </row>
    <row r="83" spans="1:26" ht="12.75" customHeight="1">
      <c r="A83" s="217">
        <v>76</v>
      </c>
      <c r="B83" s="218">
        <f ca="1">IFERROR(__xludf.DUMMYFUNCTION("ROUND((IF(SINGLE('Ground Base'!B$154)&gt;ROUND(((1-GroundResDiscount31Up-GroundResIncentive)*'Ground Base'!B78),2),ROUND((SINGLE('Ground Base'!B$154)+GroundResidentialFee)*(1+GroundFuelSurcharge),2),ROUND((((1-GroundResDiscount31Up-GroundResIncentive)*'Groun"&amp;"d Base'!B78)+GroundResidentialFee)*(1+GroundFuelSurcharge),2)))*(1+FedEx_Markup),2)"),28.65)</f>
        <v>28.65</v>
      </c>
      <c r="C83" s="218">
        <f ca="1">IFERROR(__xludf.DUMMYFUNCTION("ROUND((IF(SINGLE('Ground Base'!C$154)&gt;ROUND(((1-GroundResDiscount31Up-GroundResIncentive)*'Ground Base'!C78),2),ROUND((SINGLE('Ground Base'!C$154)+GroundResidentialFee)*(1+GroundFuelSurcharge),2),ROUND((((1-GroundResDiscount31Up-GroundResIncentive)*'Groun"&amp;"d Base'!C78)+GroundResidentialFee)*(1+GroundFuelSurcharge),2)))*(1+FedEx_Markup),2)"),32.61)</f>
        <v>32.61</v>
      </c>
      <c r="D83" s="218">
        <f ca="1">IFERROR(__xludf.DUMMYFUNCTION("ROUND((IF(SINGLE('Ground Base'!D$154)&gt;ROUND(((1-GroundResDiscount31Up-GroundResIncentive)*'Ground Base'!D78),2),ROUND((SINGLE('Ground Base'!D$154)+GroundResidentialFee)*(1+GroundFuelSurcharge),2),ROUND((((1-GroundResDiscount31Up-GroundResIncentive)*'Groun"&amp;"d Base'!D78)+GroundResidentialFee)*(1+GroundFuelSurcharge),2)))*(1+FedEx_Markup),2)"),36.87)</f>
        <v>36.869999999999997</v>
      </c>
      <c r="E83" s="218">
        <f ca="1">IFERROR(__xludf.DUMMYFUNCTION("ROUND((IF(SINGLE('Ground Base'!E$154)&gt;ROUND(((1-GroundResDiscount31Up-GroundResIncentive)*'Ground Base'!E78),2),ROUND((SINGLE('Ground Base'!E$154)+GroundResidentialFee)*(1+GroundFuelSurcharge),2),ROUND((((1-GroundResDiscount31Up-GroundResIncentive)*'Groun"&amp;"d Base'!E78)+GroundResidentialFee)*(1+GroundFuelSurcharge),2)))*(1+FedEx_Markup),2)"),44.53)</f>
        <v>44.53</v>
      </c>
      <c r="F83" s="218">
        <f ca="1">IFERROR(__xludf.DUMMYFUNCTION("ROUND((IF(SINGLE('Ground Base'!F$154)&gt;ROUND(((1-GroundResDiscount31Up-GroundResIncentive)*'Ground Base'!F78),2),ROUND((SINGLE('Ground Base'!F$154)+GroundResidentialFee)*(1+GroundFuelSurcharge),2),ROUND((((1-GroundResDiscount31Up-GroundResIncentive)*'Groun"&amp;"d Base'!F78)+GroundResidentialFee)*(1+GroundFuelSurcharge),2)))*(1+FedEx_Markup),2)"),53.5)</f>
        <v>53.5</v>
      </c>
      <c r="G83" s="218">
        <f ca="1">IFERROR(__xludf.DUMMYFUNCTION("ROUND((IF(SINGLE('Ground Base'!G$154)&gt;ROUND(((1-GroundResDiscount31Up-GroundResIncentive)*'Ground Base'!G78),2),ROUND((SINGLE('Ground Base'!G$154)+GroundResidentialFee)*(1+GroundFuelSurcharge),2),ROUND((((1-GroundResDiscount31Up-GroundResIncentive)*'Groun"&amp;"d Base'!G78)+GroundResidentialFee)*(1+GroundFuelSurcharge),2)))*(1+FedEx_Markup),2)"),61.44)</f>
        <v>61.44</v>
      </c>
      <c r="H83" s="218">
        <f ca="1">IFERROR(__xludf.DUMMYFUNCTION("ROUND((IF(SINGLE('Ground Base'!H$154)&gt;ROUND(((1-GroundResDiscount31Up-GroundResIncentive)*'Ground Base'!H78),2),ROUND((SINGLE('Ground Base'!H$154)+GroundResidentialFee)*(1+GroundFuelSurcharge),2),ROUND((((1-GroundResDiscount31Up-GroundResIncentive)*'Groun"&amp;"d Base'!H78)+GroundResidentialFee)*(1+GroundFuelSurcharge),2)))*(1+FedEx_Markup),2)"),67.87)</f>
        <v>67.87</v>
      </c>
      <c r="I83" s="218">
        <f>ROUND((IF('Ground Base'!I$154&gt;ROUND(((1-GroundAKHIDiscount)*'Ground Base'!I78),2),ROUND(('Ground Base'!I$154+GroundResidentialFee)*(1+GroundFuelSurcharge),2),ROUND((((1-GroundAKHIDiscount)*'Ground Base'!I78)+GroundResidentialFee)*(1+GroundFuelSurcharge),2)))*(1+FedEx_Markup),2)</f>
        <v>396.6</v>
      </c>
      <c r="J83" s="218">
        <f>ROUND((IF('Ground Base'!J$154&gt;ROUND(((1-GroundAKHIDiscount)*'Ground Base'!J78),2),ROUND(('Ground Base'!J$154+GroundResidentialFee)*(1+GroundFuelSurcharge),2),ROUND((((1-GroundAKHIDiscount)*'Ground Base'!J78)+GroundResidentialFee)*(1+GroundFuelSurcharge),2)))*(1+FedEx_Markup),2)</f>
        <v>396.6</v>
      </c>
      <c r="K83" s="218">
        <f>ROUND((IF('Ground Base'!K$154&gt;ROUND(((1-GroundZone51Discount)*'Ground Base'!K78),2),ROUND(('Ground Base'!K$154+GroundResidentialFee)*(1+GroundFuelSurcharge),2),ROUND((((1-GroundZone51Discount)*'Ground Base'!K78)+GroundResidentialFee)*(1+GroundFuelSurcharge),2)))*(1+FedEx_Markup),2)</f>
        <v>108.38</v>
      </c>
      <c r="L83" s="218">
        <f>ROUND((IF('Ground Base'!L$154&gt;ROUND(((1-GroundZone54Discount)*'Ground Base'!L78),2),ROUND(('Ground Base'!L$154+GroundResidentialFee)*(1+GroundFuelSurcharge),2),ROUND((((1-GroundZone54Discount)*'Ground Base'!L78)+GroundResidentialFee)*(1+GroundFuelSurcharge),2)))*(1+FedEx_Markup),2)</f>
        <v>126.93</v>
      </c>
    </row>
    <row r="84" spans="1:26" ht="12.75" customHeight="1">
      <c r="A84" s="217">
        <v>77</v>
      </c>
      <c r="B84" s="218">
        <f ca="1">IFERROR(__xludf.DUMMYFUNCTION("ROUND((IF(SINGLE('Ground Base'!B$154)&gt;ROUND(((1-GroundResDiscount31Up-GroundResIncentive)*'Ground Base'!B79),2),ROUND((SINGLE('Ground Base'!B$154)+GroundResidentialFee)*(1+GroundFuelSurcharge),2),ROUND((((1-GroundResDiscount31Up-GroundResIncentive)*'Groun"&amp;"d Base'!B79)+GroundResidentialFee)*(1+GroundFuelSurcharge),2)))*(1+FedEx_Markup),2)"),29.65)</f>
        <v>29.65</v>
      </c>
      <c r="C84" s="218">
        <f ca="1">IFERROR(__xludf.DUMMYFUNCTION("ROUND((IF(SINGLE('Ground Base'!C$154)&gt;ROUND(((1-GroundResDiscount31Up-GroundResIncentive)*'Ground Base'!C79),2),ROUND((SINGLE('Ground Base'!C$154)+GroundResidentialFee)*(1+GroundFuelSurcharge),2),ROUND((((1-GroundResDiscount31Up-GroundResIncentive)*'Groun"&amp;"d Base'!C79)+GroundResidentialFee)*(1+GroundFuelSurcharge),2)))*(1+FedEx_Markup),2)"),33.04)</f>
        <v>33.04</v>
      </c>
      <c r="D84" s="218">
        <f ca="1">IFERROR(__xludf.DUMMYFUNCTION("ROUND((IF(SINGLE('Ground Base'!D$154)&gt;ROUND(((1-GroundResDiscount31Up-GroundResIncentive)*'Ground Base'!D79),2),ROUND((SINGLE('Ground Base'!D$154)+GroundResidentialFee)*(1+GroundFuelSurcharge),2),ROUND((((1-GroundResDiscount31Up-GroundResIncentive)*'Groun"&amp;"d Base'!D79)+GroundResidentialFee)*(1+GroundFuelSurcharge),2)))*(1+FedEx_Markup),2)"),37.25)</f>
        <v>37.25</v>
      </c>
      <c r="E84" s="218">
        <f ca="1">IFERROR(__xludf.DUMMYFUNCTION("ROUND((IF(SINGLE('Ground Base'!E$154)&gt;ROUND(((1-GroundResDiscount31Up-GroundResIncentive)*'Ground Base'!E79),2),ROUND((SINGLE('Ground Base'!E$154)+GroundResidentialFee)*(1+GroundFuelSurcharge),2),ROUND((((1-GroundResDiscount31Up-GroundResIncentive)*'Groun"&amp;"d Base'!E79)+GroundResidentialFee)*(1+GroundFuelSurcharge),2)))*(1+FedEx_Markup),2)"),44.71)</f>
        <v>44.71</v>
      </c>
      <c r="F84" s="218">
        <f ca="1">IFERROR(__xludf.DUMMYFUNCTION("ROUND((IF(SINGLE('Ground Base'!F$154)&gt;ROUND(((1-GroundResDiscount31Up-GroundResIncentive)*'Ground Base'!F79),2),ROUND((SINGLE('Ground Base'!F$154)+GroundResidentialFee)*(1+GroundFuelSurcharge),2),ROUND((((1-GroundResDiscount31Up-GroundResIncentive)*'Groun"&amp;"d Base'!F79)+GroundResidentialFee)*(1+GroundFuelSurcharge),2)))*(1+FedEx_Markup),2)"),53.79)</f>
        <v>53.79</v>
      </c>
      <c r="G84" s="218">
        <f ca="1">IFERROR(__xludf.DUMMYFUNCTION("ROUND((IF(SINGLE('Ground Base'!G$154)&gt;ROUND(((1-GroundResDiscount31Up-GroundResIncentive)*'Ground Base'!G79),2),ROUND((SINGLE('Ground Base'!G$154)+GroundResidentialFee)*(1+GroundFuelSurcharge),2),ROUND((((1-GroundResDiscount31Up-GroundResIncentive)*'Groun"&amp;"d Base'!G79)+GroundResidentialFee)*(1+GroundFuelSurcharge),2)))*(1+FedEx_Markup),2)"),63.1)</f>
        <v>63.1</v>
      </c>
      <c r="H84" s="218">
        <f ca="1">IFERROR(__xludf.DUMMYFUNCTION("ROUND((IF(SINGLE('Ground Base'!H$154)&gt;ROUND(((1-GroundResDiscount31Up-GroundResIncentive)*'Ground Base'!H79),2),ROUND((SINGLE('Ground Base'!H$154)+GroundResidentialFee)*(1+GroundFuelSurcharge),2),ROUND((((1-GroundResDiscount31Up-GroundResIncentive)*'Groun"&amp;"d Base'!H79)+GroundResidentialFee)*(1+GroundFuelSurcharge),2)))*(1+FedEx_Markup),2)"),67.88)</f>
        <v>67.88</v>
      </c>
      <c r="I84" s="218">
        <f>ROUND((IF('Ground Base'!I$154&gt;ROUND(((1-GroundAKHIDiscount)*'Ground Base'!I79),2),ROUND(('Ground Base'!I$154+GroundResidentialFee)*(1+GroundFuelSurcharge),2),ROUND((((1-GroundAKHIDiscount)*'Ground Base'!I79)+GroundResidentialFee)*(1+GroundFuelSurcharge),2)))*(1+FedEx_Markup),2)</f>
        <v>399.84</v>
      </c>
      <c r="J84" s="218">
        <f>ROUND((IF('Ground Base'!J$154&gt;ROUND(((1-GroundAKHIDiscount)*'Ground Base'!J79),2),ROUND(('Ground Base'!J$154+GroundResidentialFee)*(1+GroundFuelSurcharge),2),ROUND((((1-GroundAKHIDiscount)*'Ground Base'!J79)+GroundResidentialFee)*(1+GroundFuelSurcharge),2)))*(1+FedEx_Markup),2)</f>
        <v>399.84</v>
      </c>
      <c r="K84" s="218">
        <f>ROUND((IF('Ground Base'!K$154&gt;ROUND(((1-GroundZone51Discount)*'Ground Base'!K79),2),ROUND(('Ground Base'!K$154+GroundResidentialFee)*(1+GroundFuelSurcharge),2),ROUND((((1-GroundZone51Discount)*'Ground Base'!K79)+GroundResidentialFee)*(1+GroundFuelSurcharge),2)))*(1+FedEx_Markup),2)</f>
        <v>108.63</v>
      </c>
      <c r="L84" s="218">
        <f>ROUND((IF('Ground Base'!L$154&gt;ROUND(((1-GroundZone54Discount)*'Ground Base'!L79),2),ROUND(('Ground Base'!L$154+GroundResidentialFee)*(1+GroundFuelSurcharge),2),ROUND((((1-GroundZone54Discount)*'Ground Base'!L79)+GroundResidentialFee)*(1+GroundFuelSurcharge),2)))*(1+FedEx_Markup),2)</f>
        <v>127.63</v>
      </c>
    </row>
    <row r="85" spans="1:26" ht="12.75" customHeight="1">
      <c r="A85" s="217">
        <v>78</v>
      </c>
      <c r="B85" s="218">
        <f ca="1">IFERROR(__xludf.DUMMYFUNCTION("ROUND((IF(SINGLE('Ground Base'!B$154)&gt;ROUND(((1-GroundResDiscount31Up-GroundResIncentive)*'Ground Base'!B80),2),ROUND((SINGLE('Ground Base'!B$154)+GroundResidentialFee)*(1+GroundFuelSurcharge),2),ROUND((((1-GroundResDiscount31Up-GroundResIncentive)*'Groun"&amp;"d Base'!B80)+GroundResidentialFee)*(1+GroundFuelSurcharge),2)))*(1+FedEx_Markup),2)"),29.67)</f>
        <v>29.67</v>
      </c>
      <c r="C85" s="218">
        <f ca="1">IFERROR(__xludf.DUMMYFUNCTION("ROUND((IF(SINGLE('Ground Base'!C$154)&gt;ROUND(((1-GroundResDiscount31Up-GroundResIncentive)*'Ground Base'!C80),2),ROUND((SINGLE('Ground Base'!C$154)+GroundResidentialFee)*(1+GroundFuelSurcharge),2),ROUND((((1-GroundResDiscount31Up-GroundResIncentive)*'Groun"&amp;"d Base'!C80)+GroundResidentialFee)*(1+GroundFuelSurcharge),2)))*(1+FedEx_Markup),2)"),34.16)</f>
        <v>34.159999999999997</v>
      </c>
      <c r="D85" s="218">
        <f ca="1">IFERROR(__xludf.DUMMYFUNCTION("ROUND((IF(SINGLE('Ground Base'!D$154)&gt;ROUND(((1-GroundResDiscount31Up-GroundResIncentive)*'Ground Base'!D80),2),ROUND((SINGLE('Ground Base'!D$154)+GroundResidentialFee)*(1+GroundFuelSurcharge),2),ROUND((((1-GroundResDiscount31Up-GroundResIncentive)*'Groun"&amp;"d Base'!D80)+GroundResidentialFee)*(1+GroundFuelSurcharge),2)))*(1+FedEx_Markup),2)"),38.25)</f>
        <v>38.25</v>
      </c>
      <c r="E85" s="218">
        <f ca="1">IFERROR(__xludf.DUMMYFUNCTION("ROUND((IF(SINGLE('Ground Base'!E$154)&gt;ROUND(((1-GroundResDiscount31Up-GroundResIncentive)*'Ground Base'!E80),2),ROUND((SINGLE('Ground Base'!E$154)+GroundResidentialFee)*(1+GroundFuelSurcharge),2),ROUND((((1-GroundResDiscount31Up-GroundResIncentive)*'Groun"&amp;"d Base'!E80)+GroundResidentialFee)*(1+GroundFuelSurcharge),2)))*(1+FedEx_Markup),2)"),45.16)</f>
        <v>45.16</v>
      </c>
      <c r="F85" s="218">
        <f ca="1">IFERROR(__xludf.DUMMYFUNCTION("ROUND((IF(SINGLE('Ground Base'!F$154)&gt;ROUND(((1-GroundResDiscount31Up-GroundResIncentive)*'Ground Base'!F80),2),ROUND((SINGLE('Ground Base'!F$154)+GroundResidentialFee)*(1+GroundFuelSurcharge),2),ROUND((((1-GroundResDiscount31Up-GroundResIncentive)*'Groun"&amp;"d Base'!F80)+GroundResidentialFee)*(1+GroundFuelSurcharge),2)))*(1+FedEx_Markup),2)"),54.11)</f>
        <v>54.11</v>
      </c>
      <c r="G85" s="218">
        <f ca="1">IFERROR(__xludf.DUMMYFUNCTION("ROUND((IF(SINGLE('Ground Base'!G$154)&gt;ROUND(((1-GroundResDiscount31Up-GroundResIncentive)*'Ground Base'!G80),2),ROUND((SINGLE('Ground Base'!G$154)+GroundResidentialFee)*(1+GroundFuelSurcharge),2),ROUND((((1-GroundResDiscount31Up-GroundResIncentive)*'Groun"&amp;"d Base'!G80)+GroundResidentialFee)*(1+GroundFuelSurcharge),2)))*(1+FedEx_Markup),2)"),63.55)</f>
        <v>63.55</v>
      </c>
      <c r="H85" s="218">
        <f ca="1">IFERROR(__xludf.DUMMYFUNCTION("ROUND((IF(SINGLE('Ground Base'!H$154)&gt;ROUND(((1-GroundResDiscount31Up-GroundResIncentive)*'Ground Base'!H80),2),ROUND((SINGLE('Ground Base'!H$154)+GroundResidentialFee)*(1+GroundFuelSurcharge),2),ROUND((((1-GroundResDiscount31Up-GroundResIncentive)*'Groun"&amp;"d Base'!H80)+GroundResidentialFee)*(1+GroundFuelSurcharge),2)))*(1+FedEx_Markup),2)"),67.9)</f>
        <v>67.900000000000006</v>
      </c>
      <c r="I85" s="218">
        <f>ROUND((IF('Ground Base'!I$154&gt;ROUND(((1-GroundAKHIDiscount)*'Ground Base'!I80),2),ROUND(('Ground Base'!I$154+GroundResidentialFee)*(1+GroundFuelSurcharge),2),ROUND((((1-GroundAKHIDiscount)*'Ground Base'!I80)+GroundResidentialFee)*(1+GroundFuelSurcharge),2)))*(1+FedEx_Markup),2)</f>
        <v>401.97</v>
      </c>
      <c r="J85" s="218">
        <f>ROUND((IF('Ground Base'!J$154&gt;ROUND(((1-GroundAKHIDiscount)*'Ground Base'!J80),2),ROUND(('Ground Base'!J$154+GroundResidentialFee)*(1+GroundFuelSurcharge),2),ROUND((((1-GroundAKHIDiscount)*'Ground Base'!J80)+GroundResidentialFee)*(1+GroundFuelSurcharge),2)))*(1+FedEx_Markup),2)</f>
        <v>401.97</v>
      </c>
      <c r="K85" s="218">
        <f>ROUND((IF('Ground Base'!K$154&gt;ROUND(((1-GroundZone51Discount)*'Ground Base'!K80),2),ROUND(('Ground Base'!K$154+GroundResidentialFee)*(1+GroundFuelSurcharge),2),ROUND((((1-GroundZone51Discount)*'Ground Base'!K80)+GroundResidentialFee)*(1+GroundFuelSurcharge),2)))*(1+FedEx_Markup),2)</f>
        <v>108.63</v>
      </c>
      <c r="L85" s="218">
        <f>ROUND((IF('Ground Base'!L$154&gt;ROUND(((1-GroundZone54Discount)*'Ground Base'!L80),2),ROUND(('Ground Base'!L$154+GroundResidentialFee)*(1+GroundFuelSurcharge),2),ROUND((((1-GroundZone54Discount)*'Ground Base'!L80)+GroundResidentialFee)*(1+GroundFuelSurcharge),2)))*(1+FedEx_Markup),2)</f>
        <v>127.63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2.75" customHeight="1">
      <c r="A86" s="217">
        <v>79</v>
      </c>
      <c r="B86" s="218">
        <f ca="1">IFERROR(__xludf.DUMMYFUNCTION("ROUND((IF(SINGLE('Ground Base'!B$154)&gt;ROUND(((1-GroundResDiscount31Up-GroundResIncentive)*'Ground Base'!B81),2),ROUND((SINGLE('Ground Base'!B$154)+GroundResidentialFee)*(1+GroundFuelSurcharge),2),ROUND((((1-GroundResDiscount31Up-GroundResIncentive)*'Groun"&amp;"d Base'!B81)+GroundResidentialFee)*(1+GroundFuelSurcharge),2)))*(1+FedEx_Markup),2)"),30.85)</f>
        <v>30.85</v>
      </c>
      <c r="C86" s="218">
        <f ca="1">IFERROR(__xludf.DUMMYFUNCTION("ROUND((IF(SINGLE('Ground Base'!C$154)&gt;ROUND(((1-GroundResDiscount31Up-GroundResIncentive)*'Ground Base'!C81),2),ROUND((SINGLE('Ground Base'!C$154)+GroundResidentialFee)*(1+GroundFuelSurcharge),2),ROUND((((1-GroundResDiscount31Up-GroundResIncentive)*'Groun"&amp;"d Base'!C81)+GroundResidentialFee)*(1+GroundFuelSurcharge),2)))*(1+FedEx_Markup),2)"),35.43)</f>
        <v>35.43</v>
      </c>
      <c r="D86" s="218">
        <f ca="1">IFERROR(__xludf.DUMMYFUNCTION("ROUND((IF(SINGLE('Ground Base'!D$154)&gt;ROUND(((1-GroundResDiscount31Up-GroundResIncentive)*'Ground Base'!D81),2),ROUND((SINGLE('Ground Base'!D$154)+GroundResidentialFee)*(1+GroundFuelSurcharge),2),ROUND((((1-GroundResDiscount31Up-GroundResIncentive)*'Groun"&amp;"d Base'!D81)+GroundResidentialFee)*(1+GroundFuelSurcharge),2)))*(1+FedEx_Markup),2)"),39.12)</f>
        <v>39.119999999999997</v>
      </c>
      <c r="E86" s="218">
        <f ca="1">IFERROR(__xludf.DUMMYFUNCTION("ROUND((IF(SINGLE('Ground Base'!E$154)&gt;ROUND(((1-GroundResDiscount31Up-GroundResIncentive)*'Ground Base'!E81),2),ROUND((SINGLE('Ground Base'!E$154)+GroundResidentialFee)*(1+GroundFuelSurcharge),2),ROUND((((1-GroundResDiscount31Up-GroundResIncentive)*'Groun"&amp;"d Base'!E81)+GroundResidentialFee)*(1+GroundFuelSurcharge),2)))*(1+FedEx_Markup),2)"),45.82)</f>
        <v>45.82</v>
      </c>
      <c r="F86" s="218">
        <f ca="1">IFERROR(__xludf.DUMMYFUNCTION("ROUND((IF(SINGLE('Ground Base'!F$154)&gt;ROUND(((1-GroundResDiscount31Up-GroundResIncentive)*'Ground Base'!F81),2),ROUND((SINGLE('Ground Base'!F$154)+GroundResidentialFee)*(1+GroundFuelSurcharge),2),ROUND((((1-GroundResDiscount31Up-GroundResIncentive)*'Groun"&amp;"d Base'!F81)+GroundResidentialFee)*(1+GroundFuelSurcharge),2)))*(1+FedEx_Markup),2)"),55.17)</f>
        <v>55.17</v>
      </c>
      <c r="G86" s="218">
        <f ca="1">IFERROR(__xludf.DUMMYFUNCTION("ROUND((IF(SINGLE('Ground Base'!G$154)&gt;ROUND(((1-GroundResDiscount31Up-GroundResIncentive)*'Ground Base'!G81),2),ROUND((SINGLE('Ground Base'!G$154)+GroundResidentialFee)*(1+GroundFuelSurcharge),2),ROUND((((1-GroundResDiscount31Up-GroundResIncentive)*'Groun"&amp;"d Base'!G81)+GroundResidentialFee)*(1+GroundFuelSurcharge),2)))*(1+FedEx_Markup),2)"),64.48)</f>
        <v>64.48</v>
      </c>
      <c r="H86" s="218">
        <f ca="1">IFERROR(__xludf.DUMMYFUNCTION("ROUND((IF(SINGLE('Ground Base'!H$154)&gt;ROUND(((1-GroundResDiscount31Up-GroundResIncentive)*'Ground Base'!H81),2),ROUND((SINGLE('Ground Base'!H$154)+GroundResidentialFee)*(1+GroundFuelSurcharge),2),ROUND((((1-GroundResDiscount31Up-GroundResIncentive)*'Groun"&amp;"d Base'!H81)+GroundResidentialFee)*(1+GroundFuelSurcharge),2)))*(1+FedEx_Markup),2)"),68.94)</f>
        <v>68.94</v>
      </c>
      <c r="I86" s="218">
        <f>ROUND((IF('Ground Base'!I$154&gt;ROUND(((1-GroundAKHIDiscount)*'Ground Base'!I81),2),ROUND(('Ground Base'!I$154+GroundResidentialFee)*(1+GroundFuelSurcharge),2),ROUND((((1-GroundAKHIDiscount)*'Ground Base'!I81)+GroundResidentialFee)*(1+GroundFuelSurcharge),2)))*(1+FedEx_Markup),2)</f>
        <v>402.04</v>
      </c>
      <c r="J86" s="218">
        <f>ROUND((IF('Ground Base'!J$154&gt;ROUND(((1-GroundAKHIDiscount)*'Ground Base'!J81),2),ROUND(('Ground Base'!J$154+GroundResidentialFee)*(1+GroundFuelSurcharge),2),ROUND((((1-GroundAKHIDiscount)*'Ground Base'!J81)+GroundResidentialFee)*(1+GroundFuelSurcharge),2)))*(1+FedEx_Markup),2)</f>
        <v>402.04</v>
      </c>
      <c r="K86" s="218">
        <f>ROUND((IF('Ground Base'!K$154&gt;ROUND(((1-GroundZone51Discount)*'Ground Base'!K81),2),ROUND(('Ground Base'!K$154+GroundResidentialFee)*(1+GroundFuelSurcharge),2),ROUND((((1-GroundZone51Discount)*'Ground Base'!K81)+GroundResidentialFee)*(1+GroundFuelSurcharge),2)))*(1+FedEx_Markup),2)</f>
        <v>109.95</v>
      </c>
      <c r="L86" s="218">
        <f>ROUND((IF('Ground Base'!L$154&gt;ROUND(((1-GroundZone54Discount)*'Ground Base'!L81),2),ROUND(('Ground Base'!L$154+GroundResidentialFee)*(1+GroundFuelSurcharge),2),ROUND((((1-GroundZone54Discount)*'Ground Base'!L81)+GroundResidentialFee)*(1+GroundFuelSurcharge),2)))*(1+FedEx_Markup),2)</f>
        <v>130.58000000000001</v>
      </c>
    </row>
    <row r="87" spans="1:26" ht="12.75" customHeight="1">
      <c r="A87" s="217">
        <v>80</v>
      </c>
      <c r="B87" s="218">
        <f ca="1">IFERROR(__xludf.DUMMYFUNCTION("ROUND((IF(SINGLE('Ground Base'!B$154)&gt;ROUND(((1-GroundResDiscount31Up-GroundResIncentive)*'Ground Base'!B82),2),ROUND((SINGLE('Ground Base'!B$154)+GroundResidentialFee)*(1+GroundFuelSurcharge),2),ROUND((((1-GroundResDiscount31Up-GroundResIncentive)*'Groun"&amp;"d Base'!B82)+GroundResidentialFee)*(1+GroundFuelSurcharge),2)))*(1+FedEx_Markup),2)"),31.6)</f>
        <v>31.6</v>
      </c>
      <c r="C87" s="218">
        <f ca="1">IFERROR(__xludf.DUMMYFUNCTION("ROUND((IF(SINGLE('Ground Base'!C$154)&gt;ROUND(((1-GroundResDiscount31Up-GroundResIncentive)*'Ground Base'!C82),2),ROUND((SINGLE('Ground Base'!C$154)+GroundResidentialFee)*(1+GroundFuelSurcharge),2),ROUND((((1-GroundResDiscount31Up-GroundResIncentive)*'Groun"&amp;"d Base'!C82)+GroundResidentialFee)*(1+GroundFuelSurcharge),2)))*(1+FedEx_Markup),2)"),36.05)</f>
        <v>36.049999999999997</v>
      </c>
      <c r="D87" s="218">
        <f ca="1">IFERROR(__xludf.DUMMYFUNCTION("ROUND((IF(SINGLE('Ground Base'!D$154)&gt;ROUND(((1-GroundResDiscount31Up-GroundResIncentive)*'Ground Base'!D82),2),ROUND((SINGLE('Ground Base'!D$154)+GroundResidentialFee)*(1+GroundFuelSurcharge),2),ROUND((((1-GroundResDiscount31Up-GroundResIncentive)*'Groun"&amp;"d Base'!D82)+GroundResidentialFee)*(1+GroundFuelSurcharge),2)))*(1+FedEx_Markup),2)"),39.27)</f>
        <v>39.270000000000003</v>
      </c>
      <c r="E87" s="218">
        <f ca="1">IFERROR(__xludf.DUMMYFUNCTION("ROUND((IF(SINGLE('Ground Base'!E$154)&gt;ROUND(((1-GroundResDiscount31Up-GroundResIncentive)*'Ground Base'!E82),2),ROUND((SINGLE('Ground Base'!E$154)+GroundResidentialFee)*(1+GroundFuelSurcharge),2),ROUND((((1-GroundResDiscount31Up-GroundResIncentive)*'Groun"&amp;"d Base'!E82)+GroundResidentialFee)*(1+GroundFuelSurcharge),2)))*(1+FedEx_Markup),2)"),46.83)</f>
        <v>46.83</v>
      </c>
      <c r="F87" s="218">
        <f ca="1">IFERROR(__xludf.DUMMYFUNCTION("ROUND((IF(SINGLE('Ground Base'!F$154)&gt;ROUND(((1-GroundResDiscount31Up-GroundResIncentive)*'Ground Base'!F82),2),ROUND((SINGLE('Ground Base'!F$154)+GroundResidentialFee)*(1+GroundFuelSurcharge),2),ROUND((((1-GroundResDiscount31Up-GroundResIncentive)*'Groun"&amp;"d Base'!F82)+GroundResidentialFee)*(1+GroundFuelSurcharge),2)))*(1+FedEx_Markup),2)"),56.03)</f>
        <v>56.03</v>
      </c>
      <c r="G87" s="218">
        <f ca="1">IFERROR(__xludf.DUMMYFUNCTION("ROUND((IF(SINGLE('Ground Base'!G$154)&gt;ROUND(((1-GroundResDiscount31Up-GroundResIncentive)*'Ground Base'!G82),2),ROUND((SINGLE('Ground Base'!G$154)+GroundResidentialFee)*(1+GroundFuelSurcharge),2),ROUND((((1-GroundResDiscount31Up-GroundResIncentive)*'Groun"&amp;"d Base'!G82)+GroundResidentialFee)*(1+GroundFuelSurcharge),2)))*(1+FedEx_Markup),2)"),65.32)</f>
        <v>65.319999999999993</v>
      </c>
      <c r="H87" s="218">
        <f ca="1">IFERROR(__xludf.DUMMYFUNCTION("ROUND((IF(SINGLE('Ground Base'!H$154)&gt;ROUND(((1-GroundResDiscount31Up-GroundResIncentive)*'Ground Base'!H82),2),ROUND((SINGLE('Ground Base'!H$154)+GroundResidentialFee)*(1+GroundFuelSurcharge),2),ROUND((((1-GroundResDiscount31Up-GroundResIncentive)*'Groun"&amp;"d Base'!H82)+GroundResidentialFee)*(1+GroundFuelSurcharge),2)))*(1+FedEx_Markup),2)"),69.45)</f>
        <v>69.45</v>
      </c>
      <c r="I87" s="218">
        <f>ROUND((IF('Ground Base'!I$154&gt;ROUND(((1-GroundAKHIDiscount)*'Ground Base'!I82),2),ROUND(('Ground Base'!I$154+GroundResidentialFee)*(1+GroundFuelSurcharge),2),ROUND((((1-GroundAKHIDiscount)*'Ground Base'!I82)+GroundResidentialFee)*(1+GroundFuelSurcharge),2)))*(1+FedEx_Markup),2)</f>
        <v>406.21</v>
      </c>
      <c r="J87" s="218">
        <f>ROUND((IF('Ground Base'!J$154&gt;ROUND(((1-GroundAKHIDiscount)*'Ground Base'!J82),2),ROUND(('Ground Base'!J$154+GroundResidentialFee)*(1+GroundFuelSurcharge),2),ROUND((((1-GroundAKHIDiscount)*'Ground Base'!J82)+GroundResidentialFee)*(1+GroundFuelSurcharge),2)))*(1+FedEx_Markup),2)</f>
        <v>406.21</v>
      </c>
      <c r="K87" s="218">
        <f>ROUND((IF('Ground Base'!K$154&gt;ROUND(((1-GroundZone51Discount)*'Ground Base'!K82),2),ROUND(('Ground Base'!K$154+GroundResidentialFee)*(1+GroundFuelSurcharge),2),ROUND((((1-GroundZone51Discount)*'Ground Base'!K82)+GroundResidentialFee)*(1+GroundFuelSurcharge),2)))*(1+FedEx_Markup),2)</f>
        <v>109.96</v>
      </c>
      <c r="L87" s="218">
        <f>ROUND((IF('Ground Base'!L$154&gt;ROUND(((1-GroundZone54Discount)*'Ground Base'!L82),2),ROUND(('Ground Base'!L$154+GroundResidentialFee)*(1+GroundFuelSurcharge),2),ROUND((((1-GroundZone54Discount)*'Ground Base'!L82)+GroundResidentialFee)*(1+GroundFuelSurcharge),2)))*(1+FedEx_Markup),2)</f>
        <v>130.59</v>
      </c>
    </row>
    <row r="88" spans="1:26" ht="12.75" customHeight="1">
      <c r="A88" s="217">
        <v>81</v>
      </c>
      <c r="B88" s="218">
        <f ca="1">IFERROR(__xludf.DUMMYFUNCTION("ROUND((IF(SINGLE('Ground Base'!B$154)&gt;ROUND(((1-GroundResDiscount31Up-GroundResIncentive)*'Ground Base'!B83),2),ROUND((SINGLE('Ground Base'!B$154)+GroundResidentialFee)*(1+GroundFuelSurcharge),2),ROUND((((1-GroundResDiscount31Up-GroundResIncentive)*'Groun"&amp;"d Base'!B83)+GroundResidentialFee)*(1+GroundFuelSurcharge),2)))*(1+FedEx_Markup),2)"),32.3)</f>
        <v>32.299999999999997</v>
      </c>
      <c r="C88" s="218">
        <f ca="1">IFERROR(__xludf.DUMMYFUNCTION("ROUND((IF(SINGLE('Ground Base'!C$154)&gt;ROUND(((1-GroundResDiscount31Up-GroundResIncentive)*'Ground Base'!C83),2),ROUND((SINGLE('Ground Base'!C$154)+GroundResidentialFee)*(1+GroundFuelSurcharge),2),ROUND((((1-GroundResDiscount31Up-GroundResIncentive)*'Groun"&amp;"d Base'!C83)+GroundResidentialFee)*(1+GroundFuelSurcharge),2)))*(1+FedEx_Markup),2)"),36.32)</f>
        <v>36.32</v>
      </c>
      <c r="D88" s="218">
        <f ca="1">IFERROR(__xludf.DUMMYFUNCTION("ROUND((IF(SINGLE('Ground Base'!D$154)&gt;ROUND(((1-GroundResDiscount31Up-GroundResIncentive)*'Ground Base'!D83),2),ROUND((SINGLE('Ground Base'!D$154)+GroundResidentialFee)*(1+GroundFuelSurcharge),2),ROUND((((1-GroundResDiscount31Up-GroundResIncentive)*'Groun"&amp;"d Base'!D83)+GroundResidentialFee)*(1+GroundFuelSurcharge),2)))*(1+FedEx_Markup),2)"),40.15)</f>
        <v>40.15</v>
      </c>
      <c r="E88" s="218">
        <f ca="1">IFERROR(__xludf.DUMMYFUNCTION("ROUND((IF(SINGLE('Ground Base'!E$154)&gt;ROUND(((1-GroundResDiscount31Up-GroundResIncentive)*'Ground Base'!E83),2),ROUND((SINGLE('Ground Base'!E$154)+GroundResidentialFee)*(1+GroundFuelSurcharge),2),ROUND((((1-GroundResDiscount31Up-GroundResIncentive)*'Groun"&amp;"d Base'!E83)+GroundResidentialFee)*(1+GroundFuelSurcharge),2)))*(1+FedEx_Markup),2)"),47.13)</f>
        <v>47.13</v>
      </c>
      <c r="F88" s="218">
        <f ca="1">IFERROR(__xludf.DUMMYFUNCTION("ROUND((IF(SINGLE('Ground Base'!F$154)&gt;ROUND(((1-GroundResDiscount31Up-GroundResIncentive)*'Ground Base'!F83),2),ROUND((SINGLE('Ground Base'!F$154)+GroundResidentialFee)*(1+GroundFuelSurcharge),2),ROUND((((1-GroundResDiscount31Up-GroundResIncentive)*'Groun"&amp;"d Base'!F83)+GroundResidentialFee)*(1+GroundFuelSurcharge),2)))*(1+FedEx_Markup),2)"),56.71)</f>
        <v>56.71</v>
      </c>
      <c r="G88" s="218">
        <f ca="1">IFERROR(__xludf.DUMMYFUNCTION("ROUND((IF(SINGLE('Ground Base'!G$154)&gt;ROUND(((1-GroundResDiscount31Up-GroundResIncentive)*'Ground Base'!G83),2),ROUND((SINGLE('Ground Base'!G$154)+GroundResidentialFee)*(1+GroundFuelSurcharge),2),ROUND((((1-GroundResDiscount31Up-GroundResIncentive)*'Groun"&amp;"d Base'!G83)+GroundResidentialFee)*(1+GroundFuelSurcharge),2)))*(1+FedEx_Markup),2)"),65.7)</f>
        <v>65.7</v>
      </c>
      <c r="H88" s="218">
        <f ca="1">IFERROR(__xludf.DUMMYFUNCTION("ROUND((IF(SINGLE('Ground Base'!H$154)&gt;ROUND(((1-GroundResDiscount31Up-GroundResIncentive)*'Ground Base'!H83),2),ROUND((SINGLE('Ground Base'!H$154)+GroundResidentialFee)*(1+GroundFuelSurcharge),2),ROUND((((1-GroundResDiscount31Up-GroundResIncentive)*'Groun"&amp;"d Base'!H83)+GroundResidentialFee)*(1+GroundFuelSurcharge),2)))*(1+FedEx_Markup),2)"),69.68)</f>
        <v>69.680000000000007</v>
      </c>
      <c r="I88" s="218">
        <f>ROUND((IF('Ground Base'!I$154&gt;ROUND(((1-GroundAKHIDiscount)*'Ground Base'!I83),2),ROUND(('Ground Base'!I$154+GroundResidentialFee)*(1+GroundFuelSurcharge),2),ROUND((((1-GroundAKHIDiscount)*'Ground Base'!I83)+GroundResidentialFee)*(1+GroundFuelSurcharge),2)))*(1+FedEx_Markup),2)</f>
        <v>409.57</v>
      </c>
      <c r="J88" s="218">
        <f>ROUND((IF('Ground Base'!J$154&gt;ROUND(((1-GroundAKHIDiscount)*'Ground Base'!J83),2),ROUND(('Ground Base'!J$154+GroundResidentialFee)*(1+GroundFuelSurcharge),2),ROUND((((1-GroundAKHIDiscount)*'Ground Base'!J83)+GroundResidentialFee)*(1+GroundFuelSurcharge),2)))*(1+FedEx_Markup),2)</f>
        <v>409.57</v>
      </c>
      <c r="K88" s="218">
        <f>ROUND((IF('Ground Base'!K$154&gt;ROUND(((1-GroundZone51Discount)*'Ground Base'!K83),2),ROUND(('Ground Base'!K$154+GroundResidentialFee)*(1+GroundFuelSurcharge),2),ROUND((((1-GroundZone51Discount)*'Ground Base'!K83)+GroundResidentialFee)*(1+GroundFuelSurcharge),2)))*(1+FedEx_Markup),2)</f>
        <v>110.47</v>
      </c>
      <c r="L88" s="218">
        <f>ROUND((IF('Ground Base'!L$154&gt;ROUND(((1-GroundZone54Discount)*'Ground Base'!L83),2),ROUND(('Ground Base'!L$154+GroundResidentialFee)*(1+GroundFuelSurcharge),2),ROUND((((1-GroundZone54Discount)*'Ground Base'!L83)+GroundResidentialFee)*(1+GroundFuelSurcharge),2)))*(1+FedEx_Markup),2)</f>
        <v>132.94999999999999</v>
      </c>
    </row>
    <row r="89" spans="1:26" ht="12.75" customHeight="1">
      <c r="A89" s="217">
        <v>82</v>
      </c>
      <c r="B89" s="218">
        <f ca="1">IFERROR(__xludf.DUMMYFUNCTION("ROUND((IF(SINGLE('Ground Base'!B$154)&gt;ROUND(((1-GroundResDiscount31Up-GroundResIncentive)*'Ground Base'!B84),2),ROUND((SINGLE('Ground Base'!B$154)+GroundResidentialFee)*(1+GroundFuelSurcharge),2),ROUND((((1-GroundResDiscount31Up-GroundResIncentive)*'Groun"&amp;"d Base'!B84)+GroundResidentialFee)*(1+GroundFuelSurcharge),2)))*(1+FedEx_Markup),2)"),33.24)</f>
        <v>33.24</v>
      </c>
      <c r="C89" s="218">
        <f ca="1">IFERROR(__xludf.DUMMYFUNCTION("ROUND((IF(SINGLE('Ground Base'!C$154)&gt;ROUND(((1-GroundResDiscount31Up-GroundResIncentive)*'Ground Base'!C84),2),ROUND((SINGLE('Ground Base'!C$154)+GroundResidentialFee)*(1+GroundFuelSurcharge),2),ROUND((((1-GroundResDiscount31Up-GroundResIncentive)*'Groun"&amp;"d Base'!C84)+GroundResidentialFee)*(1+GroundFuelSurcharge),2)))*(1+FedEx_Markup),2)"),37.12)</f>
        <v>37.119999999999997</v>
      </c>
      <c r="D89" s="218">
        <f ca="1">IFERROR(__xludf.DUMMYFUNCTION("ROUND((IF(SINGLE('Ground Base'!D$154)&gt;ROUND(((1-GroundResDiscount31Up-GroundResIncentive)*'Ground Base'!D84),2),ROUND((SINGLE('Ground Base'!D$154)+GroundResidentialFee)*(1+GroundFuelSurcharge),2),ROUND((((1-GroundResDiscount31Up-GroundResIncentive)*'Groun"&amp;"d Base'!D84)+GroundResidentialFee)*(1+GroundFuelSurcharge),2)))*(1+FedEx_Markup),2)"),41.81)</f>
        <v>41.81</v>
      </c>
      <c r="E89" s="218">
        <f ca="1">IFERROR(__xludf.DUMMYFUNCTION("ROUND((IF(SINGLE('Ground Base'!E$154)&gt;ROUND(((1-GroundResDiscount31Up-GroundResIncentive)*'Ground Base'!E84),2),ROUND((SINGLE('Ground Base'!E$154)+GroundResidentialFee)*(1+GroundFuelSurcharge),2),ROUND((((1-GroundResDiscount31Up-GroundResIncentive)*'Groun"&amp;"d Base'!E84)+GroundResidentialFee)*(1+GroundFuelSurcharge),2)))*(1+FedEx_Markup),2)"),48.24)</f>
        <v>48.24</v>
      </c>
      <c r="F89" s="218">
        <f ca="1">IFERROR(__xludf.DUMMYFUNCTION("ROUND((IF(SINGLE('Ground Base'!F$154)&gt;ROUND(((1-GroundResDiscount31Up-GroundResIncentive)*'Ground Base'!F84),2),ROUND((SINGLE('Ground Base'!F$154)+GroundResidentialFee)*(1+GroundFuelSurcharge),2),ROUND((((1-GroundResDiscount31Up-GroundResIncentive)*'Groun"&amp;"d Base'!F84)+GroundResidentialFee)*(1+GroundFuelSurcharge),2)))*(1+FedEx_Markup),2)"),56.86)</f>
        <v>56.86</v>
      </c>
      <c r="G89" s="218">
        <f ca="1">IFERROR(__xludf.DUMMYFUNCTION("ROUND((IF(SINGLE('Ground Base'!G$154)&gt;ROUND(((1-GroundResDiscount31Up-GroundResIncentive)*'Ground Base'!G84),2),ROUND((SINGLE('Ground Base'!G$154)+GroundResidentialFee)*(1+GroundFuelSurcharge),2),ROUND((((1-GroundResDiscount31Up-GroundResIncentive)*'Groun"&amp;"d Base'!G84)+GroundResidentialFee)*(1+GroundFuelSurcharge),2)))*(1+FedEx_Markup),2)"),67.31)</f>
        <v>67.31</v>
      </c>
      <c r="H89" s="218">
        <f ca="1">IFERROR(__xludf.DUMMYFUNCTION("ROUND((IF(SINGLE('Ground Base'!H$154)&gt;ROUND(((1-GroundResDiscount31Up-GroundResIncentive)*'Ground Base'!H84),2),ROUND((SINGLE('Ground Base'!H$154)+GroundResidentialFee)*(1+GroundFuelSurcharge),2),ROUND((((1-GroundResDiscount31Up-GroundResIncentive)*'Groun"&amp;"d Base'!H84)+GroundResidentialFee)*(1+GroundFuelSurcharge),2)))*(1+FedEx_Markup),2)"),69.68)</f>
        <v>69.680000000000007</v>
      </c>
      <c r="I89" s="218">
        <f>ROUND((IF('Ground Base'!I$154&gt;ROUND(((1-GroundAKHIDiscount)*'Ground Base'!I84),2),ROUND(('Ground Base'!I$154+GroundResidentialFee)*(1+GroundFuelSurcharge),2),ROUND((((1-GroundAKHIDiscount)*'Ground Base'!I84)+GroundResidentialFee)*(1+GroundFuelSurcharge),2)))*(1+FedEx_Markup),2)</f>
        <v>411.61</v>
      </c>
      <c r="J89" s="218">
        <f>ROUND((IF('Ground Base'!J$154&gt;ROUND(((1-GroundAKHIDiscount)*'Ground Base'!J84),2),ROUND(('Ground Base'!J$154+GroundResidentialFee)*(1+GroundFuelSurcharge),2),ROUND((((1-GroundAKHIDiscount)*'Ground Base'!J84)+GroundResidentialFee)*(1+GroundFuelSurcharge),2)))*(1+FedEx_Markup),2)</f>
        <v>411.61</v>
      </c>
      <c r="K89" s="218">
        <f>ROUND((IF('Ground Base'!K$154&gt;ROUND(((1-GroundZone51Discount)*'Ground Base'!K84),2),ROUND(('Ground Base'!K$154+GroundResidentialFee)*(1+GroundFuelSurcharge),2),ROUND((((1-GroundZone51Discount)*'Ground Base'!K84)+GroundResidentialFee)*(1+GroundFuelSurcharge),2)))*(1+FedEx_Markup),2)</f>
        <v>110.48</v>
      </c>
      <c r="L89" s="218">
        <f>ROUND((IF('Ground Base'!L$154&gt;ROUND(((1-GroundZone54Discount)*'Ground Base'!L84),2),ROUND(('Ground Base'!L$154+GroundResidentialFee)*(1+GroundFuelSurcharge),2),ROUND((((1-GroundZone54Discount)*'Ground Base'!L84)+GroundResidentialFee)*(1+GroundFuelSurcharge),2)))*(1+FedEx_Markup),2)</f>
        <v>132.94999999999999</v>
      </c>
    </row>
    <row r="90" spans="1:26" ht="12.75" customHeight="1">
      <c r="A90" s="217">
        <v>83</v>
      </c>
      <c r="B90" s="218">
        <f ca="1">IFERROR(__xludf.DUMMYFUNCTION("ROUND((IF(SINGLE('Ground Base'!B$154)&gt;ROUND(((1-GroundResDiscount31Up-GroundResIncentive)*'Ground Base'!B85),2),ROUND((SINGLE('Ground Base'!B$154)+GroundResidentialFee)*(1+GroundFuelSurcharge),2),ROUND((((1-GroundResDiscount31Up-GroundResIncentive)*'Groun"&amp;"d Base'!B85)+GroundResidentialFee)*(1+GroundFuelSurcharge),2)))*(1+FedEx_Markup),2)"),33.25)</f>
        <v>33.25</v>
      </c>
      <c r="C90" s="218">
        <f ca="1">IFERROR(__xludf.DUMMYFUNCTION("ROUND((IF(SINGLE('Ground Base'!C$154)&gt;ROUND(((1-GroundResDiscount31Up-GroundResIncentive)*'Ground Base'!C85),2),ROUND((SINGLE('Ground Base'!C$154)+GroundResidentialFee)*(1+GroundFuelSurcharge),2),ROUND((((1-GroundResDiscount31Up-GroundResIncentive)*'Groun"&amp;"d Base'!C85)+GroundResidentialFee)*(1+GroundFuelSurcharge),2)))*(1+FedEx_Markup),2)"),37.12)</f>
        <v>37.119999999999997</v>
      </c>
      <c r="D90" s="218">
        <f ca="1">IFERROR(__xludf.DUMMYFUNCTION("ROUND((IF(SINGLE('Ground Base'!D$154)&gt;ROUND(((1-GroundResDiscount31Up-GroundResIncentive)*'Ground Base'!D85),2),ROUND((SINGLE('Ground Base'!D$154)+GroundResidentialFee)*(1+GroundFuelSurcharge),2),ROUND((((1-GroundResDiscount31Up-GroundResIncentive)*'Groun"&amp;"d Base'!D85)+GroundResidentialFee)*(1+GroundFuelSurcharge),2)))*(1+FedEx_Markup),2)"),41.83)</f>
        <v>41.83</v>
      </c>
      <c r="E90" s="218">
        <f ca="1">IFERROR(__xludf.DUMMYFUNCTION("ROUND((IF(SINGLE('Ground Base'!E$154)&gt;ROUND(((1-GroundResDiscount31Up-GroundResIncentive)*'Ground Base'!E85),2),ROUND((SINGLE('Ground Base'!E$154)+GroundResidentialFee)*(1+GroundFuelSurcharge),2),ROUND((((1-GroundResDiscount31Up-GroundResIncentive)*'Groun"&amp;"d Base'!E85)+GroundResidentialFee)*(1+GroundFuelSurcharge),2)))*(1+FedEx_Markup),2)"),48.24)</f>
        <v>48.24</v>
      </c>
      <c r="F90" s="218">
        <f ca="1">IFERROR(__xludf.DUMMYFUNCTION("ROUND((IF(SINGLE('Ground Base'!F$154)&gt;ROUND(((1-GroundResDiscount31Up-GroundResIncentive)*'Ground Base'!F85),2),ROUND((SINGLE('Ground Base'!F$154)+GroundResidentialFee)*(1+GroundFuelSurcharge),2),ROUND((((1-GroundResDiscount31Up-GroundResIncentive)*'Groun"&amp;"d Base'!F85)+GroundResidentialFee)*(1+GroundFuelSurcharge),2)))*(1+FedEx_Markup),2)"),57.02)</f>
        <v>57.02</v>
      </c>
      <c r="G90" s="218">
        <f ca="1">IFERROR(__xludf.DUMMYFUNCTION("ROUND((IF(SINGLE('Ground Base'!G$154)&gt;ROUND(((1-GroundResDiscount31Up-GroundResIncentive)*'Ground Base'!G85),2),ROUND((SINGLE('Ground Base'!G$154)+GroundResidentialFee)*(1+GroundFuelSurcharge),2),ROUND((((1-GroundResDiscount31Up-GroundResIncentive)*'Groun"&amp;"d Base'!G85)+GroundResidentialFee)*(1+GroundFuelSurcharge),2)))*(1+FedEx_Markup),2)"),67.32)</f>
        <v>67.319999999999993</v>
      </c>
      <c r="H90" s="218">
        <f ca="1">IFERROR(__xludf.DUMMYFUNCTION("ROUND((IF(SINGLE('Ground Base'!H$154)&gt;ROUND(((1-GroundResDiscount31Up-GroundResIncentive)*'Ground Base'!H85),2),ROUND((SINGLE('Ground Base'!H$154)+GroundResidentialFee)*(1+GroundFuelSurcharge),2),ROUND((((1-GroundResDiscount31Up-GroundResIncentive)*'Groun"&amp;"d Base'!H85)+GroundResidentialFee)*(1+GroundFuelSurcharge),2)))*(1+FedEx_Markup),2)"),69.69)</f>
        <v>69.69</v>
      </c>
      <c r="I90" s="218">
        <f>ROUND((IF('Ground Base'!I$154&gt;ROUND(((1-GroundAKHIDiscount)*'Ground Base'!I85),2),ROUND(('Ground Base'!I$154+GroundResidentialFee)*(1+GroundFuelSurcharge),2),ROUND((((1-GroundAKHIDiscount)*'Ground Base'!I85)+GroundResidentialFee)*(1+GroundFuelSurcharge),2)))*(1+FedEx_Markup),2)</f>
        <v>416.06</v>
      </c>
      <c r="J90" s="218">
        <f>ROUND((IF('Ground Base'!J$154&gt;ROUND(((1-GroundAKHIDiscount)*'Ground Base'!J85),2),ROUND(('Ground Base'!J$154+GroundResidentialFee)*(1+GroundFuelSurcharge),2),ROUND((((1-GroundAKHIDiscount)*'Ground Base'!J85)+GroundResidentialFee)*(1+GroundFuelSurcharge),2)))*(1+FedEx_Markup),2)</f>
        <v>416.06</v>
      </c>
      <c r="K90" s="218">
        <f>ROUND((IF('Ground Base'!K$154&gt;ROUND(((1-GroundZone51Discount)*'Ground Base'!K85),2),ROUND(('Ground Base'!K$154+GroundResidentialFee)*(1+GroundFuelSurcharge),2),ROUND((((1-GroundZone51Discount)*'Ground Base'!K85)+GroundResidentialFee)*(1+GroundFuelSurcharge),2)))*(1+FedEx_Markup),2)</f>
        <v>111.41</v>
      </c>
      <c r="L90" s="218">
        <f>ROUND((IF('Ground Base'!L$154&gt;ROUND(((1-GroundZone54Discount)*'Ground Base'!L85),2),ROUND(('Ground Base'!L$154+GroundResidentialFee)*(1+GroundFuelSurcharge),2),ROUND((((1-GroundZone54Discount)*'Ground Base'!L85)+GroundResidentialFee)*(1+GroundFuelSurcharge),2)))*(1+FedEx_Markup),2)</f>
        <v>135.25</v>
      </c>
    </row>
    <row r="91" spans="1:26" ht="12.75" customHeight="1">
      <c r="A91" s="217">
        <v>84</v>
      </c>
      <c r="B91" s="218">
        <f ca="1">IFERROR(__xludf.DUMMYFUNCTION("ROUND((IF(SINGLE('Ground Base'!B$154)&gt;ROUND(((1-GroundResDiscount31Up-GroundResIncentive)*'Ground Base'!B86),2),ROUND((SINGLE('Ground Base'!B$154)+GroundResidentialFee)*(1+GroundFuelSurcharge),2),ROUND((((1-GroundResDiscount31Up-GroundResIncentive)*'Groun"&amp;"d Base'!B86)+GroundResidentialFee)*(1+GroundFuelSurcharge),2)))*(1+FedEx_Markup),2)"),34.44)</f>
        <v>34.44</v>
      </c>
      <c r="C91" s="218">
        <f ca="1">IFERROR(__xludf.DUMMYFUNCTION("ROUND((IF(SINGLE('Ground Base'!C$154)&gt;ROUND(((1-GroundResDiscount31Up-GroundResIncentive)*'Ground Base'!C86),2),ROUND((SINGLE('Ground Base'!C$154)+GroundResidentialFee)*(1+GroundFuelSurcharge),2),ROUND((((1-GroundResDiscount31Up-GroundResIncentive)*'Groun"&amp;"d Base'!C86)+GroundResidentialFee)*(1+GroundFuelSurcharge),2)))*(1+FedEx_Markup),2)"),38.47)</f>
        <v>38.47</v>
      </c>
      <c r="D91" s="218">
        <f ca="1">IFERROR(__xludf.DUMMYFUNCTION("ROUND((IF(SINGLE('Ground Base'!D$154)&gt;ROUND(((1-GroundResDiscount31Up-GroundResIncentive)*'Ground Base'!D86),2),ROUND((SINGLE('Ground Base'!D$154)+GroundResidentialFee)*(1+GroundFuelSurcharge),2),ROUND((((1-GroundResDiscount31Up-GroundResIncentive)*'Groun"&amp;"d Base'!D86)+GroundResidentialFee)*(1+GroundFuelSurcharge),2)))*(1+FedEx_Markup),2)"),42.94)</f>
        <v>42.94</v>
      </c>
      <c r="E91" s="218">
        <f ca="1">IFERROR(__xludf.DUMMYFUNCTION("ROUND((IF(SINGLE('Ground Base'!E$154)&gt;ROUND(((1-GroundResDiscount31Up-GroundResIncentive)*'Ground Base'!E86),2),ROUND((SINGLE('Ground Base'!E$154)+GroundResidentialFee)*(1+GroundFuelSurcharge),2),ROUND((((1-GroundResDiscount31Up-GroundResIncentive)*'Groun"&amp;"d Base'!E86)+GroundResidentialFee)*(1+GroundFuelSurcharge),2)))*(1+FedEx_Markup),2)"),48.68)</f>
        <v>48.68</v>
      </c>
      <c r="F91" s="218">
        <f ca="1">IFERROR(__xludf.DUMMYFUNCTION("ROUND((IF(SINGLE('Ground Base'!F$154)&gt;ROUND(((1-GroundResDiscount31Up-GroundResIncentive)*'Ground Base'!F86),2),ROUND((SINGLE('Ground Base'!F$154)+GroundResidentialFee)*(1+GroundFuelSurcharge),2),ROUND((((1-GroundResDiscount31Up-GroundResIncentive)*'Groun"&amp;"d Base'!F86)+GroundResidentialFee)*(1+GroundFuelSurcharge),2)))*(1+FedEx_Markup),2)"),58.34)</f>
        <v>58.34</v>
      </c>
      <c r="G91" s="218">
        <f ca="1">IFERROR(__xludf.DUMMYFUNCTION("ROUND((IF(SINGLE('Ground Base'!G$154)&gt;ROUND(((1-GroundResDiscount31Up-GroundResIncentive)*'Ground Base'!G86),2),ROUND((SINGLE('Ground Base'!G$154)+GroundResidentialFee)*(1+GroundFuelSurcharge),2),ROUND((((1-GroundResDiscount31Up-GroundResIncentive)*'Groun"&amp;"d Base'!G86)+GroundResidentialFee)*(1+GroundFuelSurcharge),2)))*(1+FedEx_Markup),2)"),68.08)</f>
        <v>68.08</v>
      </c>
      <c r="H91" s="218">
        <f ca="1">IFERROR(__xludf.DUMMYFUNCTION("ROUND((IF(SINGLE('Ground Base'!H$154)&gt;ROUND(((1-GroundResDiscount31Up-GroundResIncentive)*'Ground Base'!H86),2),ROUND((SINGLE('Ground Base'!H$154)+GroundResidentialFee)*(1+GroundFuelSurcharge),2),ROUND((((1-GroundResDiscount31Up-GroundResIncentive)*'Groun"&amp;"d Base'!H86)+GroundResidentialFee)*(1+GroundFuelSurcharge),2)))*(1+FedEx_Markup),2)"),70.2)</f>
        <v>70.2</v>
      </c>
      <c r="I91" s="218">
        <f>ROUND((IF('Ground Base'!I$154&gt;ROUND(((1-GroundAKHIDiscount)*'Ground Base'!I86),2),ROUND(('Ground Base'!I$154+GroundResidentialFee)*(1+GroundFuelSurcharge),2),ROUND((((1-GroundAKHIDiscount)*'Ground Base'!I86)+GroundResidentialFee)*(1+GroundFuelSurcharge),2)))*(1+FedEx_Markup),2)</f>
        <v>420.82</v>
      </c>
      <c r="J91" s="218">
        <f>ROUND((IF('Ground Base'!J$154&gt;ROUND(((1-GroundAKHIDiscount)*'Ground Base'!J86),2),ROUND(('Ground Base'!J$154+GroundResidentialFee)*(1+GroundFuelSurcharge),2),ROUND((((1-GroundAKHIDiscount)*'Ground Base'!J86)+GroundResidentialFee)*(1+GroundFuelSurcharge),2)))*(1+FedEx_Markup),2)</f>
        <v>420.82</v>
      </c>
      <c r="K91" s="218">
        <f>ROUND((IF('Ground Base'!K$154&gt;ROUND(((1-GroundZone51Discount)*'Ground Base'!K86),2),ROUND(('Ground Base'!K$154+GroundResidentialFee)*(1+GroundFuelSurcharge),2),ROUND((((1-GroundZone51Discount)*'Ground Base'!K86)+GroundResidentialFee)*(1+GroundFuelSurcharge),2)))*(1+FedEx_Markup),2)</f>
        <v>111.45</v>
      </c>
      <c r="L91" s="218">
        <f>ROUND((IF('Ground Base'!L$154&gt;ROUND(((1-GroundZone54Discount)*'Ground Base'!L86),2),ROUND(('Ground Base'!L$154+GroundResidentialFee)*(1+GroundFuelSurcharge),2),ROUND((((1-GroundZone54Discount)*'Ground Base'!L86)+GroundResidentialFee)*(1+GroundFuelSurcharge),2)))*(1+FedEx_Markup),2)</f>
        <v>135.26</v>
      </c>
    </row>
    <row r="92" spans="1:26" ht="12.75" customHeight="1">
      <c r="A92" s="217">
        <v>85</v>
      </c>
      <c r="B92" s="218">
        <f ca="1">IFERROR(__xludf.DUMMYFUNCTION("ROUND((IF(SINGLE('Ground Base'!B$154)&gt;ROUND(((1-GroundResDiscount31Up-GroundResIncentive)*'Ground Base'!B87),2),ROUND((SINGLE('Ground Base'!B$154)+GroundResidentialFee)*(1+GroundFuelSurcharge),2),ROUND((((1-GroundResDiscount31Up-GroundResIncentive)*'Groun"&amp;"d Base'!B87)+GroundResidentialFee)*(1+GroundFuelSurcharge),2)))*(1+FedEx_Markup),2)"),35.27)</f>
        <v>35.270000000000003</v>
      </c>
      <c r="C92" s="218">
        <f ca="1">IFERROR(__xludf.DUMMYFUNCTION("ROUND((IF(SINGLE('Ground Base'!C$154)&gt;ROUND(((1-GroundResDiscount31Up-GroundResIncentive)*'Ground Base'!C87),2),ROUND((SINGLE('Ground Base'!C$154)+GroundResidentialFee)*(1+GroundFuelSurcharge),2),ROUND((((1-GroundResDiscount31Up-GroundResIncentive)*'Groun"&amp;"d Base'!C87)+GroundResidentialFee)*(1+GroundFuelSurcharge),2)))*(1+FedEx_Markup),2)"),38.48)</f>
        <v>38.479999999999997</v>
      </c>
      <c r="D92" s="218">
        <f ca="1">IFERROR(__xludf.DUMMYFUNCTION("ROUND((IF(SINGLE('Ground Base'!D$154)&gt;ROUND(((1-GroundResDiscount31Up-GroundResIncentive)*'Ground Base'!D87),2),ROUND((SINGLE('Ground Base'!D$154)+GroundResidentialFee)*(1+GroundFuelSurcharge),2),ROUND((((1-GroundResDiscount31Up-GroundResIncentive)*'Groun"&amp;"d Base'!D87)+GroundResidentialFee)*(1+GroundFuelSurcharge),2)))*(1+FedEx_Markup),2)"),42.96)</f>
        <v>42.96</v>
      </c>
      <c r="E92" s="218">
        <f ca="1">IFERROR(__xludf.DUMMYFUNCTION("ROUND((IF(SINGLE('Ground Base'!E$154)&gt;ROUND(((1-GroundResDiscount31Up-GroundResIncentive)*'Ground Base'!E87),2),ROUND((SINGLE('Ground Base'!E$154)+GroundResidentialFee)*(1+GroundFuelSurcharge),2),ROUND((((1-GroundResDiscount31Up-GroundResIncentive)*'Groun"&amp;"d Base'!E87)+GroundResidentialFee)*(1+GroundFuelSurcharge),2)))*(1+FedEx_Markup),2)"),49.42)</f>
        <v>49.42</v>
      </c>
      <c r="F92" s="218">
        <f ca="1">IFERROR(__xludf.DUMMYFUNCTION("ROUND((IF(SINGLE('Ground Base'!F$154)&gt;ROUND(((1-GroundResDiscount31Up-GroundResIncentive)*'Ground Base'!F87),2),ROUND((SINGLE('Ground Base'!F$154)+GroundResidentialFee)*(1+GroundFuelSurcharge),2),ROUND((((1-GroundResDiscount31Up-GroundResIncentive)*'Groun"&amp;"d Base'!F87)+GroundResidentialFee)*(1+GroundFuelSurcharge),2)))*(1+FedEx_Markup),2)"),58.66)</f>
        <v>58.66</v>
      </c>
      <c r="G92" s="218">
        <f ca="1">IFERROR(__xludf.DUMMYFUNCTION("ROUND((IF(SINGLE('Ground Base'!G$154)&gt;ROUND(((1-GroundResDiscount31Up-GroundResIncentive)*'Ground Base'!G87),2),ROUND((SINGLE('Ground Base'!G$154)+GroundResidentialFee)*(1+GroundFuelSurcharge),2),ROUND((((1-GroundResDiscount31Up-GroundResIncentive)*'Groun"&amp;"d Base'!G87)+GroundResidentialFee)*(1+GroundFuelSurcharge),2)))*(1+FedEx_Markup),2)"),68.78)</f>
        <v>68.78</v>
      </c>
      <c r="H92" s="218">
        <f ca="1">IFERROR(__xludf.DUMMYFUNCTION("ROUND((IF(SINGLE('Ground Base'!H$154)&gt;ROUND(((1-GroundResDiscount31Up-GroundResIncentive)*'Ground Base'!H87),2),ROUND((SINGLE('Ground Base'!H$154)+GroundResidentialFee)*(1+GroundFuelSurcharge),2),ROUND((((1-GroundResDiscount31Up-GroundResIncentive)*'Groun"&amp;"d Base'!H87)+GroundResidentialFee)*(1+GroundFuelSurcharge),2)))*(1+FedEx_Markup),2)"),70.92)</f>
        <v>70.92</v>
      </c>
      <c r="I92" s="218">
        <f>ROUND((IF('Ground Base'!I$154&gt;ROUND(((1-GroundAKHIDiscount)*'Ground Base'!I87),2),ROUND(('Ground Base'!I$154+GroundResidentialFee)*(1+GroundFuelSurcharge),2),ROUND((((1-GroundAKHIDiscount)*'Ground Base'!I87)+GroundResidentialFee)*(1+GroundFuelSurcharge),2)))*(1+FedEx_Markup),2)</f>
        <v>425.68</v>
      </c>
      <c r="J92" s="218">
        <f>ROUND((IF('Ground Base'!J$154&gt;ROUND(((1-GroundAKHIDiscount)*'Ground Base'!J87),2),ROUND(('Ground Base'!J$154+GroundResidentialFee)*(1+GroundFuelSurcharge),2),ROUND((((1-GroundAKHIDiscount)*'Ground Base'!J87)+GroundResidentialFee)*(1+GroundFuelSurcharge),2)))*(1+FedEx_Markup),2)</f>
        <v>425.68</v>
      </c>
      <c r="K92" s="218">
        <f>ROUND((IF('Ground Base'!K$154&gt;ROUND(((1-GroundZone51Discount)*'Ground Base'!K87),2),ROUND(('Ground Base'!K$154+GroundResidentialFee)*(1+GroundFuelSurcharge),2),ROUND((((1-GroundZone51Discount)*'Ground Base'!K87)+GroundResidentialFee)*(1+GroundFuelSurcharge),2)))*(1+FedEx_Markup),2)</f>
        <v>111.8</v>
      </c>
      <c r="L92" s="218">
        <f>ROUND((IF('Ground Base'!L$154&gt;ROUND(((1-GroundZone54Discount)*'Ground Base'!L87),2),ROUND(('Ground Base'!L$154+GroundResidentialFee)*(1+GroundFuelSurcharge),2),ROUND((((1-GroundZone54Discount)*'Ground Base'!L87)+GroundResidentialFee)*(1+GroundFuelSurcharge),2)))*(1+FedEx_Markup),2)</f>
        <v>138.22</v>
      </c>
    </row>
    <row r="93" spans="1:26" ht="12.75" customHeight="1">
      <c r="A93" s="217">
        <v>86</v>
      </c>
      <c r="B93" s="218">
        <f ca="1">IFERROR(__xludf.DUMMYFUNCTION("ROUND((IF(SINGLE('Ground Base'!B$154)&gt;ROUND(((1-GroundResDiscount31Up-GroundResIncentive)*'Ground Base'!B88),2),ROUND((SINGLE('Ground Base'!B$154)+GroundResidentialFee)*(1+GroundFuelSurcharge),2),ROUND((((1-GroundResDiscount31Up-GroundResIncentive)*'Groun"&amp;"d Base'!B88)+GroundResidentialFee)*(1+GroundFuelSurcharge),2)))*(1+FedEx_Markup),2)"),36.43)</f>
        <v>36.43</v>
      </c>
      <c r="C93" s="218">
        <f ca="1">IFERROR(__xludf.DUMMYFUNCTION("ROUND((IF(SINGLE('Ground Base'!C$154)&gt;ROUND(((1-GroundResDiscount31Up-GroundResIncentive)*'Ground Base'!C88),2),ROUND((SINGLE('Ground Base'!C$154)+GroundResidentialFee)*(1+GroundFuelSurcharge),2),ROUND((((1-GroundResDiscount31Up-GroundResIncentive)*'Groun"&amp;"d Base'!C88)+GroundResidentialFee)*(1+GroundFuelSurcharge),2)))*(1+FedEx_Markup),2)"),40.42)</f>
        <v>40.42</v>
      </c>
      <c r="D93" s="218">
        <f ca="1">IFERROR(__xludf.DUMMYFUNCTION("ROUND((IF(SINGLE('Ground Base'!D$154)&gt;ROUND(((1-GroundResDiscount31Up-GroundResIncentive)*'Ground Base'!D88),2),ROUND((SINGLE('Ground Base'!D$154)+GroundResidentialFee)*(1+GroundFuelSurcharge),2),ROUND((((1-GroundResDiscount31Up-GroundResIncentive)*'Groun"&amp;"d Base'!D88)+GroundResidentialFee)*(1+GroundFuelSurcharge),2)))*(1+FedEx_Markup),2)"),44.53)</f>
        <v>44.53</v>
      </c>
      <c r="E93" s="218">
        <f ca="1">IFERROR(__xludf.DUMMYFUNCTION("ROUND((IF(SINGLE('Ground Base'!E$154)&gt;ROUND(((1-GroundResDiscount31Up-GroundResIncentive)*'Ground Base'!E88),2),ROUND((SINGLE('Ground Base'!E$154)+GroundResidentialFee)*(1+GroundFuelSurcharge),2),ROUND((((1-GroundResDiscount31Up-GroundResIncentive)*'Groun"&amp;"d Base'!E88)+GroundResidentialFee)*(1+GroundFuelSurcharge),2)))*(1+FedEx_Markup),2)"),50.28)</f>
        <v>50.28</v>
      </c>
      <c r="F93" s="218">
        <f ca="1">IFERROR(__xludf.DUMMYFUNCTION("ROUND((IF(SINGLE('Ground Base'!F$154)&gt;ROUND(((1-GroundResDiscount31Up-GroundResIncentive)*'Ground Base'!F88),2),ROUND((SINGLE('Ground Base'!F$154)+GroundResidentialFee)*(1+GroundFuelSurcharge),2),ROUND((((1-GroundResDiscount31Up-GroundResIncentive)*'Groun"&amp;"d Base'!F88)+GroundResidentialFee)*(1+GroundFuelSurcharge),2)))*(1+FedEx_Markup),2)"),59.86)</f>
        <v>59.86</v>
      </c>
      <c r="G93" s="218">
        <f ca="1">IFERROR(__xludf.DUMMYFUNCTION("ROUND((IF(SINGLE('Ground Base'!G$154)&gt;ROUND(((1-GroundResDiscount31Up-GroundResIncentive)*'Ground Base'!G88),2),ROUND((SINGLE('Ground Base'!G$154)+GroundResidentialFee)*(1+GroundFuelSurcharge),2),ROUND((((1-GroundResDiscount31Up-GroundResIncentive)*'Groun"&amp;"d Base'!G88)+GroundResidentialFee)*(1+GroundFuelSurcharge),2)))*(1+FedEx_Markup),2)"),70.62)</f>
        <v>70.62</v>
      </c>
      <c r="H93" s="218">
        <f ca="1">IFERROR(__xludf.DUMMYFUNCTION("ROUND((IF(SINGLE('Ground Base'!H$154)&gt;ROUND(((1-GroundResDiscount31Up-GroundResIncentive)*'Ground Base'!H88),2),ROUND((SINGLE('Ground Base'!H$154)+GroundResidentialFee)*(1+GroundFuelSurcharge),2),ROUND((((1-GroundResDiscount31Up-GroundResIncentive)*'Groun"&amp;"d Base'!H88)+GroundResidentialFee)*(1+GroundFuelSurcharge),2)))*(1+FedEx_Markup),2)"),72.99)</f>
        <v>72.989999999999995</v>
      </c>
      <c r="I93" s="218">
        <f>ROUND((IF('Ground Base'!I$154&gt;ROUND(((1-GroundAKHIDiscount)*'Ground Base'!I88),2),ROUND(('Ground Base'!I$154+GroundResidentialFee)*(1+GroundFuelSurcharge),2),ROUND((((1-GroundAKHIDiscount)*'Ground Base'!I88)+GroundResidentialFee)*(1+GroundFuelSurcharge),2)))*(1+FedEx_Markup),2)</f>
        <v>430.11</v>
      </c>
      <c r="J93" s="218">
        <f>ROUND((IF('Ground Base'!J$154&gt;ROUND(((1-GroundAKHIDiscount)*'Ground Base'!J88),2),ROUND(('Ground Base'!J$154+GroundResidentialFee)*(1+GroundFuelSurcharge),2),ROUND((((1-GroundAKHIDiscount)*'Ground Base'!J88)+GroundResidentialFee)*(1+GroundFuelSurcharge),2)))*(1+FedEx_Markup),2)</f>
        <v>430.11</v>
      </c>
      <c r="K93" s="218">
        <f>ROUND((IF('Ground Base'!K$154&gt;ROUND(((1-GroundZone51Discount)*'Ground Base'!K88),2),ROUND(('Ground Base'!K$154+GroundResidentialFee)*(1+GroundFuelSurcharge),2),ROUND((((1-GroundZone51Discount)*'Ground Base'!K88)+GroundResidentialFee)*(1+GroundFuelSurcharge),2)))*(1+FedEx_Markup),2)</f>
        <v>111.81</v>
      </c>
      <c r="L93" s="218">
        <f>ROUND((IF('Ground Base'!L$154&gt;ROUND(((1-GroundZone54Discount)*'Ground Base'!L88),2),ROUND(('Ground Base'!L$154+GroundResidentialFee)*(1+GroundFuelSurcharge),2),ROUND((((1-GroundZone54Discount)*'Ground Base'!L88)+GroundResidentialFee)*(1+GroundFuelSurcharge),2)))*(1+FedEx_Markup),2)</f>
        <v>138.22</v>
      </c>
    </row>
    <row r="94" spans="1:26" ht="12.75" customHeight="1">
      <c r="A94" s="217">
        <v>87</v>
      </c>
      <c r="B94" s="218">
        <f ca="1">IFERROR(__xludf.DUMMYFUNCTION("ROUND((IF(SINGLE('Ground Base'!B$154)&gt;ROUND(((1-GroundResDiscount31Up-GroundResIncentive)*'Ground Base'!B89),2),ROUND((SINGLE('Ground Base'!B$154)+GroundResidentialFee)*(1+GroundFuelSurcharge),2),ROUND((((1-GroundResDiscount31Up-GroundResIncentive)*'Groun"&amp;"d Base'!B89)+GroundResidentialFee)*(1+GroundFuelSurcharge),2)))*(1+FedEx_Markup),2)"),37.12)</f>
        <v>37.119999999999997</v>
      </c>
      <c r="C94" s="218">
        <f ca="1">IFERROR(__xludf.DUMMYFUNCTION("ROUND((IF(SINGLE('Ground Base'!C$154)&gt;ROUND(((1-GroundResDiscount31Up-GroundResIncentive)*'Ground Base'!C89),2),ROUND((SINGLE('Ground Base'!C$154)+GroundResidentialFee)*(1+GroundFuelSurcharge),2),ROUND((((1-GroundResDiscount31Up-GroundResIncentive)*'Groun"&amp;"d Base'!C89)+GroundResidentialFee)*(1+GroundFuelSurcharge),2)))*(1+FedEx_Markup),2)"),40.45)</f>
        <v>40.450000000000003</v>
      </c>
      <c r="D94" s="218">
        <f ca="1">IFERROR(__xludf.DUMMYFUNCTION("ROUND((IF(SINGLE('Ground Base'!D$154)&gt;ROUND(((1-GroundResDiscount31Up-GroundResIncentive)*'Ground Base'!D89),2),ROUND((SINGLE('Ground Base'!D$154)+GroundResidentialFee)*(1+GroundFuelSurcharge),2),ROUND((((1-GroundResDiscount31Up-GroundResIncentive)*'Groun"&amp;"d Base'!D89)+GroundResidentialFee)*(1+GroundFuelSurcharge),2)))*(1+FedEx_Markup),2)"),44.53)</f>
        <v>44.53</v>
      </c>
      <c r="E94" s="218">
        <f ca="1">IFERROR(__xludf.DUMMYFUNCTION("ROUND((IF(SINGLE('Ground Base'!E$154)&gt;ROUND(((1-GroundResDiscount31Up-GroundResIncentive)*'Ground Base'!E89),2),ROUND((SINGLE('Ground Base'!E$154)+GroundResidentialFee)*(1+GroundFuelSurcharge),2),ROUND((((1-GroundResDiscount31Up-GroundResIncentive)*'Groun"&amp;"d Base'!E89)+GroundResidentialFee)*(1+GroundFuelSurcharge),2)))*(1+FedEx_Markup),2)"),50.29)</f>
        <v>50.29</v>
      </c>
      <c r="F94" s="218">
        <f ca="1">IFERROR(__xludf.DUMMYFUNCTION("ROUND((IF(SINGLE('Ground Base'!F$154)&gt;ROUND(((1-GroundResDiscount31Up-GroundResIncentive)*'Ground Base'!F89),2),ROUND((SINGLE('Ground Base'!F$154)+GroundResidentialFee)*(1+GroundFuelSurcharge),2),ROUND((((1-GroundResDiscount31Up-GroundResIncentive)*'Groun"&amp;"d Base'!F89)+GroundResidentialFee)*(1+GroundFuelSurcharge),2)))*(1+FedEx_Markup),2)"),60.59)</f>
        <v>60.59</v>
      </c>
      <c r="G94" s="218">
        <f ca="1">IFERROR(__xludf.DUMMYFUNCTION("ROUND((IF(SINGLE('Ground Base'!G$154)&gt;ROUND(((1-GroundResDiscount31Up-GroundResIncentive)*'Ground Base'!G89),2),ROUND((SINGLE('Ground Base'!G$154)+GroundResidentialFee)*(1+GroundFuelSurcharge),2),ROUND((((1-GroundResDiscount31Up-GroundResIncentive)*'Groun"&amp;"d Base'!G89)+GroundResidentialFee)*(1+GroundFuelSurcharge),2)))*(1+FedEx_Markup),2)"),70.68)</f>
        <v>70.680000000000007</v>
      </c>
      <c r="H94" s="218">
        <f ca="1">IFERROR(__xludf.DUMMYFUNCTION("ROUND((IF(SINGLE('Ground Base'!H$154)&gt;ROUND(((1-GroundResDiscount31Up-GroundResIncentive)*'Ground Base'!H89),2),ROUND((SINGLE('Ground Base'!H$154)+GroundResidentialFee)*(1+GroundFuelSurcharge),2),ROUND((((1-GroundResDiscount31Up-GroundResIncentive)*'Groun"&amp;"d Base'!H89)+GroundResidentialFee)*(1+GroundFuelSurcharge),2)))*(1+FedEx_Markup),2)"),73.11)</f>
        <v>73.11</v>
      </c>
      <c r="I94" s="218">
        <f>ROUND((IF('Ground Base'!I$154&gt;ROUND(((1-GroundAKHIDiscount)*'Ground Base'!I89),2),ROUND(('Ground Base'!I$154+GroundResidentialFee)*(1+GroundFuelSurcharge),2),ROUND((((1-GroundAKHIDiscount)*'Ground Base'!I89)+GroundResidentialFee)*(1+GroundFuelSurcharge),2)))*(1+FedEx_Markup),2)</f>
        <v>434.92</v>
      </c>
      <c r="J94" s="218">
        <f>ROUND((IF('Ground Base'!J$154&gt;ROUND(((1-GroundAKHIDiscount)*'Ground Base'!J89),2),ROUND(('Ground Base'!J$154+GroundResidentialFee)*(1+GroundFuelSurcharge),2),ROUND((((1-GroundAKHIDiscount)*'Ground Base'!J89)+GroundResidentialFee)*(1+GroundFuelSurcharge),2)))*(1+FedEx_Markup),2)</f>
        <v>434.92</v>
      </c>
      <c r="K94" s="218">
        <f>ROUND((IF('Ground Base'!K$154&gt;ROUND(((1-GroundZone51Discount)*'Ground Base'!K89),2),ROUND(('Ground Base'!K$154+GroundResidentialFee)*(1+GroundFuelSurcharge),2),ROUND((((1-GroundZone51Discount)*'Ground Base'!K89)+GroundResidentialFee)*(1+GroundFuelSurcharge),2)))*(1+FedEx_Markup),2)</f>
        <v>113.1</v>
      </c>
      <c r="L94" s="218">
        <f>ROUND((IF('Ground Base'!L$154&gt;ROUND(((1-GroundZone54Discount)*'Ground Base'!L89),2),ROUND(('Ground Base'!L$154+GroundResidentialFee)*(1+GroundFuelSurcharge),2),ROUND((((1-GroundZone54Discount)*'Ground Base'!L89)+GroundResidentialFee)*(1+GroundFuelSurcharge),2)))*(1+FedEx_Markup),2)</f>
        <v>140.43</v>
      </c>
    </row>
    <row r="95" spans="1:26" ht="12.75" customHeight="1">
      <c r="A95" s="217">
        <v>88</v>
      </c>
      <c r="B95" s="218">
        <f ca="1">IFERROR(__xludf.DUMMYFUNCTION("ROUND((IF(SINGLE('Ground Base'!B$154)&gt;ROUND(((1-GroundResDiscount31Up-GroundResIncentive)*'Ground Base'!B90),2),ROUND((SINGLE('Ground Base'!B$154)+GroundResidentialFee)*(1+GroundFuelSurcharge),2),ROUND((((1-GroundResDiscount31Up-GroundResIncentive)*'Groun"&amp;"d Base'!B90)+GroundResidentialFee)*(1+GroundFuelSurcharge),2)))*(1+FedEx_Markup),2)"),38.51)</f>
        <v>38.51</v>
      </c>
      <c r="C95" s="218">
        <f ca="1">IFERROR(__xludf.DUMMYFUNCTION("ROUND((IF(SINGLE('Ground Base'!C$154)&gt;ROUND(((1-GroundResDiscount31Up-GroundResIncentive)*'Ground Base'!C90),2),ROUND((SINGLE('Ground Base'!C$154)+GroundResidentialFee)*(1+GroundFuelSurcharge),2),ROUND((((1-GroundResDiscount31Up-GroundResIncentive)*'Groun"&amp;"d Base'!C90)+GroundResidentialFee)*(1+GroundFuelSurcharge),2)))*(1+FedEx_Markup),2)"),41.27)</f>
        <v>41.27</v>
      </c>
      <c r="D95" s="218">
        <f ca="1">IFERROR(__xludf.DUMMYFUNCTION("ROUND((IF(SINGLE('Ground Base'!D$154)&gt;ROUND(((1-GroundResDiscount31Up-GroundResIncentive)*'Ground Base'!D90),2),ROUND((SINGLE('Ground Base'!D$154)+GroundResidentialFee)*(1+GroundFuelSurcharge),2),ROUND((((1-GroundResDiscount31Up-GroundResIncentive)*'Groun"&amp;"d Base'!D90)+GroundResidentialFee)*(1+GroundFuelSurcharge),2)))*(1+FedEx_Markup),2)"),45.83)</f>
        <v>45.83</v>
      </c>
      <c r="E95" s="218">
        <f ca="1">IFERROR(__xludf.DUMMYFUNCTION("ROUND((IF(SINGLE('Ground Base'!E$154)&gt;ROUND(((1-GroundResDiscount31Up-GroundResIncentive)*'Ground Base'!E90),2),ROUND((SINGLE('Ground Base'!E$154)+GroundResidentialFee)*(1+GroundFuelSurcharge),2),ROUND((((1-GroundResDiscount31Up-GroundResIncentive)*'Groun"&amp;"d Base'!E90)+GroundResidentialFee)*(1+GroundFuelSurcharge),2)))*(1+FedEx_Markup),2)"),51.81)</f>
        <v>51.81</v>
      </c>
      <c r="F95" s="218">
        <f ca="1">IFERROR(__xludf.DUMMYFUNCTION("ROUND((IF(SINGLE('Ground Base'!F$154)&gt;ROUND(((1-GroundResDiscount31Up-GroundResIncentive)*'Ground Base'!F90),2),ROUND((SINGLE('Ground Base'!F$154)+GroundResidentialFee)*(1+GroundFuelSurcharge),2),ROUND((((1-GroundResDiscount31Up-GroundResIncentive)*'Groun"&amp;"d Base'!F90)+GroundResidentialFee)*(1+GroundFuelSurcharge),2)))*(1+FedEx_Markup),2)"),60.8)</f>
        <v>60.8</v>
      </c>
      <c r="G95" s="218">
        <f ca="1">IFERROR(__xludf.DUMMYFUNCTION("ROUND((IF(SINGLE('Ground Base'!G$154)&gt;ROUND(((1-GroundResDiscount31Up-GroundResIncentive)*'Ground Base'!G90),2),ROUND((SINGLE('Ground Base'!G$154)+GroundResidentialFee)*(1+GroundFuelSurcharge),2),ROUND((((1-GroundResDiscount31Up-GroundResIncentive)*'Groun"&amp;"d Base'!G90)+GroundResidentialFee)*(1+GroundFuelSurcharge),2)))*(1+FedEx_Markup),2)"),70.76)</f>
        <v>70.760000000000005</v>
      </c>
      <c r="H95" s="218">
        <f ca="1">IFERROR(__xludf.DUMMYFUNCTION("ROUND((IF(SINGLE('Ground Base'!H$154)&gt;ROUND(((1-GroundResDiscount31Up-GroundResIncentive)*'Ground Base'!H90),2),ROUND((SINGLE('Ground Base'!H$154)+GroundResidentialFee)*(1+GroundFuelSurcharge),2),ROUND((((1-GroundResDiscount31Up-GroundResIncentive)*'Groun"&amp;"d Base'!H90)+GroundResidentialFee)*(1+GroundFuelSurcharge),2)))*(1+FedEx_Markup),2)"),73.88)</f>
        <v>73.88</v>
      </c>
      <c r="I95" s="218">
        <f>ROUND((IF('Ground Base'!I$154&gt;ROUND(((1-GroundAKHIDiscount)*'Ground Base'!I90),2),ROUND(('Ground Base'!I$154+GroundResidentialFee)*(1+GroundFuelSurcharge),2),ROUND((((1-GroundAKHIDiscount)*'Ground Base'!I90)+GroundResidentialFee)*(1+GroundFuelSurcharge),2)))*(1+FedEx_Markup),2)</f>
        <v>439.69</v>
      </c>
      <c r="J95" s="218">
        <f>ROUND((IF('Ground Base'!J$154&gt;ROUND(((1-GroundAKHIDiscount)*'Ground Base'!J90),2),ROUND(('Ground Base'!J$154+GroundResidentialFee)*(1+GroundFuelSurcharge),2),ROUND((((1-GroundAKHIDiscount)*'Ground Base'!J90)+GroundResidentialFee)*(1+GroundFuelSurcharge),2)))*(1+FedEx_Markup),2)</f>
        <v>439.69</v>
      </c>
      <c r="K95" s="218">
        <f>ROUND((IF('Ground Base'!K$154&gt;ROUND(((1-GroundZone51Discount)*'Ground Base'!K90),2),ROUND(('Ground Base'!K$154+GroundResidentialFee)*(1+GroundFuelSurcharge),2),ROUND((((1-GroundZone51Discount)*'Ground Base'!K90)+GroundResidentialFee)*(1+GroundFuelSurcharge),2)))*(1+FedEx_Markup),2)</f>
        <v>113.1</v>
      </c>
      <c r="L95" s="218">
        <f>ROUND((IF('Ground Base'!L$154&gt;ROUND(((1-GroundZone54Discount)*'Ground Base'!L90),2),ROUND(('Ground Base'!L$154+GroundResidentialFee)*(1+GroundFuelSurcharge),2),ROUND((((1-GroundZone54Discount)*'Ground Base'!L90)+GroundResidentialFee)*(1+GroundFuelSurcharge),2)))*(1+FedEx_Markup),2)</f>
        <v>140.44999999999999</v>
      </c>
    </row>
    <row r="96" spans="1:26" ht="12.75" customHeight="1">
      <c r="A96" s="217">
        <v>89</v>
      </c>
      <c r="B96" s="218">
        <f ca="1">IFERROR(__xludf.DUMMYFUNCTION("ROUND((IF(SINGLE('Ground Base'!B$154)&gt;ROUND(((1-GroundResDiscount31Up-GroundResIncentive)*'Ground Base'!B91),2),ROUND((SINGLE('Ground Base'!B$154)+GroundResidentialFee)*(1+GroundFuelSurcharge),2),ROUND((((1-GroundResDiscount31Up-GroundResIncentive)*'Groun"&amp;"d Base'!B91)+GroundResidentialFee)*(1+GroundFuelSurcharge),2)))*(1+FedEx_Markup),2)"),40.1)</f>
        <v>40.1</v>
      </c>
      <c r="C96" s="218">
        <f ca="1">IFERROR(__xludf.DUMMYFUNCTION("ROUND((IF(SINGLE('Ground Base'!C$154)&gt;ROUND(((1-GroundResDiscount31Up-GroundResIncentive)*'Ground Base'!C91),2),ROUND((SINGLE('Ground Base'!C$154)+GroundResidentialFee)*(1+GroundFuelSurcharge),2),ROUND((((1-GroundResDiscount31Up-GroundResIncentive)*'Groun"&amp;"d Base'!C91)+GroundResidentialFee)*(1+GroundFuelSurcharge),2)))*(1+FedEx_Markup),2)"),42.33)</f>
        <v>42.33</v>
      </c>
      <c r="D96" s="218">
        <f ca="1">IFERROR(__xludf.DUMMYFUNCTION("ROUND((IF(SINGLE('Ground Base'!D$154)&gt;ROUND(((1-GroundResDiscount31Up-GroundResIncentive)*'Ground Base'!D91),2),ROUND((SINGLE('Ground Base'!D$154)+GroundResidentialFee)*(1+GroundFuelSurcharge),2),ROUND((((1-GroundResDiscount31Up-GroundResIncentive)*'Groun"&amp;"d Base'!D91)+GroundResidentialFee)*(1+GroundFuelSurcharge),2)))*(1+FedEx_Markup),2)"),46.66)</f>
        <v>46.66</v>
      </c>
      <c r="E96" s="218">
        <f ca="1">IFERROR(__xludf.DUMMYFUNCTION("ROUND((IF(SINGLE('Ground Base'!E$154)&gt;ROUND(((1-GroundResDiscount31Up-GroundResIncentive)*'Ground Base'!E91),2),ROUND((SINGLE('Ground Base'!E$154)+GroundResidentialFee)*(1+GroundFuelSurcharge),2),ROUND((((1-GroundResDiscount31Up-GroundResIncentive)*'Groun"&amp;"d Base'!E91)+GroundResidentialFee)*(1+GroundFuelSurcharge),2)))*(1+FedEx_Markup),2)"),51.96)</f>
        <v>51.96</v>
      </c>
      <c r="F96" s="218">
        <f ca="1">IFERROR(__xludf.DUMMYFUNCTION("ROUND((IF(SINGLE('Ground Base'!F$154)&gt;ROUND(((1-GroundResDiscount31Up-GroundResIncentive)*'Ground Base'!F91),2),ROUND((SINGLE('Ground Base'!F$154)+GroundResidentialFee)*(1+GroundFuelSurcharge),2),ROUND((((1-GroundResDiscount31Up-GroundResIncentive)*'Groun"&amp;"d Base'!F91)+GroundResidentialFee)*(1+GroundFuelSurcharge),2)))*(1+FedEx_Markup),2)"),62.05)</f>
        <v>62.05</v>
      </c>
      <c r="G96" s="218">
        <f ca="1">IFERROR(__xludf.DUMMYFUNCTION("ROUND((IF(SINGLE('Ground Base'!G$154)&gt;ROUND(((1-GroundResDiscount31Up-GroundResIncentive)*'Ground Base'!G91),2),ROUND((SINGLE('Ground Base'!G$154)+GroundResidentialFee)*(1+GroundFuelSurcharge),2),ROUND((((1-GroundResDiscount31Up-GroundResIncentive)*'Groun"&amp;"d Base'!G91)+GroundResidentialFee)*(1+GroundFuelSurcharge),2)))*(1+FedEx_Markup),2)"),71.44)</f>
        <v>71.44</v>
      </c>
      <c r="H96" s="218">
        <f ca="1">IFERROR(__xludf.DUMMYFUNCTION("ROUND((IF(SINGLE('Ground Base'!H$154)&gt;ROUND(((1-GroundResDiscount31Up-GroundResIncentive)*'Ground Base'!H91),2),ROUND((SINGLE('Ground Base'!H$154)+GroundResidentialFee)*(1+GroundFuelSurcharge),2),ROUND((((1-GroundResDiscount31Up-GroundResIncentive)*'Groun"&amp;"d Base'!H91)+GroundResidentialFee)*(1+GroundFuelSurcharge),2)))*(1+FedEx_Markup),2)"),75.35)</f>
        <v>75.349999999999994</v>
      </c>
      <c r="I96" s="218">
        <f>ROUND((IF('Ground Base'!I$154&gt;ROUND(((1-GroundAKHIDiscount)*'Ground Base'!I91),2),ROUND(('Ground Base'!I$154+GroundResidentialFee)*(1+GroundFuelSurcharge),2),ROUND((((1-GroundAKHIDiscount)*'Ground Base'!I91)+GroundResidentialFee)*(1+GroundFuelSurcharge),2)))*(1+FedEx_Markup),2)</f>
        <v>444.26</v>
      </c>
      <c r="J96" s="218">
        <f>ROUND((IF('Ground Base'!J$154&gt;ROUND(((1-GroundAKHIDiscount)*'Ground Base'!J91),2),ROUND(('Ground Base'!J$154+GroundResidentialFee)*(1+GroundFuelSurcharge),2),ROUND((((1-GroundAKHIDiscount)*'Ground Base'!J91)+GroundResidentialFee)*(1+GroundFuelSurcharge),2)))*(1+FedEx_Markup),2)</f>
        <v>444.26</v>
      </c>
      <c r="K96" s="218">
        <f>ROUND((IF('Ground Base'!K$154&gt;ROUND(((1-GroundZone51Discount)*'Ground Base'!K91),2),ROUND(('Ground Base'!K$154+GroundResidentialFee)*(1+GroundFuelSurcharge),2),ROUND((((1-GroundZone51Discount)*'Ground Base'!K91)+GroundResidentialFee)*(1+GroundFuelSurcharge),2)))*(1+FedEx_Markup),2)</f>
        <v>113.84</v>
      </c>
      <c r="L96" s="218">
        <f>ROUND((IF('Ground Base'!L$154&gt;ROUND(((1-GroundZone54Discount)*'Ground Base'!L91),2),ROUND(('Ground Base'!L$154+GroundResidentialFee)*(1+GroundFuelSurcharge),2),ROUND((((1-GroundZone54Discount)*'Ground Base'!L91)+GroundResidentialFee)*(1+GroundFuelSurcharge),2)))*(1+FedEx_Markup),2)</f>
        <v>142.62</v>
      </c>
    </row>
    <row r="97" spans="1:12" ht="12.75" customHeight="1">
      <c r="A97" s="217">
        <v>90</v>
      </c>
      <c r="B97" s="218">
        <f ca="1">IFERROR(__xludf.DUMMYFUNCTION("ROUND((IF(SINGLE('Ground Base'!B$154)&gt;ROUND(((1-GroundResDiscount31Up-GroundResIncentive)*'Ground Base'!B92),2),ROUND((SINGLE('Ground Base'!B$154)+GroundResidentialFee)*(1+GroundFuelSurcharge),2),ROUND((((1-GroundResDiscount31Up-GroundResIncentive)*'Groun"&amp;"d Base'!B92)+GroundResidentialFee)*(1+GroundFuelSurcharge),2)))*(1+FedEx_Markup),2)"),42.34)</f>
        <v>42.34</v>
      </c>
      <c r="C97" s="218">
        <f ca="1">IFERROR(__xludf.DUMMYFUNCTION("ROUND((IF(SINGLE('Ground Base'!C$154)&gt;ROUND(((1-GroundResDiscount31Up-GroundResIncentive)*'Ground Base'!C92),2),ROUND((SINGLE('Ground Base'!C$154)+GroundResidentialFee)*(1+GroundFuelSurcharge),2),ROUND((((1-GroundResDiscount31Up-GroundResIncentive)*'Groun"&amp;"d Base'!C92)+GroundResidentialFee)*(1+GroundFuelSurcharge),2)))*(1+FedEx_Markup),2)"),44.02)</f>
        <v>44.02</v>
      </c>
      <c r="D97" s="218">
        <f ca="1">IFERROR(__xludf.DUMMYFUNCTION("ROUND((IF(SINGLE('Ground Base'!D$154)&gt;ROUND(((1-GroundResDiscount31Up-GroundResIncentive)*'Ground Base'!D92),2),ROUND((SINGLE('Ground Base'!D$154)+GroundResidentialFee)*(1+GroundFuelSurcharge),2),ROUND((((1-GroundResDiscount31Up-GroundResIncentive)*'Groun"&amp;"d Base'!D92)+GroundResidentialFee)*(1+GroundFuelSurcharge),2)))*(1+FedEx_Markup),2)"),48.54)</f>
        <v>48.54</v>
      </c>
      <c r="E97" s="218">
        <f ca="1">IFERROR(__xludf.DUMMYFUNCTION("ROUND((IF(SINGLE('Ground Base'!E$154)&gt;ROUND(((1-GroundResDiscount31Up-GroundResIncentive)*'Ground Base'!E92),2),ROUND((SINGLE('Ground Base'!E$154)+GroundResidentialFee)*(1+GroundFuelSurcharge),2),ROUND((((1-GroundResDiscount31Up-GroundResIncentive)*'Groun"&amp;"d Base'!E92)+GroundResidentialFee)*(1+GroundFuelSurcharge),2)))*(1+FedEx_Markup),2)"),53.38)</f>
        <v>53.38</v>
      </c>
      <c r="F97" s="218">
        <f ca="1">IFERROR(__xludf.DUMMYFUNCTION("ROUND((IF(SINGLE('Ground Base'!F$154)&gt;ROUND(((1-GroundResDiscount31Up-GroundResIncentive)*'Ground Base'!F92),2),ROUND((SINGLE('Ground Base'!F$154)+GroundResidentialFee)*(1+GroundFuelSurcharge),2),ROUND((((1-GroundResDiscount31Up-GroundResIncentive)*'Groun"&amp;"d Base'!F92)+GroundResidentialFee)*(1+GroundFuelSurcharge),2)))*(1+FedEx_Markup),2)"),62.89)</f>
        <v>62.89</v>
      </c>
      <c r="G97" s="218">
        <f ca="1">IFERROR(__xludf.DUMMYFUNCTION("ROUND((IF(SINGLE('Ground Base'!G$154)&gt;ROUND(((1-GroundResDiscount31Up-GroundResIncentive)*'Ground Base'!G92),2),ROUND((SINGLE('Ground Base'!G$154)+GroundResidentialFee)*(1+GroundFuelSurcharge),2),ROUND((((1-GroundResDiscount31Up-GroundResIncentive)*'Groun"&amp;"d Base'!G92)+GroundResidentialFee)*(1+GroundFuelSurcharge),2)))*(1+FedEx_Markup),2)"),73.03)</f>
        <v>73.03</v>
      </c>
      <c r="H97" s="218">
        <f ca="1">IFERROR(__xludf.DUMMYFUNCTION("ROUND((IF(SINGLE('Ground Base'!H$154)&gt;ROUND(((1-GroundResDiscount31Up-GroundResIncentive)*'Ground Base'!H92),2),ROUND((SINGLE('Ground Base'!H$154)+GroundResidentialFee)*(1+GroundFuelSurcharge),2),ROUND((((1-GroundResDiscount31Up-GroundResIncentive)*'Groun"&amp;"d Base'!H92)+GroundResidentialFee)*(1+GroundFuelSurcharge),2)))*(1+FedEx_Markup),2)"),76.77)</f>
        <v>76.77</v>
      </c>
      <c r="I97" s="218">
        <f>ROUND((IF('Ground Base'!I$154&gt;ROUND(((1-GroundAKHIDiscount)*'Ground Base'!I92),2),ROUND(('Ground Base'!I$154+GroundResidentialFee)*(1+GroundFuelSurcharge),2),ROUND((((1-GroundAKHIDiscount)*'Ground Base'!I92)+GroundResidentialFee)*(1+GroundFuelSurcharge),2)))*(1+FedEx_Markup),2)</f>
        <v>448.71</v>
      </c>
      <c r="J97" s="218">
        <f>ROUND((IF('Ground Base'!J$154&gt;ROUND(((1-GroundAKHIDiscount)*'Ground Base'!J92),2),ROUND(('Ground Base'!J$154+GroundResidentialFee)*(1+GroundFuelSurcharge),2),ROUND((((1-GroundAKHIDiscount)*'Ground Base'!J92)+GroundResidentialFee)*(1+GroundFuelSurcharge),2)))*(1+FedEx_Markup),2)</f>
        <v>448.71</v>
      </c>
      <c r="K97" s="218">
        <f>ROUND((IF('Ground Base'!K$154&gt;ROUND(((1-GroundZone51Discount)*'Ground Base'!K92),2),ROUND(('Ground Base'!K$154+GroundResidentialFee)*(1+GroundFuelSurcharge),2),ROUND((((1-GroundZone51Discount)*'Ground Base'!K92)+GroundResidentialFee)*(1+GroundFuelSurcharge),2)))*(1+FedEx_Markup),2)</f>
        <v>113.85</v>
      </c>
      <c r="L97" s="218">
        <f>ROUND((IF('Ground Base'!L$154&gt;ROUND(((1-GroundZone54Discount)*'Ground Base'!L92),2),ROUND(('Ground Base'!L$154+GroundResidentialFee)*(1+GroundFuelSurcharge),2),ROUND((((1-GroundZone54Discount)*'Ground Base'!L92)+GroundResidentialFee)*(1+GroundFuelSurcharge),2)))*(1+FedEx_Markup),2)</f>
        <v>142.63</v>
      </c>
    </row>
    <row r="98" spans="1:12" ht="12.75" customHeight="1">
      <c r="A98" s="217">
        <v>91</v>
      </c>
      <c r="B98" s="218">
        <f ca="1">IFERROR(__xludf.DUMMYFUNCTION("ROUND((IF(SINGLE('Ground Base'!B$154)&gt;ROUND(((1-GroundResDiscount31Up-GroundResIncentive)*'Ground Base'!B93),2),ROUND((SINGLE('Ground Base'!B$154)+GroundResidentialFee)*(1+GroundFuelSurcharge),2),ROUND((((1-GroundResDiscount31Up-GroundResIncentive)*'Groun"&amp;"d Base'!B93)+GroundResidentialFee)*(1+GroundFuelSurcharge),2)))*(1+FedEx_Markup),2)"),42.35)</f>
        <v>42.35</v>
      </c>
      <c r="C98" s="218">
        <f ca="1">IFERROR(__xludf.DUMMYFUNCTION("ROUND((IF(SINGLE('Ground Base'!C$154)&gt;ROUND(((1-GroundResDiscount31Up-GroundResIncentive)*'Ground Base'!C93),2),ROUND((SINGLE('Ground Base'!C$154)+GroundResidentialFee)*(1+GroundFuelSurcharge),2),ROUND((((1-GroundResDiscount31Up-GroundResIncentive)*'Groun"&amp;"d Base'!C93)+GroundResidentialFee)*(1+GroundFuelSurcharge),2)))*(1+FedEx_Markup),2)"),44.02)</f>
        <v>44.02</v>
      </c>
      <c r="D98" s="218">
        <f ca="1">IFERROR(__xludf.DUMMYFUNCTION("ROUND((IF(SINGLE('Ground Base'!D$154)&gt;ROUND(((1-GroundResDiscount31Up-GroundResIncentive)*'Ground Base'!D93),2),ROUND((SINGLE('Ground Base'!D$154)+GroundResidentialFee)*(1+GroundFuelSurcharge),2),ROUND((((1-GroundResDiscount31Up-GroundResIncentive)*'Groun"&amp;"d Base'!D93)+GroundResidentialFee)*(1+GroundFuelSurcharge),2)))*(1+FedEx_Markup),2)"),48.54)</f>
        <v>48.54</v>
      </c>
      <c r="E98" s="218">
        <f ca="1">IFERROR(__xludf.DUMMYFUNCTION("ROUND((IF(SINGLE('Ground Base'!E$154)&gt;ROUND(((1-GroundResDiscount31Up-GroundResIncentive)*'Ground Base'!E93),2),ROUND((SINGLE('Ground Base'!E$154)+GroundResidentialFee)*(1+GroundFuelSurcharge),2),ROUND((((1-GroundResDiscount31Up-GroundResIncentive)*'Groun"&amp;"d Base'!E93)+GroundResidentialFee)*(1+GroundFuelSurcharge),2)))*(1+FedEx_Markup),2)"),53.39)</f>
        <v>53.39</v>
      </c>
      <c r="F98" s="218">
        <f ca="1">IFERROR(__xludf.DUMMYFUNCTION("ROUND((IF(SINGLE('Ground Base'!F$154)&gt;ROUND(((1-GroundResDiscount31Up-GroundResIncentive)*'Ground Base'!F93),2),ROUND((SINGLE('Ground Base'!F$154)+GroundResidentialFee)*(1+GroundFuelSurcharge),2),ROUND((((1-GroundResDiscount31Up-GroundResIncentive)*'Groun"&amp;"d Base'!F93)+GroundResidentialFee)*(1+GroundFuelSurcharge),2)))*(1+FedEx_Markup),2)"),62.89)</f>
        <v>62.89</v>
      </c>
      <c r="G98" s="218">
        <f ca="1">IFERROR(__xludf.DUMMYFUNCTION("ROUND((IF(SINGLE('Ground Base'!G$154)&gt;ROUND(((1-GroundResDiscount31Up-GroundResIncentive)*'Ground Base'!G93),2),ROUND((SINGLE('Ground Base'!G$154)+GroundResidentialFee)*(1+GroundFuelSurcharge),2),ROUND((((1-GroundResDiscount31Up-GroundResIncentive)*'Groun"&amp;"d Base'!G93)+GroundResidentialFee)*(1+GroundFuelSurcharge),2)))*(1+FedEx_Markup),2)"),73.03)</f>
        <v>73.03</v>
      </c>
      <c r="H98" s="218">
        <f ca="1">IFERROR(__xludf.DUMMYFUNCTION("ROUND((IF(SINGLE('Ground Base'!H$154)&gt;ROUND(((1-GroundResDiscount31Up-GroundResIncentive)*'Ground Base'!H93),2),ROUND((SINGLE('Ground Base'!H$154)+GroundResidentialFee)*(1+GroundFuelSurcharge),2),ROUND((((1-GroundResDiscount31Up-GroundResIncentive)*'Groun"&amp;"d Base'!H93)+GroundResidentialFee)*(1+GroundFuelSurcharge),2)))*(1+FedEx_Markup),2)"),76.77)</f>
        <v>76.77</v>
      </c>
      <c r="I98" s="218">
        <f>ROUND((IF('Ground Base'!I$154&gt;ROUND(((1-GroundAKHIDiscount)*'Ground Base'!I93),2),ROUND(('Ground Base'!I$154+GroundResidentialFee)*(1+GroundFuelSurcharge),2),ROUND((((1-GroundAKHIDiscount)*'Ground Base'!I93)+GroundResidentialFee)*(1+GroundFuelSurcharge),2)))*(1+FedEx_Markup),2)</f>
        <v>453.47</v>
      </c>
      <c r="J98" s="218">
        <f>ROUND((IF('Ground Base'!J$154&gt;ROUND(((1-GroundAKHIDiscount)*'Ground Base'!J93),2),ROUND(('Ground Base'!J$154+GroundResidentialFee)*(1+GroundFuelSurcharge),2),ROUND((((1-GroundAKHIDiscount)*'Ground Base'!J93)+GroundResidentialFee)*(1+GroundFuelSurcharge),2)))*(1+FedEx_Markup),2)</f>
        <v>453.47</v>
      </c>
      <c r="K98" s="218">
        <f>ROUND((IF('Ground Base'!K$154&gt;ROUND(((1-GroundZone51Discount)*'Ground Base'!K93),2),ROUND(('Ground Base'!K$154+GroundResidentialFee)*(1+GroundFuelSurcharge),2),ROUND((((1-GroundZone51Discount)*'Ground Base'!K93)+GroundResidentialFee)*(1+GroundFuelSurcharge),2)))*(1+FedEx_Markup),2)</f>
        <v>114.54</v>
      </c>
      <c r="L98" s="218">
        <f>ROUND((IF('Ground Base'!L$154&gt;ROUND(((1-GroundZone54Discount)*'Ground Base'!L93),2),ROUND(('Ground Base'!L$154+GroundResidentialFee)*(1+GroundFuelSurcharge),2),ROUND((((1-GroundZone54Discount)*'Ground Base'!L93)+GroundResidentialFee)*(1+GroundFuelSurcharge),2)))*(1+FedEx_Markup),2)</f>
        <v>145.25</v>
      </c>
    </row>
    <row r="99" spans="1:12" ht="12.75" customHeight="1">
      <c r="A99" s="217">
        <v>92</v>
      </c>
      <c r="B99" s="218">
        <f ca="1">IFERROR(__xludf.DUMMYFUNCTION("ROUND((IF(SINGLE('Ground Base'!B$154)&gt;ROUND(((1-GroundResDiscount31Up-GroundResIncentive)*'Ground Base'!B94),2),ROUND((SINGLE('Ground Base'!B$154)+GroundResidentialFee)*(1+GroundFuelSurcharge),2),ROUND((((1-GroundResDiscount31Up-GroundResIncentive)*'Groun"&amp;"d Base'!B94)+GroundResidentialFee)*(1+GroundFuelSurcharge),2)))*(1+FedEx_Markup),2)"),43.23)</f>
        <v>43.23</v>
      </c>
      <c r="C99" s="218">
        <f ca="1">IFERROR(__xludf.DUMMYFUNCTION("ROUND((IF(SINGLE('Ground Base'!C$154)&gt;ROUND(((1-GroundResDiscount31Up-GroundResIncentive)*'Ground Base'!C94),2),ROUND((SINGLE('Ground Base'!C$154)+GroundResidentialFee)*(1+GroundFuelSurcharge),2),ROUND((((1-GroundResDiscount31Up-GroundResIncentive)*'Groun"&amp;"d Base'!C94)+GroundResidentialFee)*(1+GroundFuelSurcharge),2)))*(1+FedEx_Markup),2)"),44.41)</f>
        <v>44.41</v>
      </c>
      <c r="D99" s="218">
        <f ca="1">IFERROR(__xludf.DUMMYFUNCTION("ROUND((IF(SINGLE('Ground Base'!D$154)&gt;ROUND(((1-GroundResDiscount31Up-GroundResIncentive)*'Ground Base'!D94),2),ROUND((SINGLE('Ground Base'!D$154)+GroundResidentialFee)*(1+GroundFuelSurcharge),2),ROUND((((1-GroundResDiscount31Up-GroundResIncentive)*'Groun"&amp;"d Base'!D94)+GroundResidentialFee)*(1+GroundFuelSurcharge),2)))*(1+FedEx_Markup),2)"),48.78)</f>
        <v>48.78</v>
      </c>
      <c r="E99" s="218">
        <f ca="1">IFERROR(__xludf.DUMMYFUNCTION("ROUND((IF(SINGLE('Ground Base'!E$154)&gt;ROUND(((1-GroundResDiscount31Up-GroundResIncentive)*'Ground Base'!E94),2),ROUND((SINGLE('Ground Base'!E$154)+GroundResidentialFee)*(1+GroundFuelSurcharge),2),ROUND((((1-GroundResDiscount31Up-GroundResIncentive)*'Groun"&amp;"d Base'!E94)+GroundResidentialFee)*(1+GroundFuelSurcharge),2)))*(1+FedEx_Markup),2)"),53.88)</f>
        <v>53.88</v>
      </c>
      <c r="F99" s="218">
        <f ca="1">IFERROR(__xludf.DUMMYFUNCTION("ROUND((IF(SINGLE('Ground Base'!F$154)&gt;ROUND(((1-GroundResDiscount31Up-GroundResIncentive)*'Ground Base'!F94),2),ROUND((SINGLE('Ground Base'!F$154)+GroundResidentialFee)*(1+GroundFuelSurcharge),2),ROUND((((1-GroundResDiscount31Up-GroundResIncentive)*'Groun"&amp;"d Base'!F94)+GroundResidentialFee)*(1+GroundFuelSurcharge),2)))*(1+FedEx_Markup),2)"),63.62)</f>
        <v>63.62</v>
      </c>
      <c r="G99" s="218">
        <f ca="1">IFERROR(__xludf.DUMMYFUNCTION("ROUND((IF(SINGLE('Ground Base'!G$154)&gt;ROUND(((1-GroundResDiscount31Up-GroundResIncentive)*'Ground Base'!G94),2),ROUND((SINGLE('Ground Base'!G$154)+GroundResidentialFee)*(1+GroundFuelSurcharge),2),ROUND((((1-GroundResDiscount31Up-GroundResIncentive)*'Groun"&amp;"d Base'!G94)+GroundResidentialFee)*(1+GroundFuelSurcharge),2)))*(1+FedEx_Markup),2)"),73.04)</f>
        <v>73.040000000000006</v>
      </c>
      <c r="H99" s="218">
        <f ca="1">IFERROR(__xludf.DUMMYFUNCTION("ROUND((IF(SINGLE('Ground Base'!H$154)&gt;ROUND(((1-GroundResDiscount31Up-GroundResIncentive)*'Ground Base'!H94),2),ROUND((SINGLE('Ground Base'!H$154)+GroundResidentialFee)*(1+GroundFuelSurcharge),2),ROUND((((1-GroundResDiscount31Up-GroundResIncentive)*'Groun"&amp;"d Base'!H94)+GroundResidentialFee)*(1+GroundFuelSurcharge),2)))*(1+FedEx_Markup),2)"),76.99)</f>
        <v>76.989999999999995</v>
      </c>
      <c r="I99" s="218">
        <f>ROUND((IF('Ground Base'!I$154&gt;ROUND(((1-GroundAKHIDiscount)*'Ground Base'!I94),2),ROUND(('Ground Base'!I$154+GroundResidentialFee)*(1+GroundFuelSurcharge),2),ROUND((((1-GroundAKHIDiscount)*'Ground Base'!I94)+GroundResidentialFee)*(1+GroundFuelSurcharge),2)))*(1+FedEx_Markup),2)</f>
        <v>457.76</v>
      </c>
      <c r="J99" s="218">
        <f>ROUND((IF('Ground Base'!J$154&gt;ROUND(((1-GroundAKHIDiscount)*'Ground Base'!J94),2),ROUND(('Ground Base'!J$154+GroundResidentialFee)*(1+GroundFuelSurcharge),2),ROUND((((1-GroundAKHIDiscount)*'Ground Base'!J94)+GroundResidentialFee)*(1+GroundFuelSurcharge),2)))*(1+FedEx_Markup),2)</f>
        <v>457.76</v>
      </c>
      <c r="K99" s="218">
        <f>ROUND((IF('Ground Base'!K$154&gt;ROUND(((1-GroundZone51Discount)*'Ground Base'!K94),2),ROUND(('Ground Base'!K$154+GroundResidentialFee)*(1+GroundFuelSurcharge),2),ROUND((((1-GroundZone51Discount)*'Ground Base'!K94)+GroundResidentialFee)*(1+GroundFuelSurcharge),2)))*(1+FedEx_Markup),2)</f>
        <v>114.56</v>
      </c>
      <c r="L99" s="218">
        <f>ROUND((IF('Ground Base'!L$154&gt;ROUND(((1-GroundZone54Discount)*'Ground Base'!L94),2),ROUND(('Ground Base'!L$154+GroundResidentialFee)*(1+GroundFuelSurcharge),2),ROUND((((1-GroundZone54Discount)*'Ground Base'!L94)+GroundResidentialFee)*(1+GroundFuelSurcharge),2)))*(1+FedEx_Markup),2)</f>
        <v>145.25</v>
      </c>
    </row>
    <row r="100" spans="1:12" ht="12.75" customHeight="1">
      <c r="A100" s="217">
        <v>93</v>
      </c>
      <c r="B100" s="218">
        <f ca="1">IFERROR(__xludf.DUMMYFUNCTION("ROUND((IF(SINGLE('Ground Base'!B$154)&gt;ROUND(((1-GroundResDiscount31Up-GroundResIncentive)*'Ground Base'!B95),2),ROUND((SINGLE('Ground Base'!B$154)+GroundResidentialFee)*(1+GroundFuelSurcharge),2),ROUND((((1-GroundResDiscount31Up-GroundResIncentive)*'Groun"&amp;"d Base'!B95)+GroundResidentialFee)*(1+GroundFuelSurcharge),2)))*(1+FedEx_Markup),2)"),43.73)</f>
        <v>43.73</v>
      </c>
      <c r="C100" s="218">
        <f ca="1">IFERROR(__xludf.DUMMYFUNCTION("ROUND((IF(SINGLE('Ground Base'!C$154)&gt;ROUND(((1-GroundResDiscount31Up-GroundResIncentive)*'Ground Base'!C95),2),ROUND((SINGLE('Ground Base'!C$154)+GroundResidentialFee)*(1+GroundFuelSurcharge),2),ROUND((((1-GroundResDiscount31Up-GroundResIncentive)*'Groun"&amp;"d Base'!C95)+GroundResidentialFee)*(1+GroundFuelSurcharge),2)))*(1+FedEx_Markup),2)"),44.8)</f>
        <v>44.8</v>
      </c>
      <c r="D100" s="218">
        <f ca="1">IFERROR(__xludf.DUMMYFUNCTION("ROUND((IF(SINGLE('Ground Base'!D$154)&gt;ROUND(((1-GroundResDiscount31Up-GroundResIncentive)*'Ground Base'!D95),2),ROUND((SINGLE('Ground Base'!D$154)+GroundResidentialFee)*(1+GroundFuelSurcharge),2),ROUND((((1-GroundResDiscount31Up-GroundResIncentive)*'Groun"&amp;"d Base'!D95)+GroundResidentialFee)*(1+GroundFuelSurcharge),2)))*(1+FedEx_Markup),2)"),49.65)</f>
        <v>49.65</v>
      </c>
      <c r="E100" s="218">
        <f ca="1">IFERROR(__xludf.DUMMYFUNCTION("ROUND((IF(SINGLE('Ground Base'!E$154)&gt;ROUND(((1-GroundResDiscount31Up-GroundResIncentive)*'Ground Base'!E95),2),ROUND((SINGLE('Ground Base'!E$154)+GroundResidentialFee)*(1+GroundFuelSurcharge),2),ROUND((((1-GroundResDiscount31Up-GroundResIncentive)*'Groun"&amp;"d Base'!E95)+GroundResidentialFee)*(1+GroundFuelSurcharge),2)))*(1+FedEx_Markup),2)"),53.89)</f>
        <v>53.89</v>
      </c>
      <c r="F100" s="218">
        <f ca="1">IFERROR(__xludf.DUMMYFUNCTION("ROUND((IF(SINGLE('Ground Base'!F$154)&gt;ROUND(((1-GroundResDiscount31Up-GroundResIncentive)*'Ground Base'!F95),2),ROUND((SINGLE('Ground Base'!F$154)+GroundResidentialFee)*(1+GroundFuelSurcharge),2),ROUND((((1-GroundResDiscount31Up-GroundResIncentive)*'Groun"&amp;"d Base'!F95)+GroundResidentialFee)*(1+GroundFuelSurcharge),2)))*(1+FedEx_Markup),2)"),63.63)</f>
        <v>63.63</v>
      </c>
      <c r="G100" s="218">
        <f ca="1">IFERROR(__xludf.DUMMYFUNCTION("ROUND((IF(SINGLE('Ground Base'!G$154)&gt;ROUND(((1-GroundResDiscount31Up-GroundResIncentive)*'Ground Base'!G95),2),ROUND((SINGLE('Ground Base'!G$154)+GroundResidentialFee)*(1+GroundFuelSurcharge),2),ROUND((((1-GroundResDiscount31Up-GroundResIncentive)*'Groun"&amp;"d Base'!G95)+GroundResidentialFee)*(1+GroundFuelSurcharge),2)))*(1+FedEx_Markup),2)"),73.05)</f>
        <v>73.05</v>
      </c>
      <c r="H100" s="218">
        <f ca="1">IFERROR(__xludf.DUMMYFUNCTION("ROUND((IF(SINGLE('Ground Base'!H$154)&gt;ROUND(((1-GroundResDiscount31Up-GroundResIncentive)*'Ground Base'!H95),2),ROUND((SINGLE('Ground Base'!H$154)+GroundResidentialFee)*(1+GroundFuelSurcharge),2),ROUND((((1-GroundResDiscount31Up-GroundResIncentive)*'Groun"&amp;"d Base'!H95)+GroundResidentialFee)*(1+GroundFuelSurcharge),2)))*(1+FedEx_Markup),2)"),77)</f>
        <v>77</v>
      </c>
      <c r="I100" s="218">
        <f>ROUND((IF('Ground Base'!I$154&gt;ROUND(((1-GroundAKHIDiscount)*'Ground Base'!I95),2),ROUND(('Ground Base'!I$154+GroundResidentialFee)*(1+GroundFuelSurcharge),2),ROUND((((1-GroundAKHIDiscount)*'Ground Base'!I95)+GroundResidentialFee)*(1+GroundFuelSurcharge),2)))*(1+FedEx_Markup),2)</f>
        <v>457.91</v>
      </c>
      <c r="J100" s="218">
        <f>ROUND((IF('Ground Base'!J$154&gt;ROUND(((1-GroundAKHIDiscount)*'Ground Base'!J95),2),ROUND(('Ground Base'!J$154+GroundResidentialFee)*(1+GroundFuelSurcharge),2),ROUND((((1-GroundAKHIDiscount)*'Ground Base'!J95)+GroundResidentialFee)*(1+GroundFuelSurcharge),2)))*(1+FedEx_Markup),2)</f>
        <v>457.91</v>
      </c>
      <c r="K100" s="218">
        <f>ROUND((IF('Ground Base'!K$154&gt;ROUND(((1-GroundZone51Discount)*'Ground Base'!K95),2),ROUND(('Ground Base'!K$154+GroundResidentialFee)*(1+GroundFuelSurcharge),2),ROUND((((1-GroundZone51Discount)*'Ground Base'!K95)+GroundResidentialFee)*(1+GroundFuelSurcharge),2)))*(1+FedEx_Markup),2)</f>
        <v>115.31</v>
      </c>
      <c r="L100" s="218">
        <f>ROUND((IF('Ground Base'!L$154&gt;ROUND(((1-GroundZone54Discount)*'Ground Base'!L95),2),ROUND(('Ground Base'!L$154+GroundResidentialFee)*(1+GroundFuelSurcharge),2),ROUND((((1-GroundZone54Discount)*'Ground Base'!L95)+GroundResidentialFee)*(1+GroundFuelSurcharge),2)))*(1+FedEx_Markup),2)</f>
        <v>147.49</v>
      </c>
    </row>
    <row r="101" spans="1:12" ht="12.75" customHeight="1">
      <c r="A101" s="217">
        <v>94</v>
      </c>
      <c r="B101" s="218">
        <f ca="1">IFERROR(__xludf.DUMMYFUNCTION("ROUND((IF(SINGLE('Ground Base'!B$154)&gt;ROUND(((1-GroundResDiscount31Up-GroundResIncentive)*'Ground Base'!B96),2),ROUND((SINGLE('Ground Base'!B$154)+GroundResidentialFee)*(1+GroundFuelSurcharge),2),ROUND((((1-GroundResDiscount31Up-GroundResIncentive)*'Groun"&amp;"d Base'!B96)+GroundResidentialFee)*(1+GroundFuelSurcharge),2)))*(1+FedEx_Markup),2)"),43.94)</f>
        <v>43.94</v>
      </c>
      <c r="C101" s="218">
        <f ca="1">IFERROR(__xludf.DUMMYFUNCTION("ROUND((IF(SINGLE('Ground Base'!C$154)&gt;ROUND(((1-GroundResDiscount31Up-GroundResIncentive)*'Ground Base'!C96),2),ROUND((SINGLE('Ground Base'!C$154)+GroundResidentialFee)*(1+GroundFuelSurcharge),2),ROUND((((1-GroundResDiscount31Up-GroundResIncentive)*'Groun"&amp;"d Base'!C96)+GroundResidentialFee)*(1+GroundFuelSurcharge),2)))*(1+FedEx_Markup),2)"),45.9)</f>
        <v>45.9</v>
      </c>
      <c r="D101" s="218">
        <f ca="1">IFERROR(__xludf.DUMMYFUNCTION("ROUND((IF(SINGLE('Ground Base'!D$154)&gt;ROUND(((1-GroundResDiscount31Up-GroundResIncentive)*'Ground Base'!D96),2),ROUND((SINGLE('Ground Base'!D$154)+GroundResidentialFee)*(1+GroundFuelSurcharge),2),ROUND((((1-GroundResDiscount31Up-GroundResIncentive)*'Groun"&amp;"d Base'!D96)+GroundResidentialFee)*(1+GroundFuelSurcharge),2)))*(1+FedEx_Markup),2)"),49.88)</f>
        <v>49.88</v>
      </c>
      <c r="E101" s="218">
        <f ca="1">IFERROR(__xludf.DUMMYFUNCTION("ROUND((IF(SINGLE('Ground Base'!E$154)&gt;ROUND(((1-GroundResDiscount31Up-GroundResIncentive)*'Ground Base'!E96),2),ROUND((SINGLE('Ground Base'!E$154)+GroundResidentialFee)*(1+GroundFuelSurcharge),2),ROUND((((1-GroundResDiscount31Up-GroundResIncentive)*'Groun"&amp;"d Base'!E96)+GroundResidentialFee)*(1+GroundFuelSurcharge),2)))*(1+FedEx_Markup),2)"),54.53)</f>
        <v>54.53</v>
      </c>
      <c r="F101" s="218">
        <f ca="1">IFERROR(__xludf.DUMMYFUNCTION("ROUND((IF(SINGLE('Ground Base'!F$154)&gt;ROUND(((1-GroundResDiscount31Up-GroundResIncentive)*'Ground Base'!F96),2),ROUND((SINGLE('Ground Base'!F$154)+GroundResidentialFee)*(1+GroundFuelSurcharge),2),ROUND((((1-GroundResDiscount31Up-GroundResIncentive)*'Groun"&amp;"d Base'!F96)+GroundResidentialFee)*(1+GroundFuelSurcharge),2)))*(1+FedEx_Markup),2)"),64.91)</f>
        <v>64.91</v>
      </c>
      <c r="G101" s="218">
        <f ca="1">IFERROR(__xludf.DUMMYFUNCTION("ROUND((IF(SINGLE('Ground Base'!G$154)&gt;ROUND(((1-GroundResDiscount31Up-GroundResIncentive)*'Ground Base'!G96),2),ROUND((SINGLE('Ground Base'!G$154)+GroundResidentialFee)*(1+GroundFuelSurcharge),2),ROUND((((1-GroundResDiscount31Up-GroundResIncentive)*'Groun"&amp;"d Base'!G96)+GroundResidentialFee)*(1+GroundFuelSurcharge),2)))*(1+FedEx_Markup),2)"),73.07)</f>
        <v>73.069999999999993</v>
      </c>
      <c r="H101" s="218">
        <f ca="1">IFERROR(__xludf.DUMMYFUNCTION("ROUND((IF(SINGLE('Ground Base'!H$154)&gt;ROUND(((1-GroundResDiscount31Up-GroundResIncentive)*'Ground Base'!H96),2),ROUND((SINGLE('Ground Base'!H$154)+GroundResidentialFee)*(1+GroundFuelSurcharge),2),ROUND((((1-GroundResDiscount31Up-GroundResIncentive)*'Groun"&amp;"d Base'!H96)+GroundResidentialFee)*(1+GroundFuelSurcharge),2)))*(1+FedEx_Markup),2)"),78.46)</f>
        <v>78.459999999999994</v>
      </c>
      <c r="I101" s="218">
        <f>ROUND((IF('Ground Base'!I$154&gt;ROUND(((1-GroundAKHIDiscount)*'Ground Base'!I96),2),ROUND(('Ground Base'!I$154+GroundResidentialFee)*(1+GroundFuelSurcharge),2),ROUND((((1-GroundAKHIDiscount)*'Ground Base'!I96)+GroundResidentialFee)*(1+GroundFuelSurcharge),2)))*(1+FedEx_Markup),2)</f>
        <v>466.52</v>
      </c>
      <c r="J101" s="218">
        <f>ROUND((IF('Ground Base'!J$154&gt;ROUND(((1-GroundAKHIDiscount)*'Ground Base'!J96),2),ROUND(('Ground Base'!J$154+GroundResidentialFee)*(1+GroundFuelSurcharge),2),ROUND((((1-GroundAKHIDiscount)*'Ground Base'!J96)+GroundResidentialFee)*(1+GroundFuelSurcharge),2)))*(1+FedEx_Markup),2)</f>
        <v>466.52</v>
      </c>
      <c r="K101" s="218">
        <f>ROUND((IF('Ground Base'!K$154&gt;ROUND(((1-GroundZone51Discount)*'Ground Base'!K96),2),ROUND(('Ground Base'!K$154+GroundResidentialFee)*(1+GroundFuelSurcharge),2),ROUND((((1-GroundZone51Discount)*'Ground Base'!K96)+GroundResidentialFee)*(1+GroundFuelSurcharge),2)))*(1+FedEx_Markup),2)</f>
        <v>115.31</v>
      </c>
      <c r="L101" s="218">
        <f>ROUND((IF('Ground Base'!L$154&gt;ROUND(((1-GroundZone54Discount)*'Ground Base'!L96),2),ROUND(('Ground Base'!L$154+GroundResidentialFee)*(1+GroundFuelSurcharge),2),ROUND((((1-GroundZone54Discount)*'Ground Base'!L96)+GroundResidentialFee)*(1+GroundFuelSurcharge),2)))*(1+FedEx_Markup),2)</f>
        <v>147.5</v>
      </c>
    </row>
    <row r="102" spans="1:12" ht="12.75" customHeight="1">
      <c r="A102" s="217">
        <v>95</v>
      </c>
      <c r="B102" s="218">
        <f ca="1">IFERROR(__xludf.DUMMYFUNCTION("ROUND((IF(SINGLE('Ground Base'!B$154)&gt;ROUND(((1-GroundResDiscount31Up-GroundResIncentive)*'Ground Base'!B97),2),ROUND((SINGLE('Ground Base'!B$154)+GroundResidentialFee)*(1+GroundFuelSurcharge),2),ROUND((((1-GroundResDiscount31Up-GroundResIncentive)*'Groun"&amp;"d Base'!B97)+GroundResidentialFee)*(1+GroundFuelSurcharge),2)))*(1+FedEx_Markup),2)"),44.49)</f>
        <v>44.49</v>
      </c>
      <c r="C102" s="218">
        <f ca="1">IFERROR(__xludf.DUMMYFUNCTION("ROUND((IF(SINGLE('Ground Base'!C$154)&gt;ROUND(((1-GroundResDiscount31Up-GroundResIncentive)*'Ground Base'!C97),2),ROUND((SINGLE('Ground Base'!C$154)+GroundResidentialFee)*(1+GroundFuelSurcharge),2),ROUND((((1-GroundResDiscount31Up-GroundResIncentive)*'Groun"&amp;"d Base'!C97)+GroundResidentialFee)*(1+GroundFuelSurcharge),2)))*(1+FedEx_Markup),2)"),46.28)</f>
        <v>46.28</v>
      </c>
      <c r="D102" s="218">
        <f ca="1">IFERROR(__xludf.DUMMYFUNCTION("ROUND((IF(SINGLE('Ground Base'!D$154)&gt;ROUND(((1-GroundResDiscount31Up-GroundResIncentive)*'Ground Base'!D97),2),ROUND((SINGLE('Ground Base'!D$154)+GroundResidentialFee)*(1+GroundFuelSurcharge),2),ROUND((((1-GroundResDiscount31Up-GroundResIncentive)*'Groun"&amp;"d Base'!D97)+GroundResidentialFee)*(1+GroundFuelSurcharge),2)))*(1+FedEx_Markup),2)"),50.19)</f>
        <v>50.19</v>
      </c>
      <c r="E102" s="218">
        <f ca="1">IFERROR(__xludf.DUMMYFUNCTION("ROUND((IF(SINGLE('Ground Base'!E$154)&gt;ROUND(((1-GroundResDiscount31Up-GroundResIncentive)*'Ground Base'!E97),2),ROUND((SINGLE('Ground Base'!E$154)+GroundResidentialFee)*(1+GroundFuelSurcharge),2),ROUND((((1-GroundResDiscount31Up-GroundResIncentive)*'Groun"&amp;"d Base'!E97)+GroundResidentialFee)*(1+GroundFuelSurcharge),2)))*(1+FedEx_Markup),2)"),55.23)</f>
        <v>55.23</v>
      </c>
      <c r="F102" s="218">
        <f ca="1">IFERROR(__xludf.DUMMYFUNCTION("ROUND((IF(SINGLE('Ground Base'!F$154)&gt;ROUND(((1-GroundResDiscount31Up-GroundResIncentive)*'Ground Base'!F97),2),ROUND((SINGLE('Ground Base'!F$154)+GroundResidentialFee)*(1+GroundFuelSurcharge),2),ROUND((((1-GroundResDiscount31Up-GroundResIncentive)*'Groun"&amp;"d Base'!F97)+GroundResidentialFee)*(1+GroundFuelSurcharge),2)))*(1+FedEx_Markup),2)"),65.09)</f>
        <v>65.09</v>
      </c>
      <c r="G102" s="218">
        <f ca="1">IFERROR(__xludf.DUMMYFUNCTION("ROUND((IF(SINGLE('Ground Base'!G$154)&gt;ROUND(((1-GroundResDiscount31Up-GroundResIncentive)*'Ground Base'!G97),2),ROUND((SINGLE('Ground Base'!G$154)+GroundResidentialFee)*(1+GroundFuelSurcharge),2),ROUND((((1-GroundResDiscount31Up-GroundResIncentive)*'Groun"&amp;"d Base'!G97)+GroundResidentialFee)*(1+GroundFuelSurcharge),2)))*(1+FedEx_Markup),2)"),73.3)</f>
        <v>73.3</v>
      </c>
      <c r="H102" s="218">
        <f ca="1">IFERROR(__xludf.DUMMYFUNCTION("ROUND((IF(SINGLE('Ground Base'!H$154)&gt;ROUND(((1-GroundResDiscount31Up-GroundResIncentive)*'Ground Base'!H97),2),ROUND((SINGLE('Ground Base'!H$154)+GroundResidentialFee)*(1+GroundFuelSurcharge),2),ROUND((((1-GroundResDiscount31Up-GroundResIncentive)*'Groun"&amp;"d Base'!H97)+GroundResidentialFee)*(1+GroundFuelSurcharge),2)))*(1+FedEx_Markup),2)"),79.27)</f>
        <v>79.27</v>
      </c>
      <c r="I102" s="218">
        <f>ROUND((IF('Ground Base'!I$154&gt;ROUND(((1-GroundAKHIDiscount)*'Ground Base'!I97),2),ROUND(('Ground Base'!I$154+GroundResidentialFee)*(1+GroundFuelSurcharge),2),ROUND((((1-GroundAKHIDiscount)*'Ground Base'!I97)+GroundResidentialFee)*(1+GroundFuelSurcharge),2)))*(1+FedEx_Markup),2)</f>
        <v>471.02</v>
      </c>
      <c r="J102" s="218">
        <f>ROUND((IF('Ground Base'!J$154&gt;ROUND(((1-GroundAKHIDiscount)*'Ground Base'!J97),2),ROUND(('Ground Base'!J$154+GroundResidentialFee)*(1+GroundFuelSurcharge),2),ROUND((((1-GroundAKHIDiscount)*'Ground Base'!J97)+GroundResidentialFee)*(1+GroundFuelSurcharge),2)))*(1+FedEx_Markup),2)</f>
        <v>471.02</v>
      </c>
      <c r="K102" s="218">
        <f>ROUND((IF('Ground Base'!K$154&gt;ROUND(((1-GroundZone51Discount)*'Ground Base'!K97),2),ROUND(('Ground Base'!K$154+GroundResidentialFee)*(1+GroundFuelSurcharge),2),ROUND((((1-GroundZone51Discount)*'Ground Base'!K97)+GroundResidentialFee)*(1+GroundFuelSurcharge),2)))*(1+FedEx_Markup),2)</f>
        <v>116.2</v>
      </c>
      <c r="L102" s="218">
        <f>ROUND((IF('Ground Base'!L$154&gt;ROUND(((1-GroundZone54Discount)*'Ground Base'!L97),2),ROUND(('Ground Base'!L$154+GroundResidentialFee)*(1+GroundFuelSurcharge),2),ROUND((((1-GroundZone54Discount)*'Ground Base'!L97)+GroundResidentialFee)*(1+GroundFuelSurcharge),2)))*(1+FedEx_Markup),2)</f>
        <v>149.91</v>
      </c>
    </row>
    <row r="103" spans="1:12" ht="12.75" customHeight="1">
      <c r="A103" s="217">
        <v>96</v>
      </c>
      <c r="B103" s="218">
        <f ca="1">IFERROR(__xludf.DUMMYFUNCTION("ROUND((IF(SINGLE('Ground Base'!B$154)&gt;ROUND(((1-GroundResDiscount31Up-GroundResIncentive)*'Ground Base'!B98),2),ROUND((SINGLE('Ground Base'!B$154)+GroundResidentialFee)*(1+GroundFuelSurcharge),2),ROUND((((1-GroundResDiscount31Up-GroundResIncentive)*'Groun"&amp;"d Base'!B98)+GroundResidentialFee)*(1+GroundFuelSurcharge),2)))*(1+FedEx_Markup),2)"),45.82)</f>
        <v>45.82</v>
      </c>
      <c r="C103" s="218">
        <f ca="1">IFERROR(__xludf.DUMMYFUNCTION("ROUND((IF(SINGLE('Ground Base'!C$154)&gt;ROUND(((1-GroundResDiscount31Up-GroundResIncentive)*'Ground Base'!C98),2),ROUND((SINGLE('Ground Base'!C$154)+GroundResidentialFee)*(1+GroundFuelSurcharge),2),ROUND((((1-GroundResDiscount31Up-GroundResIncentive)*'Groun"&amp;"d Base'!C98)+GroundResidentialFee)*(1+GroundFuelSurcharge),2)))*(1+FedEx_Markup),2)"),46.56)</f>
        <v>46.56</v>
      </c>
      <c r="D103" s="218">
        <f ca="1">IFERROR(__xludf.DUMMYFUNCTION("ROUND((IF(SINGLE('Ground Base'!D$154)&gt;ROUND(((1-GroundResDiscount31Up-GroundResIncentive)*'Ground Base'!D98),2),ROUND((SINGLE('Ground Base'!D$154)+GroundResidentialFee)*(1+GroundFuelSurcharge),2),ROUND((((1-GroundResDiscount31Up-GroundResIncentive)*'Groun"&amp;"d Base'!D98)+GroundResidentialFee)*(1+GroundFuelSurcharge),2)))*(1+FedEx_Markup),2)"),51.89)</f>
        <v>51.89</v>
      </c>
      <c r="E103" s="218">
        <f ca="1">IFERROR(__xludf.DUMMYFUNCTION("ROUND((IF(SINGLE('Ground Base'!E$154)&gt;ROUND(((1-GroundResDiscount31Up-GroundResIncentive)*'Ground Base'!E98),2),ROUND((SINGLE('Ground Base'!E$154)+GroundResidentialFee)*(1+GroundFuelSurcharge),2),ROUND((((1-GroundResDiscount31Up-GroundResIncentive)*'Groun"&amp;"d Base'!E98)+GroundResidentialFee)*(1+GroundFuelSurcharge),2)))*(1+FedEx_Markup),2)"),55.8)</f>
        <v>55.8</v>
      </c>
      <c r="F103" s="218">
        <f ca="1">IFERROR(__xludf.DUMMYFUNCTION("ROUND((IF(SINGLE('Ground Base'!F$154)&gt;ROUND(((1-GroundResDiscount31Up-GroundResIncentive)*'Ground Base'!F98),2),ROUND((SINGLE('Ground Base'!F$154)+GroundResidentialFee)*(1+GroundFuelSurcharge),2),ROUND((((1-GroundResDiscount31Up-GroundResIncentive)*'Groun"&amp;"d Base'!F98)+GroundResidentialFee)*(1+GroundFuelSurcharge),2)))*(1+FedEx_Markup),2)"),65.09)</f>
        <v>65.09</v>
      </c>
      <c r="G103" s="218">
        <f ca="1">IFERROR(__xludf.DUMMYFUNCTION("ROUND((IF(SINGLE('Ground Base'!G$154)&gt;ROUND(((1-GroundResDiscount31Up-GroundResIncentive)*'Ground Base'!G98),2),ROUND((SINGLE('Ground Base'!G$154)+GroundResidentialFee)*(1+GroundFuelSurcharge),2),ROUND((((1-GroundResDiscount31Up-GroundResIncentive)*'Groun"&amp;"d Base'!G98)+GroundResidentialFee)*(1+GroundFuelSurcharge),2)))*(1+FedEx_Markup),2)"),73.31)</f>
        <v>73.31</v>
      </c>
      <c r="H103" s="218">
        <f ca="1">IFERROR(__xludf.DUMMYFUNCTION("ROUND((IF(SINGLE('Ground Base'!H$154)&gt;ROUND(((1-GroundResDiscount31Up-GroundResIncentive)*'Ground Base'!H98),2),ROUND((SINGLE('Ground Base'!H$154)+GroundResidentialFee)*(1+GroundFuelSurcharge),2),ROUND((((1-GroundResDiscount31Up-GroundResIncentive)*'Groun"&amp;"d Base'!H98)+GroundResidentialFee)*(1+GroundFuelSurcharge),2)))*(1+FedEx_Markup),2)"),80.03)</f>
        <v>80.03</v>
      </c>
      <c r="I103" s="218">
        <f>ROUND((IF('Ground Base'!I$154&gt;ROUND(((1-GroundAKHIDiscount)*'Ground Base'!I98),2),ROUND(('Ground Base'!I$154+GroundResidentialFee)*(1+GroundFuelSurcharge),2),ROUND((((1-GroundAKHIDiscount)*'Ground Base'!I98)+GroundResidentialFee)*(1+GroundFuelSurcharge),2)))*(1+FedEx_Markup),2)</f>
        <v>475.3</v>
      </c>
      <c r="J103" s="218">
        <f>ROUND((IF('Ground Base'!J$154&gt;ROUND(((1-GroundAKHIDiscount)*'Ground Base'!J98),2),ROUND(('Ground Base'!J$154+GroundResidentialFee)*(1+GroundFuelSurcharge),2),ROUND((((1-GroundAKHIDiscount)*'Ground Base'!J98)+GroundResidentialFee)*(1+GroundFuelSurcharge),2)))*(1+FedEx_Markup),2)</f>
        <v>475.3</v>
      </c>
      <c r="K103" s="218">
        <f>ROUND((IF('Ground Base'!K$154&gt;ROUND(((1-GroundZone51Discount)*'Ground Base'!K98),2),ROUND(('Ground Base'!K$154+GroundResidentialFee)*(1+GroundFuelSurcharge),2),ROUND((((1-GroundZone51Discount)*'Ground Base'!K98)+GroundResidentialFee)*(1+GroundFuelSurcharge),2)))*(1+FedEx_Markup),2)</f>
        <v>116.2</v>
      </c>
      <c r="L103" s="218">
        <f>ROUND((IF('Ground Base'!L$154&gt;ROUND(((1-GroundZone54Discount)*'Ground Base'!L98),2),ROUND(('Ground Base'!L$154+GroundResidentialFee)*(1+GroundFuelSurcharge),2),ROUND((((1-GroundZone54Discount)*'Ground Base'!L98)+GroundResidentialFee)*(1+GroundFuelSurcharge),2)))*(1+FedEx_Markup),2)</f>
        <v>149.91</v>
      </c>
    </row>
    <row r="104" spans="1:12" ht="12.75" customHeight="1">
      <c r="A104" s="217">
        <v>97</v>
      </c>
      <c r="B104" s="218">
        <f ca="1">IFERROR(__xludf.DUMMYFUNCTION("ROUND((IF(SINGLE('Ground Base'!B$154)&gt;ROUND(((1-GroundResDiscount31Up-GroundResIncentive)*'Ground Base'!B99),2),ROUND((SINGLE('Ground Base'!B$154)+GroundResidentialFee)*(1+GroundFuelSurcharge),2),ROUND((((1-GroundResDiscount31Up-GroundResIncentive)*'Groun"&amp;"d Base'!B99)+GroundResidentialFee)*(1+GroundFuelSurcharge),2)))*(1+FedEx_Markup),2)"),47.21)</f>
        <v>47.21</v>
      </c>
      <c r="C104" s="218">
        <f ca="1">IFERROR(__xludf.DUMMYFUNCTION("ROUND((IF(SINGLE('Ground Base'!C$154)&gt;ROUND(((1-GroundResDiscount31Up-GroundResIncentive)*'Ground Base'!C99),2),ROUND((SINGLE('Ground Base'!C$154)+GroundResidentialFee)*(1+GroundFuelSurcharge),2),ROUND((((1-GroundResDiscount31Up-GroundResIncentive)*'Groun"&amp;"d Base'!C99)+GroundResidentialFee)*(1+GroundFuelSurcharge),2)))*(1+FedEx_Markup),2)"),48.25)</f>
        <v>48.25</v>
      </c>
      <c r="D104" s="218">
        <f ca="1">IFERROR(__xludf.DUMMYFUNCTION("ROUND((IF(SINGLE('Ground Base'!D$154)&gt;ROUND(((1-GroundResDiscount31Up-GroundResIncentive)*'Ground Base'!D99),2),ROUND((SINGLE('Ground Base'!D$154)+GroundResidentialFee)*(1+GroundFuelSurcharge),2),ROUND((((1-GroundResDiscount31Up-GroundResIncentive)*'Groun"&amp;"d Base'!D99)+GroundResidentialFee)*(1+GroundFuelSurcharge),2)))*(1+FedEx_Markup),2)"),52.6)</f>
        <v>52.6</v>
      </c>
      <c r="E104" s="218">
        <f ca="1">IFERROR(__xludf.DUMMYFUNCTION("ROUND((IF(SINGLE('Ground Base'!E$154)&gt;ROUND(((1-GroundResDiscount31Up-GroundResIncentive)*'Ground Base'!E99),2),ROUND((SINGLE('Ground Base'!E$154)+GroundResidentialFee)*(1+GroundFuelSurcharge),2),ROUND((((1-GroundResDiscount31Up-GroundResIncentive)*'Groun"&amp;"d Base'!E99)+GroundResidentialFee)*(1+GroundFuelSurcharge),2)))*(1+FedEx_Markup),2)"),56.65)</f>
        <v>56.65</v>
      </c>
      <c r="F104" s="218">
        <f ca="1">IFERROR(__xludf.DUMMYFUNCTION("ROUND((IF(SINGLE('Ground Base'!F$154)&gt;ROUND(((1-GroundResDiscount31Up-GroundResIncentive)*'Ground Base'!F99),2),ROUND((SINGLE('Ground Base'!F$154)+GroundResidentialFee)*(1+GroundFuelSurcharge),2),ROUND((((1-GroundResDiscount31Up-GroundResIncentive)*'Groun"&amp;"d Base'!F99)+GroundResidentialFee)*(1+GroundFuelSurcharge),2)))*(1+FedEx_Markup),2)"),66.42)</f>
        <v>66.42</v>
      </c>
      <c r="G104" s="218">
        <f ca="1">IFERROR(__xludf.DUMMYFUNCTION("ROUND((IF(SINGLE('Ground Base'!G$154)&gt;ROUND(((1-GroundResDiscount31Up-GroundResIncentive)*'Ground Base'!G99),2),ROUND((SINGLE('Ground Base'!G$154)+GroundResidentialFee)*(1+GroundFuelSurcharge),2),ROUND((((1-GroundResDiscount31Up-GroundResIncentive)*'Groun"&amp;"d Base'!G99)+GroundResidentialFee)*(1+GroundFuelSurcharge),2)))*(1+FedEx_Markup),2)"),74.31)</f>
        <v>74.31</v>
      </c>
      <c r="H104" s="218">
        <f ca="1">IFERROR(__xludf.DUMMYFUNCTION("ROUND((IF(SINGLE('Ground Base'!H$154)&gt;ROUND(((1-GroundResDiscount31Up-GroundResIncentive)*'Ground Base'!H99),2),ROUND((SINGLE('Ground Base'!H$154)+GroundResidentialFee)*(1+GroundFuelSurcharge),2),ROUND((((1-GroundResDiscount31Up-GroundResIncentive)*'Groun"&amp;"d Base'!H99)+GroundResidentialFee)*(1+GroundFuelSurcharge),2)))*(1+FedEx_Markup),2)"),81.54)</f>
        <v>81.540000000000006</v>
      </c>
      <c r="I104" s="218">
        <f>ROUND((IF('Ground Base'!I$154&gt;ROUND(((1-GroundAKHIDiscount)*'Ground Base'!I99),2),ROUND(('Ground Base'!I$154+GroundResidentialFee)*(1+GroundFuelSurcharge),2),ROUND((((1-GroundAKHIDiscount)*'Ground Base'!I99)+GroundResidentialFee)*(1+GroundFuelSurcharge),2)))*(1+FedEx_Markup),2)</f>
        <v>479.8</v>
      </c>
      <c r="J104" s="218">
        <f>ROUND((IF('Ground Base'!J$154&gt;ROUND(((1-GroundAKHIDiscount)*'Ground Base'!J99),2),ROUND(('Ground Base'!J$154+GroundResidentialFee)*(1+GroundFuelSurcharge),2),ROUND((((1-GroundAKHIDiscount)*'Ground Base'!J99)+GroundResidentialFee)*(1+GroundFuelSurcharge),2)))*(1+FedEx_Markup),2)</f>
        <v>479.8</v>
      </c>
      <c r="K104" s="218">
        <f>ROUND((IF('Ground Base'!K$154&gt;ROUND(((1-GroundZone51Discount)*'Ground Base'!K99),2),ROUND(('Ground Base'!K$154+GroundResidentialFee)*(1+GroundFuelSurcharge),2),ROUND((((1-GroundZone51Discount)*'Ground Base'!K99)+GroundResidentialFee)*(1+GroundFuelSurcharge),2)))*(1+FedEx_Markup),2)</f>
        <v>116.9</v>
      </c>
      <c r="L104" s="218">
        <f>ROUND((IF('Ground Base'!L$154&gt;ROUND(((1-GroundZone54Discount)*'Ground Base'!L99),2),ROUND(('Ground Base'!L$154+GroundResidentialFee)*(1+GroundFuelSurcharge),2),ROUND((((1-GroundZone54Discount)*'Ground Base'!L99)+GroundResidentialFee)*(1+GroundFuelSurcharge),2)))*(1+FedEx_Markup),2)</f>
        <v>152.47</v>
      </c>
    </row>
    <row r="105" spans="1:12" ht="12.75" customHeight="1">
      <c r="A105" s="217">
        <v>98</v>
      </c>
      <c r="B105" s="218">
        <f ca="1">IFERROR(__xludf.DUMMYFUNCTION("ROUND((IF(SINGLE('Ground Base'!B$154)&gt;ROUND(((1-GroundResDiscount31Up-GroundResIncentive)*'Ground Base'!B100),2),ROUND((SINGLE('Ground Base'!B$154)+GroundResidentialFee)*(1+GroundFuelSurcharge),2),ROUND((((1-GroundResDiscount31Up-GroundResIncentive)*'Grou"&amp;"nd Base'!B100)+GroundResidentialFee)*(1+GroundFuelSurcharge),2)))*(1+FedEx_Markup),2)"),47.79)</f>
        <v>47.79</v>
      </c>
      <c r="C105" s="218">
        <f ca="1">IFERROR(__xludf.DUMMYFUNCTION("ROUND((IF(SINGLE('Ground Base'!C$154)&gt;ROUND(((1-GroundResDiscount31Up-GroundResIncentive)*'Ground Base'!C100),2),ROUND((SINGLE('Ground Base'!C$154)+GroundResidentialFee)*(1+GroundFuelSurcharge),2),ROUND((((1-GroundResDiscount31Up-GroundResIncentive)*'Grou"&amp;"nd Base'!C100)+GroundResidentialFee)*(1+GroundFuelSurcharge),2)))*(1+FedEx_Markup),2)"),48.55)</f>
        <v>48.55</v>
      </c>
      <c r="D105" s="218">
        <f ca="1">IFERROR(__xludf.DUMMYFUNCTION("ROUND((IF(SINGLE('Ground Base'!D$154)&gt;ROUND(((1-GroundResDiscount31Up-GroundResIncentive)*'Ground Base'!D100),2),ROUND((SINGLE('Ground Base'!D$154)+GroundResidentialFee)*(1+GroundFuelSurcharge),2),ROUND((((1-GroundResDiscount31Up-GroundResIncentive)*'Grou"&amp;"nd Base'!D100)+GroundResidentialFee)*(1+GroundFuelSurcharge),2)))*(1+FedEx_Markup),2)"),52.6)</f>
        <v>52.6</v>
      </c>
      <c r="E105" s="218">
        <f ca="1">IFERROR(__xludf.DUMMYFUNCTION("ROUND((IF(SINGLE('Ground Base'!E$154)&gt;ROUND(((1-GroundResDiscount31Up-GroundResIncentive)*'Ground Base'!E100),2),ROUND((SINGLE('Ground Base'!E$154)+GroundResidentialFee)*(1+GroundFuelSurcharge),2),ROUND((((1-GroundResDiscount31Up-GroundResIncentive)*'Grou"&amp;"nd Base'!E100)+GroundResidentialFee)*(1+GroundFuelSurcharge),2)))*(1+FedEx_Markup),2)"),57.27)</f>
        <v>57.27</v>
      </c>
      <c r="F105" s="218">
        <f ca="1">IFERROR(__xludf.DUMMYFUNCTION("ROUND((IF(SINGLE('Ground Base'!F$154)&gt;ROUND(((1-GroundResDiscount31Up-GroundResIncentive)*'Ground Base'!F100),2),ROUND((SINGLE('Ground Base'!F$154)+GroundResidentialFee)*(1+GroundFuelSurcharge),2),ROUND((((1-GroundResDiscount31Up-GroundResIncentive)*'Grou"&amp;"nd Base'!F100)+GroundResidentialFee)*(1+GroundFuelSurcharge),2)))*(1+FedEx_Markup),2)"),67.14)</f>
        <v>67.14</v>
      </c>
      <c r="G105" s="218">
        <f ca="1">IFERROR(__xludf.DUMMYFUNCTION("ROUND((IF(SINGLE('Ground Base'!G$154)&gt;ROUND(((1-GroundResDiscount31Up-GroundResIncentive)*'Ground Base'!G100),2),ROUND((SINGLE('Ground Base'!G$154)+GroundResidentialFee)*(1+GroundFuelSurcharge),2),ROUND((((1-GroundResDiscount31Up-GroundResIncentive)*'Grou"&amp;"nd Base'!G100)+GroundResidentialFee)*(1+GroundFuelSurcharge),2)))*(1+FedEx_Markup),2)"),74.32)</f>
        <v>74.319999999999993</v>
      </c>
      <c r="H105" s="218">
        <f ca="1">IFERROR(__xludf.DUMMYFUNCTION("ROUND((IF(SINGLE('Ground Base'!H$154)&gt;ROUND(((1-GroundResDiscount31Up-GroundResIncentive)*'Ground Base'!H100),2),ROUND((SINGLE('Ground Base'!H$154)+GroundResidentialFee)*(1+GroundFuelSurcharge),2),ROUND((((1-GroundResDiscount31Up-GroundResIncentive)*'Grou"&amp;"nd Base'!H100)+GroundResidentialFee)*(1+GroundFuelSurcharge),2)))*(1+FedEx_Markup),2)"),81.55)</f>
        <v>81.55</v>
      </c>
      <c r="I105" s="218">
        <f>ROUND((IF('Ground Base'!I$154&gt;ROUND(((1-GroundAKHIDiscount)*'Ground Base'!I100),2),ROUND(('Ground Base'!I$154+GroundResidentialFee)*(1+GroundFuelSurcharge),2),ROUND((((1-GroundAKHIDiscount)*'Ground Base'!I100)+GroundResidentialFee)*(1+GroundFuelSurcharge),2)))*(1+FedEx_Markup),2)</f>
        <v>484.02</v>
      </c>
      <c r="J105" s="218">
        <f>ROUND((IF('Ground Base'!J$154&gt;ROUND(((1-GroundAKHIDiscount)*'Ground Base'!J100),2),ROUND(('Ground Base'!J$154+GroundResidentialFee)*(1+GroundFuelSurcharge),2),ROUND((((1-GroundAKHIDiscount)*'Ground Base'!J100)+GroundResidentialFee)*(1+GroundFuelSurcharge),2)))*(1+FedEx_Markup),2)</f>
        <v>484.02</v>
      </c>
      <c r="K105" s="218">
        <f>ROUND((IF('Ground Base'!K$154&gt;ROUND(((1-GroundZone51Discount)*'Ground Base'!K100),2),ROUND(('Ground Base'!K$154+GroundResidentialFee)*(1+GroundFuelSurcharge),2),ROUND((((1-GroundZone51Discount)*'Ground Base'!K100)+GroundResidentialFee)*(1+GroundFuelSurcharge),2)))*(1+FedEx_Markup),2)</f>
        <v>116.91</v>
      </c>
      <c r="L105" s="218">
        <f>ROUND((IF('Ground Base'!L$154&gt;ROUND(((1-GroundZone54Discount)*'Ground Base'!L100),2),ROUND(('Ground Base'!L$154+GroundResidentialFee)*(1+GroundFuelSurcharge),2),ROUND((((1-GroundZone54Discount)*'Ground Base'!L100)+GroundResidentialFee)*(1+GroundFuelSurcharge),2)))*(1+FedEx_Markup),2)</f>
        <v>152.47999999999999</v>
      </c>
    </row>
    <row r="106" spans="1:12" ht="12.75" customHeight="1">
      <c r="A106" s="217">
        <v>99</v>
      </c>
      <c r="B106" s="218">
        <f ca="1">IFERROR(__xludf.DUMMYFUNCTION("ROUND((IF(SINGLE('Ground Base'!B$154)&gt;ROUND(((1-GroundResDiscount31Up-GroundResIncentive)*'Ground Base'!B101),2),ROUND((SINGLE('Ground Base'!B$154)+GroundResidentialFee)*(1+GroundFuelSurcharge),2),ROUND((((1-GroundResDiscount31Up-GroundResIncentive)*'Grou"&amp;"nd Base'!B101)+GroundResidentialFee)*(1+GroundFuelSurcharge),2)))*(1+FedEx_Markup),2)"),48.4)</f>
        <v>48.4</v>
      </c>
      <c r="C106" s="218">
        <f ca="1">IFERROR(__xludf.DUMMYFUNCTION("ROUND((IF(SINGLE('Ground Base'!C$154)&gt;ROUND(((1-GroundResDiscount31Up-GroundResIncentive)*'Ground Base'!C101),2),ROUND((SINGLE('Ground Base'!C$154)+GroundResidentialFee)*(1+GroundFuelSurcharge),2),ROUND((((1-GroundResDiscount31Up-GroundResIncentive)*'Grou"&amp;"nd Base'!C101)+GroundResidentialFee)*(1+GroundFuelSurcharge),2)))*(1+FedEx_Markup),2)"),48.82)</f>
        <v>48.82</v>
      </c>
      <c r="D106" s="218">
        <f ca="1">IFERROR(__xludf.DUMMYFUNCTION("ROUND((IF(SINGLE('Ground Base'!D$154)&gt;ROUND(((1-GroundResDiscount31Up-GroundResIncentive)*'Ground Base'!D101),2),ROUND((SINGLE('Ground Base'!D$154)+GroundResidentialFee)*(1+GroundFuelSurcharge),2),ROUND((((1-GroundResDiscount31Up-GroundResIncentive)*'Grou"&amp;"nd Base'!D101)+GroundResidentialFee)*(1+GroundFuelSurcharge),2)))*(1+FedEx_Markup),2)"),53.52)</f>
        <v>53.52</v>
      </c>
      <c r="E106" s="218">
        <f ca="1">IFERROR(__xludf.DUMMYFUNCTION("ROUND((IF(SINGLE('Ground Base'!E$154)&gt;ROUND(((1-GroundResDiscount31Up-GroundResIncentive)*'Ground Base'!E101),2),ROUND((SINGLE('Ground Base'!E$154)+GroundResidentialFee)*(1+GroundFuelSurcharge),2),ROUND((((1-GroundResDiscount31Up-GroundResIncentive)*'Grou"&amp;"nd Base'!E101)+GroundResidentialFee)*(1+GroundFuelSurcharge),2)))*(1+FedEx_Markup),2)"),57.95)</f>
        <v>57.95</v>
      </c>
      <c r="F106" s="218">
        <f ca="1">IFERROR(__xludf.DUMMYFUNCTION("ROUND((IF(SINGLE('Ground Base'!F$154)&gt;ROUND(((1-GroundResDiscount31Up-GroundResIncentive)*'Ground Base'!F101),2),ROUND((SINGLE('Ground Base'!F$154)+GroundResidentialFee)*(1+GroundFuelSurcharge),2),ROUND((((1-GroundResDiscount31Up-GroundResIncentive)*'Grou"&amp;"nd Base'!F101)+GroundResidentialFee)*(1+GroundFuelSurcharge),2)))*(1+FedEx_Markup),2)"),67.28)</f>
        <v>67.28</v>
      </c>
      <c r="G106" s="218">
        <f ca="1">IFERROR(__xludf.DUMMYFUNCTION("ROUND((IF(SINGLE('Ground Base'!G$154)&gt;ROUND(((1-GroundResDiscount31Up-GroundResIncentive)*'Ground Base'!G101),2),ROUND((SINGLE('Ground Base'!G$154)+GroundResidentialFee)*(1+GroundFuelSurcharge),2),ROUND((((1-GroundResDiscount31Up-GroundResIncentive)*'Grou"&amp;"nd Base'!G101)+GroundResidentialFee)*(1+GroundFuelSurcharge),2)))*(1+FedEx_Markup),2)"),75.04)</f>
        <v>75.040000000000006</v>
      </c>
      <c r="H106" s="218">
        <f ca="1">IFERROR(__xludf.DUMMYFUNCTION("ROUND((IF(SINGLE('Ground Base'!H$154)&gt;ROUND(((1-GroundResDiscount31Up-GroundResIncentive)*'Ground Base'!H101),2),ROUND((SINGLE('Ground Base'!H$154)+GroundResidentialFee)*(1+GroundFuelSurcharge),2),ROUND((((1-GroundResDiscount31Up-GroundResIncentive)*'Grou"&amp;"nd Base'!H101)+GroundResidentialFee)*(1+GroundFuelSurcharge),2)))*(1+FedEx_Markup),2)"),82.34)</f>
        <v>82.34</v>
      </c>
      <c r="I106" s="218">
        <f>ROUND((IF('Ground Base'!I$154&gt;ROUND(((1-GroundAKHIDiscount)*'Ground Base'!I101),2),ROUND(('Ground Base'!I$154+GroundResidentialFee)*(1+GroundFuelSurcharge),2),ROUND((((1-GroundAKHIDiscount)*'Ground Base'!I101)+GroundResidentialFee)*(1+GroundFuelSurcharge),2)))*(1+FedEx_Markup),2)</f>
        <v>488.53</v>
      </c>
      <c r="J106" s="218">
        <f>ROUND((IF('Ground Base'!J$154&gt;ROUND(((1-GroundAKHIDiscount)*'Ground Base'!J101),2),ROUND(('Ground Base'!J$154+GroundResidentialFee)*(1+GroundFuelSurcharge),2),ROUND((((1-GroundAKHIDiscount)*'Ground Base'!J101)+GroundResidentialFee)*(1+GroundFuelSurcharge),2)))*(1+FedEx_Markup),2)</f>
        <v>488.53</v>
      </c>
      <c r="K106" s="218">
        <f>ROUND((IF('Ground Base'!K$154&gt;ROUND(((1-GroundZone51Discount)*'Ground Base'!K101),2),ROUND(('Ground Base'!K$154+GroundResidentialFee)*(1+GroundFuelSurcharge),2),ROUND((((1-GroundZone51Discount)*'Ground Base'!K101)+GroundResidentialFee)*(1+GroundFuelSurcharge),2)))*(1+FedEx_Markup),2)</f>
        <v>117.46</v>
      </c>
      <c r="L106" s="218">
        <f>ROUND((IF('Ground Base'!L$154&gt;ROUND(((1-GroundZone54Discount)*'Ground Base'!L101),2),ROUND(('Ground Base'!L$154+GroundResidentialFee)*(1+GroundFuelSurcharge),2),ROUND((((1-GroundZone54Discount)*'Ground Base'!L101)+GroundResidentialFee)*(1+GroundFuelSurcharge),2)))*(1+FedEx_Markup),2)</f>
        <v>154.61000000000001</v>
      </c>
    </row>
    <row r="107" spans="1:12" ht="12.75" customHeight="1">
      <c r="A107" s="217">
        <v>100</v>
      </c>
      <c r="B107" s="218">
        <f ca="1">IFERROR(__xludf.DUMMYFUNCTION("ROUND((IF(SINGLE('Ground Base'!B$154)&gt;ROUND(((1-GroundResDiscount31Up-GroundResIncentive)*'Ground Base'!B102),2),ROUND((SINGLE('Ground Base'!B$154)+GroundResidentialFee)*(1+GroundFuelSurcharge),2),ROUND((((1-GroundResDiscount31Up-GroundResIncentive)*'Grou"&amp;"nd Base'!B102)+GroundResidentialFee)*(1+GroundFuelSurcharge),2)))*(1+FedEx_Markup),2)"),49.16)</f>
        <v>49.16</v>
      </c>
      <c r="C107" s="218">
        <f ca="1">IFERROR(__xludf.DUMMYFUNCTION("ROUND((IF(SINGLE('Ground Base'!C$154)&gt;ROUND(((1-GroundResDiscount31Up-GroundResIncentive)*'Ground Base'!C102),2),ROUND((SINGLE('Ground Base'!C$154)+GroundResidentialFee)*(1+GroundFuelSurcharge),2),ROUND((((1-GroundResDiscount31Up-GroundResIncentive)*'Grou"&amp;"nd Base'!C102)+GroundResidentialFee)*(1+GroundFuelSurcharge),2)))*(1+FedEx_Markup),2)"),49.58)</f>
        <v>49.58</v>
      </c>
      <c r="D107" s="218">
        <f ca="1">IFERROR(__xludf.DUMMYFUNCTION("ROUND((IF(SINGLE('Ground Base'!D$154)&gt;ROUND(((1-GroundResDiscount31Up-GroundResIncentive)*'Ground Base'!D102),2),ROUND((SINGLE('Ground Base'!D$154)+GroundResidentialFee)*(1+GroundFuelSurcharge),2),ROUND((((1-GroundResDiscount31Up-GroundResIncentive)*'Grou"&amp;"nd Base'!D102)+GroundResidentialFee)*(1+GroundFuelSurcharge),2)))*(1+FedEx_Markup),2)"),54)</f>
        <v>54</v>
      </c>
      <c r="E107" s="218">
        <f ca="1">IFERROR(__xludf.DUMMYFUNCTION("ROUND((IF(SINGLE('Ground Base'!E$154)&gt;ROUND(((1-GroundResDiscount31Up-GroundResIncentive)*'Ground Base'!E102),2),ROUND((SINGLE('Ground Base'!E$154)+GroundResidentialFee)*(1+GroundFuelSurcharge),2),ROUND((((1-GroundResDiscount31Up-GroundResIncentive)*'Grou"&amp;"nd Base'!E102)+GroundResidentialFee)*(1+GroundFuelSurcharge),2)))*(1+FedEx_Markup),2)"),58.25)</f>
        <v>58.25</v>
      </c>
      <c r="F107" s="218">
        <f ca="1">IFERROR(__xludf.DUMMYFUNCTION("ROUND((IF(SINGLE('Ground Base'!F$154)&gt;ROUND(((1-GroundResDiscount31Up-GroundResIncentive)*'Ground Base'!F102),2),ROUND((SINGLE('Ground Base'!F$154)+GroundResidentialFee)*(1+GroundFuelSurcharge),2),ROUND((((1-GroundResDiscount31Up-GroundResIncentive)*'Grou"&amp;"nd Base'!F102)+GroundResidentialFee)*(1+GroundFuelSurcharge),2)))*(1+FedEx_Markup),2)"),67.98)</f>
        <v>67.98</v>
      </c>
      <c r="G107" s="218">
        <f ca="1">IFERROR(__xludf.DUMMYFUNCTION("ROUND((IF(SINGLE('Ground Base'!G$154)&gt;ROUND(((1-GroundResDiscount31Up-GroundResIncentive)*'Ground Base'!G102),2),ROUND((SINGLE('Ground Base'!G$154)+GroundResidentialFee)*(1+GroundFuelSurcharge),2),ROUND((((1-GroundResDiscount31Up-GroundResIncentive)*'Grou"&amp;"nd Base'!G102)+GroundResidentialFee)*(1+GroundFuelSurcharge),2)))*(1+FedEx_Markup),2)"),75.08)</f>
        <v>75.08</v>
      </c>
      <c r="H107" s="218">
        <f ca="1">IFERROR(__xludf.DUMMYFUNCTION("ROUND((IF(SINGLE('Ground Base'!H$154)&gt;ROUND(((1-GroundResDiscount31Up-GroundResIncentive)*'Ground Base'!H102),2),ROUND((SINGLE('Ground Base'!H$154)+GroundResidentialFee)*(1+GroundFuelSurcharge),2),ROUND((((1-GroundResDiscount31Up-GroundResIncentive)*'Grou"&amp;"nd Base'!H102)+GroundResidentialFee)*(1+GroundFuelSurcharge),2)))*(1+FedEx_Markup),2)"),82.39)</f>
        <v>82.39</v>
      </c>
      <c r="I107" s="218">
        <f>ROUND((IF('Ground Base'!I$154&gt;ROUND(((1-GroundAKHIDiscount)*'Ground Base'!I102),2),ROUND(('Ground Base'!I$154+GroundResidentialFee)*(1+GroundFuelSurcharge),2),ROUND((((1-GroundAKHIDiscount)*'Ground Base'!I102)+GroundResidentialFee)*(1+GroundFuelSurcharge),2)))*(1+FedEx_Markup),2)</f>
        <v>493.04</v>
      </c>
      <c r="J107" s="218">
        <f>ROUND((IF('Ground Base'!J$154&gt;ROUND(((1-GroundAKHIDiscount)*'Ground Base'!J102),2),ROUND(('Ground Base'!J$154+GroundResidentialFee)*(1+GroundFuelSurcharge),2),ROUND((((1-GroundAKHIDiscount)*'Ground Base'!J102)+GroundResidentialFee)*(1+GroundFuelSurcharge),2)))*(1+FedEx_Markup),2)</f>
        <v>493.04</v>
      </c>
      <c r="K107" s="218">
        <f>ROUND((IF('Ground Base'!K$154&gt;ROUND(((1-GroundZone51Discount)*'Ground Base'!K102),2),ROUND(('Ground Base'!K$154+GroundResidentialFee)*(1+GroundFuelSurcharge),2),ROUND((((1-GroundZone51Discount)*'Ground Base'!K102)+GroundResidentialFee)*(1+GroundFuelSurcharge),2)))*(1+FedEx_Markup),2)</f>
        <v>117.48</v>
      </c>
      <c r="L107" s="218">
        <f>ROUND((IF('Ground Base'!L$154&gt;ROUND(((1-GroundZone54Discount)*'Ground Base'!L102),2),ROUND(('Ground Base'!L$154+GroundResidentialFee)*(1+GroundFuelSurcharge),2),ROUND((((1-GroundZone54Discount)*'Ground Base'!L102)+GroundResidentialFee)*(1+GroundFuelSurcharge),2)))*(1+FedEx_Markup),2)</f>
        <v>154.61000000000001</v>
      </c>
    </row>
    <row r="108" spans="1:12" ht="12.75" customHeight="1">
      <c r="A108" s="217">
        <v>101</v>
      </c>
      <c r="B108" s="218">
        <f ca="1">IFERROR(__xludf.DUMMYFUNCTION("ROUND((IF(SINGLE('Ground Base'!B$154)&gt;ROUND(((1-GroundResDiscount31Up-GroundResIncentive)*'Ground Base'!B103),2),ROUND((SINGLE('Ground Base'!B$154)+GroundResidentialFee)*(1+GroundFuelSurcharge),2),ROUND((((1-GroundResDiscount31Up-GroundResIncentive)*'Grou"&amp;"nd Base'!B103)+GroundResidentialFee)*(1+GroundFuelSurcharge),2)))*(1+FedEx_Markup),2)"),49.48)</f>
        <v>49.48</v>
      </c>
      <c r="C108" s="218">
        <f ca="1">IFERROR(__xludf.DUMMYFUNCTION("ROUND((IF(SINGLE('Ground Base'!C$154)&gt;ROUND(((1-GroundResDiscount31Up-GroundResIncentive)*'Ground Base'!C103),2),ROUND((SINGLE('Ground Base'!C$154)+GroundResidentialFee)*(1+GroundFuelSurcharge),2),ROUND((((1-GroundResDiscount31Up-GroundResIncentive)*'Grou"&amp;"nd Base'!C103)+GroundResidentialFee)*(1+GroundFuelSurcharge),2)))*(1+FedEx_Markup),2)"),50.03)</f>
        <v>50.03</v>
      </c>
      <c r="D108" s="218">
        <f ca="1">IFERROR(__xludf.DUMMYFUNCTION("ROUND((IF(SINGLE('Ground Base'!D$154)&gt;ROUND(((1-GroundResDiscount31Up-GroundResIncentive)*'Ground Base'!D103),2),ROUND((SINGLE('Ground Base'!D$154)+GroundResidentialFee)*(1+GroundFuelSurcharge),2),ROUND((((1-GroundResDiscount31Up-GroundResIncentive)*'Grou"&amp;"nd Base'!D103)+GroundResidentialFee)*(1+GroundFuelSurcharge),2)))*(1+FedEx_Markup),2)"),54.02)</f>
        <v>54.02</v>
      </c>
      <c r="E108" s="218">
        <f ca="1">IFERROR(__xludf.DUMMYFUNCTION("ROUND((IF(SINGLE('Ground Base'!E$154)&gt;ROUND(((1-GroundResDiscount31Up-GroundResIncentive)*'Ground Base'!E103),2),ROUND((SINGLE('Ground Base'!E$154)+GroundResidentialFee)*(1+GroundFuelSurcharge),2),ROUND((((1-GroundResDiscount31Up-GroundResIncentive)*'Grou"&amp;"nd Base'!E103)+GroundResidentialFee)*(1+GroundFuelSurcharge),2)))*(1+FedEx_Markup),2)"),58.77)</f>
        <v>58.77</v>
      </c>
      <c r="F108" s="218">
        <f ca="1">IFERROR(__xludf.DUMMYFUNCTION("ROUND((IF(SINGLE('Ground Base'!F$154)&gt;ROUND(((1-GroundResDiscount31Up-GroundResIncentive)*'Ground Base'!F103),2),ROUND((SINGLE('Ground Base'!F$154)+GroundResidentialFee)*(1+GroundFuelSurcharge),2),ROUND((((1-GroundResDiscount31Up-GroundResIncentive)*'Grou"&amp;"nd Base'!F103)+GroundResidentialFee)*(1+GroundFuelSurcharge),2)))*(1+FedEx_Markup),2)"),68.6)</f>
        <v>68.599999999999994</v>
      </c>
      <c r="G108" s="218">
        <f ca="1">IFERROR(__xludf.DUMMYFUNCTION("ROUND((IF(SINGLE('Ground Base'!G$154)&gt;ROUND(((1-GroundResDiscount31Up-GroundResIncentive)*'Ground Base'!G103),2),ROUND((SINGLE('Ground Base'!G$154)+GroundResidentialFee)*(1+GroundFuelSurcharge),2),ROUND((((1-GroundResDiscount31Up-GroundResIncentive)*'Grou"&amp;"nd Base'!G103)+GroundResidentialFee)*(1+GroundFuelSurcharge),2)))*(1+FedEx_Markup),2)"),75.76)</f>
        <v>75.760000000000005</v>
      </c>
      <c r="H108" s="218">
        <f ca="1">IFERROR(__xludf.DUMMYFUNCTION("ROUND((IF(SINGLE('Ground Base'!H$154)&gt;ROUND(((1-GroundResDiscount31Up-GroundResIncentive)*'Ground Base'!H103),2),ROUND((SINGLE('Ground Base'!H$154)+GroundResidentialFee)*(1+GroundFuelSurcharge),2),ROUND((((1-GroundResDiscount31Up-GroundResIncentive)*'Grou"&amp;"nd Base'!H103)+GroundResidentialFee)*(1+GroundFuelSurcharge),2)))*(1+FedEx_Markup),2)"),83.11)</f>
        <v>83.11</v>
      </c>
      <c r="I108" s="218">
        <f>ROUND((IF('Ground Base'!I$154&gt;ROUND(((1-GroundAKHIDiscount)*'Ground Base'!I103),2),ROUND(('Ground Base'!I$154+GroundResidentialFee)*(1+GroundFuelSurcharge),2),ROUND((((1-GroundAKHIDiscount)*'Ground Base'!I103)+GroundResidentialFee)*(1+GroundFuelSurcharge),2)))*(1+FedEx_Markup),2)</f>
        <v>493.05</v>
      </c>
      <c r="J108" s="218">
        <f>ROUND((IF('Ground Base'!J$154&gt;ROUND(((1-GroundAKHIDiscount)*'Ground Base'!J103),2),ROUND(('Ground Base'!J$154+GroundResidentialFee)*(1+GroundFuelSurcharge),2),ROUND((((1-GroundAKHIDiscount)*'Ground Base'!J103)+GroundResidentialFee)*(1+GroundFuelSurcharge),2)))*(1+FedEx_Markup),2)</f>
        <v>493.05</v>
      </c>
      <c r="K108" s="218">
        <f>ROUND((IF('Ground Base'!K$154&gt;ROUND(((1-GroundZone51Discount)*'Ground Base'!K103),2),ROUND(('Ground Base'!K$154+GroundResidentialFee)*(1+GroundFuelSurcharge),2),ROUND((((1-GroundZone51Discount)*'Ground Base'!K103)+GroundResidentialFee)*(1+GroundFuelSurcharge),2)))*(1+FedEx_Markup),2)</f>
        <v>117.48</v>
      </c>
      <c r="L108" s="218">
        <f>ROUND((IF('Ground Base'!L$154&gt;ROUND(((1-GroundZone54Discount)*'Ground Base'!L103),2),ROUND(('Ground Base'!L$154+GroundResidentialFee)*(1+GroundFuelSurcharge),2),ROUND((((1-GroundZone54Discount)*'Ground Base'!L103)+GroundResidentialFee)*(1+GroundFuelSurcharge),2)))*(1+FedEx_Markup),2)</f>
        <v>154.62</v>
      </c>
    </row>
    <row r="109" spans="1:12" ht="12.75" customHeight="1">
      <c r="A109" s="217">
        <v>102</v>
      </c>
      <c r="B109" s="218">
        <f ca="1">IFERROR(__xludf.DUMMYFUNCTION("ROUND((IF(SINGLE('Ground Base'!B$154)&gt;ROUND(((1-GroundResDiscount31Up-GroundResIncentive)*'Ground Base'!B104),2),ROUND((SINGLE('Ground Base'!B$154)+GroundResidentialFee)*(1+GroundFuelSurcharge),2),ROUND((((1-GroundResDiscount31Up-GroundResIncentive)*'Grou"&amp;"nd Base'!B104)+GroundResidentialFee)*(1+GroundFuelSurcharge),2)))*(1+FedEx_Markup),2)"),49.92)</f>
        <v>49.92</v>
      </c>
      <c r="C109" s="218">
        <f ca="1">IFERROR(__xludf.DUMMYFUNCTION("ROUND((IF(SINGLE('Ground Base'!C$154)&gt;ROUND(((1-GroundResDiscount31Up-GroundResIncentive)*'Ground Base'!C104),2),ROUND((SINGLE('Ground Base'!C$154)+GroundResidentialFee)*(1+GroundFuelSurcharge),2),ROUND((((1-GroundResDiscount31Up-GroundResIncentive)*'Grou"&amp;"nd Base'!C104)+GroundResidentialFee)*(1+GroundFuelSurcharge),2)))*(1+FedEx_Markup),2)"),50.04)</f>
        <v>50.04</v>
      </c>
      <c r="D109" s="218">
        <f ca="1">IFERROR(__xludf.DUMMYFUNCTION("ROUND((IF(SINGLE('Ground Base'!D$154)&gt;ROUND(((1-GroundResDiscount31Up-GroundResIncentive)*'Ground Base'!D104),2),ROUND((SINGLE('Ground Base'!D$154)+GroundResidentialFee)*(1+GroundFuelSurcharge),2),ROUND((((1-GroundResDiscount31Up-GroundResIncentive)*'Grou"&amp;"nd Base'!D104)+GroundResidentialFee)*(1+GroundFuelSurcharge),2)))*(1+FedEx_Markup),2)"),54.49)</f>
        <v>54.49</v>
      </c>
      <c r="E109" s="218">
        <f ca="1">IFERROR(__xludf.DUMMYFUNCTION("ROUND((IF(SINGLE('Ground Base'!E$154)&gt;ROUND(((1-GroundResDiscount31Up-GroundResIncentive)*'Ground Base'!E104),2),ROUND((SINGLE('Ground Base'!E$154)+GroundResidentialFee)*(1+GroundFuelSurcharge),2),ROUND((((1-GroundResDiscount31Up-GroundResIncentive)*'Grou"&amp;"nd Base'!E104)+GroundResidentialFee)*(1+GroundFuelSurcharge),2)))*(1+FedEx_Markup),2)"),58.78)</f>
        <v>58.78</v>
      </c>
      <c r="F109" s="218">
        <f ca="1">IFERROR(__xludf.DUMMYFUNCTION("ROUND((IF(SINGLE('Ground Base'!F$154)&gt;ROUND(((1-GroundResDiscount31Up-GroundResIncentive)*'Ground Base'!F104),2),ROUND((SINGLE('Ground Base'!F$154)+GroundResidentialFee)*(1+GroundFuelSurcharge),2),ROUND((((1-GroundResDiscount31Up-GroundResIncentive)*'Grou"&amp;"nd Base'!F104)+GroundResidentialFee)*(1+GroundFuelSurcharge),2)))*(1+FedEx_Markup),2)"),68.6)</f>
        <v>68.599999999999994</v>
      </c>
      <c r="G109" s="218">
        <f ca="1">IFERROR(__xludf.DUMMYFUNCTION("ROUND((IF(SINGLE('Ground Base'!G$154)&gt;ROUND(((1-GroundResDiscount31Up-GroundResIncentive)*'Ground Base'!G104),2),ROUND((SINGLE('Ground Base'!G$154)+GroundResidentialFee)*(1+GroundFuelSurcharge),2),ROUND((((1-GroundResDiscount31Up-GroundResIncentive)*'Grou"&amp;"nd Base'!G104)+GroundResidentialFee)*(1+GroundFuelSurcharge),2)))*(1+FedEx_Markup),2)"),75.77)</f>
        <v>75.77</v>
      </c>
      <c r="H109" s="218">
        <f ca="1">IFERROR(__xludf.DUMMYFUNCTION("ROUND((IF(SINGLE('Ground Base'!H$154)&gt;ROUND(((1-GroundResDiscount31Up-GroundResIncentive)*'Ground Base'!H104),2),ROUND((SINGLE('Ground Base'!H$154)+GroundResidentialFee)*(1+GroundFuelSurcharge),2),ROUND((((1-GroundResDiscount31Up-GroundResIncentive)*'Grou"&amp;"nd Base'!H104)+GroundResidentialFee)*(1+GroundFuelSurcharge),2)))*(1+FedEx_Markup),2)"),83.12)</f>
        <v>83.12</v>
      </c>
      <c r="I109" s="218">
        <f>ROUND((IF('Ground Base'!I$154&gt;ROUND(((1-GroundAKHIDiscount)*'Ground Base'!I104),2),ROUND(('Ground Base'!I$154+GroundResidentialFee)*(1+GroundFuelSurcharge),2),ROUND((((1-GroundAKHIDiscount)*'Ground Base'!I104)+GroundResidentialFee)*(1+GroundFuelSurcharge),2)))*(1+FedEx_Markup),2)</f>
        <v>493.06</v>
      </c>
      <c r="J109" s="218">
        <f>ROUND((IF('Ground Base'!J$154&gt;ROUND(((1-GroundAKHIDiscount)*'Ground Base'!J104),2),ROUND(('Ground Base'!J$154+GroundResidentialFee)*(1+GroundFuelSurcharge),2),ROUND((((1-GroundAKHIDiscount)*'Ground Base'!J104)+GroundResidentialFee)*(1+GroundFuelSurcharge),2)))*(1+FedEx_Markup),2)</f>
        <v>493.06</v>
      </c>
      <c r="K109" s="218">
        <f>ROUND((IF('Ground Base'!K$154&gt;ROUND(((1-GroundZone51Discount)*'Ground Base'!K104),2),ROUND(('Ground Base'!K$154+GroundResidentialFee)*(1+GroundFuelSurcharge),2),ROUND((((1-GroundZone51Discount)*'Ground Base'!K104)+GroundResidentialFee)*(1+GroundFuelSurcharge),2)))*(1+FedEx_Markup),2)</f>
        <v>117.5</v>
      </c>
      <c r="L109" s="218">
        <f>ROUND((IF('Ground Base'!L$154&gt;ROUND(((1-GroundZone54Discount)*'Ground Base'!L104),2),ROUND(('Ground Base'!L$154+GroundResidentialFee)*(1+GroundFuelSurcharge),2),ROUND((((1-GroundZone54Discount)*'Ground Base'!L104)+GroundResidentialFee)*(1+GroundFuelSurcharge),2)))*(1+FedEx_Markup),2)</f>
        <v>154.63</v>
      </c>
    </row>
    <row r="110" spans="1:12" ht="12.75" customHeight="1">
      <c r="A110" s="217">
        <v>103</v>
      </c>
      <c r="B110" s="218">
        <f ca="1">IFERROR(__xludf.DUMMYFUNCTION("ROUND((IF(SINGLE('Ground Base'!B$154)&gt;ROUND(((1-GroundResDiscount31Up-GroundResIncentive)*'Ground Base'!B105),2),ROUND((SINGLE('Ground Base'!B$154)+GroundResidentialFee)*(1+GroundFuelSurcharge),2),ROUND((((1-GroundResDiscount31Up-GroundResIncentive)*'Grou"&amp;"nd Base'!B105)+GroundResidentialFee)*(1+GroundFuelSurcharge),2)))*(1+FedEx_Markup),2)"),50.54)</f>
        <v>50.54</v>
      </c>
      <c r="C110" s="218">
        <f ca="1">IFERROR(__xludf.DUMMYFUNCTION("ROUND((IF(SINGLE('Ground Base'!C$154)&gt;ROUND(((1-GroundResDiscount31Up-GroundResIncentive)*'Ground Base'!C105),2),ROUND((SINGLE('Ground Base'!C$154)+GroundResidentialFee)*(1+GroundFuelSurcharge),2),ROUND((((1-GroundResDiscount31Up-GroundResIncentive)*'Grou"&amp;"nd Base'!C105)+GroundResidentialFee)*(1+GroundFuelSurcharge),2)))*(1+FedEx_Markup),2)"),51.2)</f>
        <v>51.2</v>
      </c>
      <c r="D110" s="218">
        <f ca="1">IFERROR(__xludf.DUMMYFUNCTION("ROUND((IF(SINGLE('Ground Base'!D$154)&gt;ROUND(((1-GroundResDiscount31Up-GroundResIncentive)*'Ground Base'!D105),2),ROUND((SINGLE('Ground Base'!D$154)+GroundResidentialFee)*(1+GroundFuelSurcharge),2),ROUND((((1-GroundResDiscount31Up-GroundResIncentive)*'Grou"&amp;"nd Base'!D105)+GroundResidentialFee)*(1+GroundFuelSurcharge),2)))*(1+FedEx_Markup),2)"),55.55)</f>
        <v>55.55</v>
      </c>
      <c r="E110" s="218">
        <f ca="1">IFERROR(__xludf.DUMMYFUNCTION("ROUND((IF(SINGLE('Ground Base'!E$154)&gt;ROUND(((1-GroundResDiscount31Up-GroundResIncentive)*'Ground Base'!E105),2),ROUND((SINGLE('Ground Base'!E$154)+GroundResidentialFee)*(1+GroundFuelSurcharge),2),ROUND((((1-GroundResDiscount31Up-GroundResIncentive)*'Grou"&amp;"nd Base'!E105)+GroundResidentialFee)*(1+GroundFuelSurcharge),2)))*(1+FedEx_Markup),2)"),59.1)</f>
        <v>59.1</v>
      </c>
      <c r="F110" s="218">
        <f ca="1">IFERROR(__xludf.DUMMYFUNCTION("ROUND((IF(SINGLE('Ground Base'!F$154)&gt;ROUND(((1-GroundResDiscount31Up-GroundResIncentive)*'Ground Base'!F105),2),ROUND((SINGLE('Ground Base'!F$154)+GroundResidentialFee)*(1+GroundFuelSurcharge),2),ROUND((((1-GroundResDiscount31Up-GroundResIncentive)*'Grou"&amp;"nd Base'!F105)+GroundResidentialFee)*(1+GroundFuelSurcharge),2)))*(1+FedEx_Markup),2)"),68.76)</f>
        <v>68.760000000000005</v>
      </c>
      <c r="G110" s="218">
        <f ca="1">IFERROR(__xludf.DUMMYFUNCTION("ROUND((IF(SINGLE('Ground Base'!G$154)&gt;ROUND(((1-GroundResDiscount31Up-GroundResIncentive)*'Ground Base'!G105),2),ROUND((SINGLE('Ground Base'!G$154)+GroundResidentialFee)*(1+GroundFuelSurcharge),2),ROUND((((1-GroundResDiscount31Up-GroundResIncentive)*'Grou"&amp;"nd Base'!G105)+GroundResidentialFee)*(1+GroundFuelSurcharge),2)))*(1+FedEx_Markup),2)"),75.77)</f>
        <v>75.77</v>
      </c>
      <c r="H110" s="218">
        <f ca="1">IFERROR(__xludf.DUMMYFUNCTION("ROUND((IF(SINGLE('Ground Base'!H$154)&gt;ROUND(((1-GroundResDiscount31Up-GroundResIncentive)*'Ground Base'!H105),2),ROUND((SINGLE('Ground Base'!H$154)+GroundResidentialFee)*(1+GroundFuelSurcharge),2),ROUND((((1-GroundResDiscount31Up-GroundResIncentive)*'Grou"&amp;"nd Base'!H105)+GroundResidentialFee)*(1+GroundFuelSurcharge),2)))*(1+FedEx_Markup),2)"),83.12)</f>
        <v>83.12</v>
      </c>
      <c r="I110" s="218">
        <f>ROUND((IF('Ground Base'!I$154&gt;ROUND(((1-GroundAKHIDiscount)*'Ground Base'!I105),2),ROUND(('Ground Base'!I$154+GroundResidentialFee)*(1+GroundFuelSurcharge),2),ROUND((((1-GroundAKHIDiscount)*'Ground Base'!I105)+GroundResidentialFee)*(1+GroundFuelSurcharge),2)))*(1+FedEx_Markup),2)</f>
        <v>493.07</v>
      </c>
      <c r="J110" s="218">
        <f>ROUND((IF('Ground Base'!J$154&gt;ROUND(((1-GroundAKHIDiscount)*'Ground Base'!J105),2),ROUND(('Ground Base'!J$154+GroundResidentialFee)*(1+GroundFuelSurcharge),2),ROUND((((1-GroundAKHIDiscount)*'Ground Base'!J105)+GroundResidentialFee)*(1+GroundFuelSurcharge),2)))*(1+FedEx_Markup),2)</f>
        <v>493.07</v>
      </c>
      <c r="K110" s="218">
        <f>ROUND((IF('Ground Base'!K$154&gt;ROUND(((1-GroundZone51Discount)*'Ground Base'!K105),2),ROUND(('Ground Base'!K$154+GroundResidentialFee)*(1+GroundFuelSurcharge),2),ROUND((((1-GroundZone51Discount)*'Ground Base'!K105)+GroundResidentialFee)*(1+GroundFuelSurcharge),2)))*(1+FedEx_Markup),2)</f>
        <v>117.52</v>
      </c>
      <c r="L110" s="218">
        <f>ROUND((IF('Ground Base'!L$154&gt;ROUND(((1-GroundZone54Discount)*'Ground Base'!L105),2),ROUND(('Ground Base'!L$154+GroundResidentialFee)*(1+GroundFuelSurcharge),2),ROUND((((1-GroundZone54Discount)*'Ground Base'!L105)+GroundResidentialFee)*(1+GroundFuelSurcharge),2)))*(1+FedEx_Markup),2)</f>
        <v>154.63999999999999</v>
      </c>
    </row>
    <row r="111" spans="1:12" ht="12.75" customHeight="1">
      <c r="A111" s="217">
        <v>104</v>
      </c>
      <c r="B111" s="218">
        <f ca="1">IFERROR(__xludf.DUMMYFUNCTION("ROUND((IF(SINGLE('Ground Base'!B$154)&gt;ROUND(((1-GroundResDiscount31Up-GroundResIncentive)*'Ground Base'!B106),2),ROUND((SINGLE('Ground Base'!B$154)+GroundResidentialFee)*(1+GroundFuelSurcharge),2),ROUND((((1-GroundResDiscount31Up-GroundResIncentive)*'Grou"&amp;"nd Base'!B106)+GroundResidentialFee)*(1+GroundFuelSurcharge),2)))*(1+FedEx_Markup),2)"),50.54)</f>
        <v>50.54</v>
      </c>
      <c r="C111" s="218">
        <f ca="1">IFERROR(__xludf.DUMMYFUNCTION("ROUND((IF(SINGLE('Ground Base'!C$154)&gt;ROUND(((1-GroundResDiscount31Up-GroundResIncentive)*'Ground Base'!C106),2),ROUND((SINGLE('Ground Base'!C$154)+GroundResidentialFee)*(1+GroundFuelSurcharge),2),ROUND((((1-GroundResDiscount31Up-GroundResIncentive)*'Grou"&amp;"nd Base'!C106)+GroundResidentialFee)*(1+GroundFuelSurcharge),2)))*(1+FedEx_Markup),2)"),51.21)</f>
        <v>51.21</v>
      </c>
      <c r="D111" s="218">
        <f ca="1">IFERROR(__xludf.DUMMYFUNCTION("ROUND((IF(SINGLE('Ground Base'!D$154)&gt;ROUND(((1-GroundResDiscount31Up-GroundResIncentive)*'Ground Base'!D106),2),ROUND((SINGLE('Ground Base'!D$154)+GroundResidentialFee)*(1+GroundFuelSurcharge),2),ROUND((((1-GroundResDiscount31Up-GroundResIncentive)*'Grou"&amp;"nd Base'!D106)+GroundResidentialFee)*(1+GroundFuelSurcharge),2)))*(1+FedEx_Markup),2)"),55.68)</f>
        <v>55.68</v>
      </c>
      <c r="E111" s="218">
        <f ca="1">IFERROR(__xludf.DUMMYFUNCTION("ROUND((IF(SINGLE('Ground Base'!E$154)&gt;ROUND(((1-GroundResDiscount31Up-GroundResIncentive)*'Ground Base'!E106),2),ROUND((SINGLE('Ground Base'!E$154)+GroundResidentialFee)*(1+GroundFuelSurcharge),2),ROUND((((1-GroundResDiscount31Up-GroundResIncentive)*'Grou"&amp;"nd Base'!E106)+GroundResidentialFee)*(1+GroundFuelSurcharge),2)))*(1+FedEx_Markup),2)"),59.17)</f>
        <v>59.17</v>
      </c>
      <c r="F111" s="218">
        <f ca="1">IFERROR(__xludf.DUMMYFUNCTION("ROUND((IF(SINGLE('Ground Base'!F$154)&gt;ROUND(((1-GroundResDiscount31Up-GroundResIncentive)*'Ground Base'!F106),2),ROUND((SINGLE('Ground Base'!F$154)+GroundResidentialFee)*(1+GroundFuelSurcharge),2),ROUND((((1-GroundResDiscount31Up-GroundResIncentive)*'Grou"&amp;"nd Base'!F106)+GroundResidentialFee)*(1+GroundFuelSurcharge),2)))*(1+FedEx_Markup),2)"),68.77)</f>
        <v>68.77</v>
      </c>
      <c r="G111" s="218">
        <f ca="1">IFERROR(__xludf.DUMMYFUNCTION("ROUND((IF(SINGLE('Ground Base'!G$154)&gt;ROUND(((1-GroundResDiscount31Up-GroundResIncentive)*'Ground Base'!G106),2),ROUND((SINGLE('Ground Base'!G$154)+GroundResidentialFee)*(1+GroundFuelSurcharge),2),ROUND((((1-GroundResDiscount31Up-GroundResIncentive)*'Grou"&amp;"nd Base'!G106)+GroundResidentialFee)*(1+GroundFuelSurcharge),2)))*(1+FedEx_Markup),2)"),75.79)</f>
        <v>75.790000000000006</v>
      </c>
      <c r="H111" s="218">
        <f ca="1">IFERROR(__xludf.DUMMYFUNCTION("ROUND((IF(SINGLE('Ground Base'!H$154)&gt;ROUND(((1-GroundResDiscount31Up-GroundResIncentive)*'Ground Base'!H106),2),ROUND((SINGLE('Ground Base'!H$154)+GroundResidentialFee)*(1+GroundFuelSurcharge),2),ROUND((((1-GroundResDiscount31Up-GroundResIncentive)*'Grou"&amp;"nd Base'!H106)+GroundResidentialFee)*(1+GroundFuelSurcharge),2)))*(1+FedEx_Markup),2)"),83.13)</f>
        <v>83.13</v>
      </c>
      <c r="I111" s="218">
        <f>ROUND((IF('Ground Base'!I$154&gt;ROUND(((1-GroundAKHIDiscount)*'Ground Base'!I106),2),ROUND(('Ground Base'!I$154+GroundResidentialFee)*(1+GroundFuelSurcharge),2),ROUND((((1-GroundAKHIDiscount)*'Ground Base'!I106)+GroundResidentialFee)*(1+GroundFuelSurcharge),2)))*(1+FedEx_Markup),2)</f>
        <v>493.11</v>
      </c>
      <c r="J111" s="218">
        <f>ROUND((IF('Ground Base'!J$154&gt;ROUND(((1-GroundAKHIDiscount)*'Ground Base'!J106),2),ROUND(('Ground Base'!J$154+GroundResidentialFee)*(1+GroundFuelSurcharge),2),ROUND((((1-GroundAKHIDiscount)*'Ground Base'!J106)+GroundResidentialFee)*(1+GroundFuelSurcharge),2)))*(1+FedEx_Markup),2)</f>
        <v>493.11</v>
      </c>
      <c r="K111" s="218">
        <f>ROUND((IF('Ground Base'!K$154&gt;ROUND(((1-GroundZone51Discount)*'Ground Base'!K106),2),ROUND(('Ground Base'!K$154+GroundResidentialFee)*(1+GroundFuelSurcharge),2),ROUND((((1-GroundZone51Discount)*'Ground Base'!K106)+GroundResidentialFee)*(1+GroundFuelSurcharge),2)))*(1+FedEx_Markup),2)</f>
        <v>117.53</v>
      </c>
      <c r="L111" s="218">
        <f>ROUND((IF('Ground Base'!L$154&gt;ROUND(((1-GroundZone54Discount)*'Ground Base'!L106),2),ROUND(('Ground Base'!L$154+GroundResidentialFee)*(1+GroundFuelSurcharge),2),ROUND((((1-GroundZone54Discount)*'Ground Base'!L106)+GroundResidentialFee)*(1+GroundFuelSurcharge),2)))*(1+FedEx_Markup),2)</f>
        <v>154.65</v>
      </c>
    </row>
    <row r="112" spans="1:12" ht="12.75" customHeight="1">
      <c r="A112" s="217">
        <v>105</v>
      </c>
      <c r="B112" s="218">
        <f ca="1">IFERROR(__xludf.DUMMYFUNCTION("ROUND((IF(SINGLE('Ground Base'!B$154)&gt;ROUND(((1-GroundResDiscount31Up-GroundResIncentive)*'Ground Base'!B107),2),ROUND((SINGLE('Ground Base'!B$154)+GroundResidentialFee)*(1+GroundFuelSurcharge),2),ROUND((((1-GroundResDiscount31Up-GroundResIncentive)*'Grou"&amp;"nd Base'!B107)+GroundResidentialFee)*(1+GroundFuelSurcharge),2)))*(1+FedEx_Markup),2)"),52.23)</f>
        <v>52.23</v>
      </c>
      <c r="C112" s="218">
        <f ca="1">IFERROR(__xludf.DUMMYFUNCTION("ROUND((IF(SINGLE('Ground Base'!C$154)&gt;ROUND(((1-GroundResDiscount31Up-GroundResIncentive)*'Ground Base'!C107),2),ROUND((SINGLE('Ground Base'!C$154)+GroundResidentialFee)*(1+GroundFuelSurcharge),2),ROUND((((1-GroundResDiscount31Up-GroundResIncentive)*'Grou"&amp;"nd Base'!C107)+GroundResidentialFee)*(1+GroundFuelSurcharge),2)))*(1+FedEx_Markup),2)"),52.61)</f>
        <v>52.61</v>
      </c>
      <c r="D112" s="218">
        <f ca="1">IFERROR(__xludf.DUMMYFUNCTION("ROUND((IF(SINGLE('Ground Base'!D$154)&gt;ROUND(((1-GroundResDiscount31Up-GroundResIncentive)*'Ground Base'!D107),2),ROUND((SINGLE('Ground Base'!D$154)+GroundResidentialFee)*(1+GroundFuelSurcharge),2),ROUND((((1-GroundResDiscount31Up-GroundResIncentive)*'Grou"&amp;"nd Base'!D107)+GroundResidentialFee)*(1+GroundFuelSurcharge),2)))*(1+FedEx_Markup),2)"),56.79)</f>
        <v>56.79</v>
      </c>
      <c r="E112" s="218">
        <f ca="1">IFERROR(__xludf.DUMMYFUNCTION("ROUND((IF(SINGLE('Ground Base'!E$154)&gt;ROUND(((1-GroundResDiscount31Up-GroundResIncentive)*'Ground Base'!E107),2),ROUND((SINGLE('Ground Base'!E$154)+GroundResidentialFee)*(1+GroundFuelSurcharge),2),ROUND((((1-GroundResDiscount31Up-GroundResIncentive)*'Grou"&amp;"nd Base'!E107)+GroundResidentialFee)*(1+GroundFuelSurcharge),2)))*(1+FedEx_Markup),2)"),60.86)</f>
        <v>60.86</v>
      </c>
      <c r="F112" s="218">
        <f ca="1">IFERROR(__xludf.DUMMYFUNCTION("ROUND((IF(SINGLE('Ground Base'!F$154)&gt;ROUND(((1-GroundResDiscount31Up-GroundResIncentive)*'Ground Base'!F107),2),ROUND((SINGLE('Ground Base'!F$154)+GroundResidentialFee)*(1+GroundFuelSurcharge),2),ROUND((((1-GroundResDiscount31Up-GroundResIncentive)*'Grou"&amp;"nd Base'!F107)+GroundResidentialFee)*(1+GroundFuelSurcharge),2)))*(1+FedEx_Markup),2)"),70.39)</f>
        <v>70.39</v>
      </c>
      <c r="G112" s="218">
        <f ca="1">IFERROR(__xludf.DUMMYFUNCTION("ROUND((IF(SINGLE('Ground Base'!G$154)&gt;ROUND(((1-GroundResDiscount31Up-GroundResIncentive)*'Ground Base'!G107),2),ROUND((SINGLE('Ground Base'!G$154)+GroundResidentialFee)*(1+GroundFuelSurcharge),2),ROUND((((1-GroundResDiscount31Up-GroundResIncentive)*'Grou"&amp;"nd Base'!G107)+GroundResidentialFee)*(1+GroundFuelSurcharge),2)))*(1+FedEx_Markup),2)"),77.46)</f>
        <v>77.459999999999994</v>
      </c>
      <c r="H112" s="218">
        <f ca="1">IFERROR(__xludf.DUMMYFUNCTION("ROUND((IF(SINGLE('Ground Base'!H$154)&gt;ROUND(((1-GroundResDiscount31Up-GroundResIncentive)*'Ground Base'!H107),2),ROUND((SINGLE('Ground Base'!H$154)+GroundResidentialFee)*(1+GroundFuelSurcharge),2),ROUND((((1-GroundResDiscount31Up-GroundResIncentive)*'Grou"&amp;"nd Base'!H107)+GroundResidentialFee)*(1+GroundFuelSurcharge),2)))*(1+FedEx_Markup),2)"),85.1)</f>
        <v>85.1</v>
      </c>
      <c r="I112" s="218">
        <f>ROUND((IF('Ground Base'!I$154&gt;ROUND(((1-GroundAKHIDiscount)*'Ground Base'!I107),2),ROUND(('Ground Base'!I$154+GroundResidentialFee)*(1+GroundFuelSurcharge),2),ROUND((((1-GroundAKHIDiscount)*'Ground Base'!I107)+GroundResidentialFee)*(1+GroundFuelSurcharge),2)))*(1+FedEx_Markup),2)</f>
        <v>493.12</v>
      </c>
      <c r="J112" s="218">
        <f>ROUND((IF('Ground Base'!J$154&gt;ROUND(((1-GroundAKHIDiscount)*'Ground Base'!J107),2),ROUND(('Ground Base'!J$154+GroundResidentialFee)*(1+GroundFuelSurcharge),2),ROUND((((1-GroundAKHIDiscount)*'Ground Base'!J107)+GroundResidentialFee)*(1+GroundFuelSurcharge),2)))*(1+FedEx_Markup),2)</f>
        <v>493.12</v>
      </c>
      <c r="K112" s="218">
        <f>ROUND((IF('Ground Base'!K$154&gt;ROUND(((1-GroundZone51Discount)*'Ground Base'!K107),2),ROUND(('Ground Base'!K$154+GroundResidentialFee)*(1+GroundFuelSurcharge),2),ROUND((((1-GroundZone51Discount)*'Ground Base'!K107)+GroundResidentialFee)*(1+GroundFuelSurcharge),2)))*(1+FedEx_Markup),2)</f>
        <v>118.61</v>
      </c>
      <c r="L112" s="218">
        <f>ROUND((IF('Ground Base'!L$154&gt;ROUND(((1-GroundZone54Discount)*'Ground Base'!L107),2),ROUND(('Ground Base'!L$154+GroundResidentialFee)*(1+GroundFuelSurcharge),2),ROUND((((1-GroundZone54Discount)*'Ground Base'!L107)+GroundResidentialFee)*(1+GroundFuelSurcharge),2)))*(1+FedEx_Markup),2)</f>
        <v>154.66</v>
      </c>
    </row>
    <row r="113" spans="1:26" ht="12.75" customHeight="1">
      <c r="A113" s="217">
        <v>106</v>
      </c>
      <c r="B113" s="218">
        <f ca="1">IFERROR(__xludf.DUMMYFUNCTION("ROUND((IF(SINGLE('Ground Base'!B$154)&gt;ROUND(((1-GroundResDiscount31Up-GroundResIncentive)*'Ground Base'!B108),2),ROUND((SINGLE('Ground Base'!B$154)+GroundResidentialFee)*(1+GroundFuelSurcharge),2),ROUND((((1-GroundResDiscount31Up-GroundResIncentive)*'Grou"&amp;"nd Base'!B108)+GroundResidentialFee)*(1+GroundFuelSurcharge),2)))*(1+FedEx_Markup),2)"),52.58)</f>
        <v>52.58</v>
      </c>
      <c r="C113" s="218">
        <f ca="1">IFERROR(__xludf.DUMMYFUNCTION("ROUND((IF(SINGLE('Ground Base'!C$154)&gt;ROUND(((1-GroundResDiscount31Up-GroundResIncentive)*'Ground Base'!C108),2),ROUND((SINGLE('Ground Base'!C$154)+GroundResidentialFee)*(1+GroundFuelSurcharge),2),ROUND((((1-GroundResDiscount31Up-GroundResIncentive)*'Grou"&amp;"nd Base'!C108)+GroundResidentialFee)*(1+GroundFuelSurcharge),2)))*(1+FedEx_Markup),2)"),52.62)</f>
        <v>52.62</v>
      </c>
      <c r="D113" s="218">
        <f ca="1">IFERROR(__xludf.DUMMYFUNCTION("ROUND((IF(SINGLE('Ground Base'!D$154)&gt;ROUND(((1-GroundResDiscount31Up-GroundResIncentive)*'Ground Base'!D108),2),ROUND((SINGLE('Ground Base'!D$154)+GroundResidentialFee)*(1+GroundFuelSurcharge),2),ROUND((((1-GroundResDiscount31Up-GroundResIncentive)*'Grou"&amp;"nd Base'!D108)+GroundResidentialFee)*(1+GroundFuelSurcharge),2)))*(1+FedEx_Markup),2)"),56.8)</f>
        <v>56.8</v>
      </c>
      <c r="E113" s="218">
        <f ca="1">IFERROR(__xludf.DUMMYFUNCTION("ROUND((IF(SINGLE('Ground Base'!E$154)&gt;ROUND(((1-GroundResDiscount31Up-GroundResIncentive)*'Ground Base'!E108),2),ROUND((SINGLE('Ground Base'!E$154)+GroundResidentialFee)*(1+GroundFuelSurcharge),2),ROUND((((1-GroundResDiscount31Up-GroundResIncentive)*'Grou"&amp;"nd Base'!E108)+GroundResidentialFee)*(1+GroundFuelSurcharge),2)))*(1+FedEx_Markup),2)"),60.87)</f>
        <v>60.87</v>
      </c>
      <c r="F113" s="218">
        <f ca="1">IFERROR(__xludf.DUMMYFUNCTION("ROUND((IF(SINGLE('Ground Base'!F$154)&gt;ROUND(((1-GroundResDiscount31Up-GroundResIncentive)*'Ground Base'!F108),2),ROUND((SINGLE('Ground Base'!F$154)+GroundResidentialFee)*(1+GroundFuelSurcharge),2),ROUND((((1-GroundResDiscount31Up-GroundResIncentive)*'Grou"&amp;"nd Base'!F108)+GroundResidentialFee)*(1+GroundFuelSurcharge),2)))*(1+FedEx_Markup),2)"),70.4)</f>
        <v>70.400000000000006</v>
      </c>
      <c r="G113" s="218">
        <f ca="1">IFERROR(__xludf.DUMMYFUNCTION("ROUND((IF(SINGLE('Ground Base'!G$154)&gt;ROUND(((1-GroundResDiscount31Up-GroundResIncentive)*'Ground Base'!G108),2),ROUND((SINGLE('Ground Base'!G$154)+GroundResidentialFee)*(1+GroundFuelSurcharge),2),ROUND((((1-GroundResDiscount31Up-GroundResIncentive)*'Grou"&amp;"nd Base'!G108)+GroundResidentialFee)*(1+GroundFuelSurcharge),2)))*(1+FedEx_Markup),2)"),77.48)</f>
        <v>77.48</v>
      </c>
      <c r="H113" s="218">
        <f ca="1">IFERROR(__xludf.DUMMYFUNCTION("ROUND((IF(SINGLE('Ground Base'!H$154)&gt;ROUND(((1-GroundResDiscount31Up-GroundResIncentive)*'Ground Base'!H108),2),ROUND((SINGLE('Ground Base'!H$154)+GroundResidentialFee)*(1+GroundFuelSurcharge),2),ROUND((((1-GroundResDiscount31Up-GroundResIncentive)*'Grou"&amp;"nd Base'!H108)+GroundResidentialFee)*(1+GroundFuelSurcharge),2)))*(1+FedEx_Markup),2)"),85.11)</f>
        <v>85.11</v>
      </c>
      <c r="I113" s="218">
        <f>ROUND((IF('Ground Base'!I$154&gt;ROUND(((1-GroundAKHIDiscount)*'Ground Base'!I108),2),ROUND(('Ground Base'!I$154+GroundResidentialFee)*(1+GroundFuelSurcharge),2),ROUND((((1-GroundAKHIDiscount)*'Ground Base'!I108)+GroundResidentialFee)*(1+GroundFuelSurcharge),2)))*(1+FedEx_Markup),2)</f>
        <v>501.95</v>
      </c>
      <c r="J113" s="218">
        <f>ROUND((IF('Ground Base'!J$154&gt;ROUND(((1-GroundAKHIDiscount)*'Ground Base'!J108),2),ROUND(('Ground Base'!J$154+GroundResidentialFee)*(1+GroundFuelSurcharge),2),ROUND((((1-GroundAKHIDiscount)*'Ground Base'!J108)+GroundResidentialFee)*(1+GroundFuelSurcharge),2)))*(1+FedEx_Markup),2)</f>
        <v>501.95</v>
      </c>
      <c r="K113" s="218">
        <f>ROUND((IF('Ground Base'!K$154&gt;ROUND(((1-GroundZone51Discount)*'Ground Base'!K108),2),ROUND(('Ground Base'!K$154+GroundResidentialFee)*(1+GroundFuelSurcharge),2),ROUND((((1-GroundZone51Discount)*'Ground Base'!K108)+GroundResidentialFee)*(1+GroundFuelSurcharge),2)))*(1+FedEx_Markup),2)</f>
        <v>119.61</v>
      </c>
      <c r="L113" s="218">
        <f>ROUND((IF('Ground Base'!L$154&gt;ROUND(((1-GroundZone54Discount)*'Ground Base'!L108),2),ROUND(('Ground Base'!L$154+GroundResidentialFee)*(1+GroundFuelSurcharge),2),ROUND((((1-GroundZone54Discount)*'Ground Base'!L108)+GroundResidentialFee)*(1+GroundFuelSurcharge),2)))*(1+FedEx_Markup),2)</f>
        <v>158.22</v>
      </c>
    </row>
    <row r="114" spans="1:26" ht="12.75" customHeight="1">
      <c r="A114" s="217">
        <v>107</v>
      </c>
      <c r="B114" s="218">
        <f ca="1">IFERROR(__xludf.DUMMYFUNCTION("ROUND((IF(SINGLE('Ground Base'!B$154)&gt;ROUND(((1-GroundResDiscount31Up-GroundResIncentive)*'Ground Base'!B109),2),ROUND((SINGLE('Ground Base'!B$154)+GroundResidentialFee)*(1+GroundFuelSurcharge),2),ROUND((((1-GroundResDiscount31Up-GroundResIncentive)*'Grou"&amp;"nd Base'!B109)+GroundResidentialFee)*(1+GroundFuelSurcharge),2)))*(1+FedEx_Markup),2)"),52.83)</f>
        <v>52.83</v>
      </c>
      <c r="C114" s="218">
        <f ca="1">IFERROR(__xludf.DUMMYFUNCTION("ROUND((IF(SINGLE('Ground Base'!C$154)&gt;ROUND(((1-GroundResDiscount31Up-GroundResIncentive)*'Ground Base'!C109),2),ROUND((SINGLE('Ground Base'!C$154)+GroundResidentialFee)*(1+GroundFuelSurcharge),2),ROUND((((1-GroundResDiscount31Up-GroundResIncentive)*'Grou"&amp;"nd Base'!C109)+GroundResidentialFee)*(1+GroundFuelSurcharge),2)))*(1+FedEx_Markup),2)"),53.31)</f>
        <v>53.31</v>
      </c>
      <c r="D114" s="218">
        <f ca="1">IFERROR(__xludf.DUMMYFUNCTION("ROUND((IF(SINGLE('Ground Base'!D$154)&gt;ROUND(((1-GroundResDiscount31Up-GroundResIncentive)*'Ground Base'!D109),2),ROUND((SINGLE('Ground Base'!D$154)+GroundResidentialFee)*(1+GroundFuelSurcharge),2),ROUND((((1-GroundResDiscount31Up-GroundResIncentive)*'Grou"&amp;"nd Base'!D109)+GroundResidentialFee)*(1+GroundFuelSurcharge),2)))*(1+FedEx_Markup),2)"),57.51)</f>
        <v>57.51</v>
      </c>
      <c r="E114" s="218">
        <f ca="1">IFERROR(__xludf.DUMMYFUNCTION("ROUND((IF(SINGLE('Ground Base'!E$154)&gt;ROUND(((1-GroundResDiscount31Up-GroundResIncentive)*'Ground Base'!E109),2),ROUND((SINGLE('Ground Base'!E$154)+GroundResidentialFee)*(1+GroundFuelSurcharge),2),ROUND((((1-GroundResDiscount31Up-GroundResIncentive)*'Grou"&amp;"nd Base'!E109)+GroundResidentialFee)*(1+GroundFuelSurcharge),2)))*(1+FedEx_Markup),2)"),61.49)</f>
        <v>61.49</v>
      </c>
      <c r="F114" s="218">
        <f ca="1">IFERROR(__xludf.DUMMYFUNCTION("ROUND((IF(SINGLE('Ground Base'!F$154)&gt;ROUND(((1-GroundResDiscount31Up-GroundResIncentive)*'Ground Base'!F109),2),ROUND((SINGLE('Ground Base'!F$154)+GroundResidentialFee)*(1+GroundFuelSurcharge),2),ROUND((((1-GroundResDiscount31Up-GroundResIncentive)*'Grou"&amp;"nd Base'!F109)+GroundResidentialFee)*(1+GroundFuelSurcharge),2)))*(1+FedEx_Markup),2)"),70.4)</f>
        <v>70.400000000000006</v>
      </c>
      <c r="G114" s="218">
        <f ca="1">IFERROR(__xludf.DUMMYFUNCTION("ROUND((IF(SINGLE('Ground Base'!G$154)&gt;ROUND(((1-GroundResDiscount31Up-GroundResIncentive)*'Ground Base'!G109),2),ROUND((SINGLE('Ground Base'!G$154)+GroundResidentialFee)*(1+GroundFuelSurcharge),2),ROUND((((1-GroundResDiscount31Up-GroundResIncentive)*'Grou"&amp;"nd Base'!G109)+GroundResidentialFee)*(1+GroundFuelSurcharge),2)))*(1+FedEx_Markup),2)"),78.03)</f>
        <v>78.03</v>
      </c>
      <c r="H114" s="218">
        <f ca="1">IFERROR(__xludf.DUMMYFUNCTION("ROUND((IF(SINGLE('Ground Base'!H$154)&gt;ROUND(((1-GroundResDiscount31Up-GroundResIncentive)*'Ground Base'!H109),2),ROUND((SINGLE('Ground Base'!H$154)+GroundResidentialFee)*(1+GroundFuelSurcharge),2),ROUND((((1-GroundResDiscount31Up-GroundResIncentive)*'Grou"&amp;"nd Base'!H109)+GroundResidentialFee)*(1+GroundFuelSurcharge),2)))*(1+FedEx_Markup),2)"),85.74)</f>
        <v>85.74</v>
      </c>
      <c r="I114" s="218">
        <f>ROUND((IF('Ground Base'!I$154&gt;ROUND(((1-GroundAKHIDiscount)*'Ground Base'!I109),2),ROUND(('Ground Base'!I$154+GroundResidentialFee)*(1+GroundFuelSurcharge),2),ROUND((((1-GroundAKHIDiscount)*'Ground Base'!I109)+GroundResidentialFee)*(1+GroundFuelSurcharge),2)))*(1+FedEx_Markup),2)</f>
        <v>501.96</v>
      </c>
      <c r="J114" s="218">
        <f>ROUND((IF('Ground Base'!J$154&gt;ROUND(((1-GroundAKHIDiscount)*'Ground Base'!J109),2),ROUND(('Ground Base'!J$154+GroundResidentialFee)*(1+GroundFuelSurcharge),2),ROUND((((1-GroundAKHIDiscount)*'Ground Base'!J109)+GroundResidentialFee)*(1+GroundFuelSurcharge),2)))*(1+FedEx_Markup),2)</f>
        <v>501.96</v>
      </c>
      <c r="K114" s="218">
        <f>ROUND((IF('Ground Base'!K$154&gt;ROUND(((1-GroundZone51Discount)*'Ground Base'!K109),2),ROUND(('Ground Base'!K$154+GroundResidentialFee)*(1+GroundFuelSurcharge),2),ROUND((((1-GroundZone51Discount)*'Ground Base'!K109)+GroundResidentialFee)*(1+GroundFuelSurcharge),2)))*(1+FedEx_Markup),2)</f>
        <v>119.61</v>
      </c>
      <c r="L114" s="218">
        <f>ROUND((IF('Ground Base'!L$154&gt;ROUND(((1-GroundZone54Discount)*'Ground Base'!L109),2),ROUND(('Ground Base'!L$154+GroundResidentialFee)*(1+GroundFuelSurcharge),2),ROUND((((1-GroundZone54Discount)*'Ground Base'!L109)+GroundResidentialFee)*(1+GroundFuelSurcharge),2)))*(1+FedEx_Markup),2)</f>
        <v>158.22999999999999</v>
      </c>
    </row>
    <row r="115" spans="1:26" ht="12.75" customHeight="1">
      <c r="A115" s="217">
        <v>108</v>
      </c>
      <c r="B115" s="218">
        <f ca="1">IFERROR(__xludf.DUMMYFUNCTION("ROUND((IF(SINGLE('Ground Base'!B$154)&gt;ROUND(((1-GroundResDiscount31Up-GroundResIncentive)*'Ground Base'!B110),2),ROUND((SINGLE('Ground Base'!B$154)+GroundResidentialFee)*(1+GroundFuelSurcharge),2),ROUND((((1-GroundResDiscount31Up-GroundResIncentive)*'Grou"&amp;"nd Base'!B110)+GroundResidentialFee)*(1+GroundFuelSurcharge),2)))*(1+FedEx_Markup),2)"),53.54)</f>
        <v>53.54</v>
      </c>
      <c r="C115" s="218">
        <f ca="1">IFERROR(__xludf.DUMMYFUNCTION("ROUND((IF(SINGLE('Ground Base'!C$154)&gt;ROUND(((1-GroundResDiscount31Up-GroundResIncentive)*'Ground Base'!C110),2),ROUND((SINGLE('Ground Base'!C$154)+GroundResidentialFee)*(1+GroundFuelSurcharge),2),ROUND((((1-GroundResDiscount31Up-GroundResIncentive)*'Grou"&amp;"nd Base'!C110)+GroundResidentialFee)*(1+GroundFuelSurcharge),2)))*(1+FedEx_Markup),2)"),53.85)</f>
        <v>53.85</v>
      </c>
      <c r="D115" s="218">
        <f ca="1">IFERROR(__xludf.DUMMYFUNCTION("ROUND((IF(SINGLE('Ground Base'!D$154)&gt;ROUND(((1-GroundResDiscount31Up-GroundResIncentive)*'Ground Base'!D110),2),ROUND((SINGLE('Ground Base'!D$154)+GroundResidentialFee)*(1+GroundFuelSurcharge),2),ROUND((((1-GroundResDiscount31Up-GroundResIncentive)*'Grou"&amp;"nd Base'!D110)+GroundResidentialFee)*(1+GroundFuelSurcharge),2)))*(1+FedEx_Markup),2)"),58.03)</f>
        <v>58.03</v>
      </c>
      <c r="E115" s="218">
        <f ca="1">IFERROR(__xludf.DUMMYFUNCTION("ROUND((IF(SINGLE('Ground Base'!E$154)&gt;ROUND(((1-GroundResDiscount31Up-GroundResIncentive)*'Ground Base'!E110),2),ROUND((SINGLE('Ground Base'!E$154)+GroundResidentialFee)*(1+GroundFuelSurcharge),2),ROUND((((1-GroundResDiscount31Up-GroundResIncentive)*'Grou"&amp;"nd Base'!E110)+GroundResidentialFee)*(1+GroundFuelSurcharge),2)))*(1+FedEx_Markup),2)"),61.49)</f>
        <v>61.49</v>
      </c>
      <c r="F115" s="218">
        <f ca="1">IFERROR(__xludf.DUMMYFUNCTION("ROUND((IF(SINGLE('Ground Base'!F$154)&gt;ROUND(((1-GroundResDiscount31Up-GroundResIncentive)*'Ground Base'!F110),2),ROUND((SINGLE('Ground Base'!F$154)+GroundResidentialFee)*(1+GroundFuelSurcharge),2),ROUND((((1-GroundResDiscount31Up-GroundResIncentive)*'Grou"&amp;"nd Base'!F110)+GroundResidentialFee)*(1+GroundFuelSurcharge),2)))*(1+FedEx_Markup),2)"),71)</f>
        <v>71</v>
      </c>
      <c r="G115" s="218">
        <f ca="1">IFERROR(__xludf.DUMMYFUNCTION("ROUND((IF(SINGLE('Ground Base'!G$154)&gt;ROUND(((1-GroundResDiscount31Up-GroundResIncentive)*'Ground Base'!G110),2),ROUND((SINGLE('Ground Base'!G$154)+GroundResidentialFee)*(1+GroundFuelSurcharge),2),ROUND((((1-GroundResDiscount31Up-GroundResIncentive)*'Grou"&amp;"nd Base'!G110)+GroundResidentialFee)*(1+GroundFuelSurcharge),2)))*(1+FedEx_Markup),2)"),78.04)</f>
        <v>78.040000000000006</v>
      </c>
      <c r="H115" s="218">
        <f ca="1">IFERROR(__xludf.DUMMYFUNCTION("ROUND((IF(SINGLE('Ground Base'!H$154)&gt;ROUND(((1-GroundResDiscount31Up-GroundResIncentive)*'Ground Base'!H110),2),ROUND((SINGLE('Ground Base'!H$154)+GroundResidentialFee)*(1+GroundFuelSurcharge),2),ROUND((((1-GroundResDiscount31Up-GroundResIncentive)*'Grou"&amp;"nd Base'!H110)+GroundResidentialFee)*(1+GroundFuelSurcharge),2)))*(1+FedEx_Markup),2)"),85.76)</f>
        <v>85.76</v>
      </c>
      <c r="I115" s="218">
        <f>ROUND((IF('Ground Base'!I$154&gt;ROUND(((1-GroundAKHIDiscount)*'Ground Base'!I110),2),ROUND(('Ground Base'!I$154+GroundResidentialFee)*(1+GroundFuelSurcharge),2),ROUND((((1-GroundAKHIDiscount)*'Ground Base'!I110)+GroundResidentialFee)*(1+GroundFuelSurcharge),2)))*(1+FedEx_Markup),2)</f>
        <v>506.53</v>
      </c>
      <c r="J115" s="218">
        <f>ROUND((IF('Ground Base'!J$154&gt;ROUND(((1-GroundAKHIDiscount)*'Ground Base'!J110),2),ROUND(('Ground Base'!J$154+GroundResidentialFee)*(1+GroundFuelSurcharge),2),ROUND((((1-GroundAKHIDiscount)*'Ground Base'!J110)+GroundResidentialFee)*(1+GroundFuelSurcharge),2)))*(1+FedEx_Markup),2)</f>
        <v>506.53</v>
      </c>
      <c r="K115" s="218">
        <f>ROUND((IF('Ground Base'!K$154&gt;ROUND(((1-GroundZone51Discount)*'Ground Base'!K110),2),ROUND(('Ground Base'!K$154+GroundResidentialFee)*(1+GroundFuelSurcharge),2),ROUND((((1-GroundZone51Discount)*'Ground Base'!K110)+GroundResidentialFee)*(1+GroundFuelSurcharge),2)))*(1+FedEx_Markup),2)</f>
        <v>119.63</v>
      </c>
      <c r="L115" s="218">
        <f>ROUND((IF('Ground Base'!L$154&gt;ROUND(((1-GroundZone54Discount)*'Ground Base'!L110),2),ROUND(('Ground Base'!L$154+GroundResidentialFee)*(1+GroundFuelSurcharge),2),ROUND((((1-GroundZone54Discount)*'Ground Base'!L110)+GroundResidentialFee)*(1+GroundFuelSurcharge),2)))*(1+FedEx_Markup),2)</f>
        <v>158.24</v>
      </c>
    </row>
    <row r="116" spans="1:26" ht="12.75" customHeight="1">
      <c r="A116" s="217">
        <v>109</v>
      </c>
      <c r="B116" s="218">
        <f ca="1">IFERROR(__xludf.DUMMYFUNCTION("ROUND((IF(SINGLE('Ground Base'!B$154)&gt;ROUND(((1-GroundResDiscount31Up-GroundResIncentive)*'Ground Base'!B111),2),ROUND((SINGLE('Ground Base'!B$154)+GroundResidentialFee)*(1+GroundFuelSurcharge),2),ROUND((((1-GroundResDiscount31Up-GroundResIncentive)*'Grou"&amp;"nd Base'!B111)+GroundResidentialFee)*(1+GroundFuelSurcharge),2)))*(1+FedEx_Markup),2)"),55.06)</f>
        <v>55.06</v>
      </c>
      <c r="C116" s="218">
        <f ca="1">IFERROR(__xludf.DUMMYFUNCTION("ROUND((IF(SINGLE('Ground Base'!C$154)&gt;ROUND(((1-GroundResDiscount31Up-GroundResIncentive)*'Ground Base'!C111),2),ROUND((SINGLE('Ground Base'!C$154)+GroundResidentialFee)*(1+GroundFuelSurcharge),2),ROUND((((1-GroundResDiscount31Up-GroundResIncentive)*'Grou"&amp;"nd Base'!C111)+GroundResidentialFee)*(1+GroundFuelSurcharge),2)))*(1+FedEx_Markup),2)"),55.07)</f>
        <v>55.07</v>
      </c>
      <c r="D116" s="218">
        <f ca="1">IFERROR(__xludf.DUMMYFUNCTION("ROUND((IF(SINGLE('Ground Base'!D$154)&gt;ROUND(((1-GroundResDiscount31Up-GroundResIncentive)*'Ground Base'!D111),2),ROUND((SINGLE('Ground Base'!D$154)+GroundResidentialFee)*(1+GroundFuelSurcharge),2),ROUND((((1-GroundResDiscount31Up-GroundResIncentive)*'Grou"&amp;"nd Base'!D111)+GroundResidentialFee)*(1+GroundFuelSurcharge),2)))*(1+FedEx_Markup),2)"),58.71)</f>
        <v>58.71</v>
      </c>
      <c r="E116" s="218">
        <f ca="1">IFERROR(__xludf.DUMMYFUNCTION("ROUND((IF(SINGLE('Ground Base'!E$154)&gt;ROUND(((1-GroundResDiscount31Up-GroundResIncentive)*'Ground Base'!E111),2),ROUND((SINGLE('Ground Base'!E$154)+GroundResidentialFee)*(1+GroundFuelSurcharge),2),ROUND((((1-GroundResDiscount31Up-GroundResIncentive)*'Grou"&amp;"nd Base'!E111)+GroundResidentialFee)*(1+GroundFuelSurcharge),2)))*(1+FedEx_Markup),2)"),62.62)</f>
        <v>62.62</v>
      </c>
      <c r="F116" s="218">
        <f ca="1">IFERROR(__xludf.DUMMYFUNCTION("ROUND((IF(SINGLE('Ground Base'!F$154)&gt;ROUND(((1-GroundResDiscount31Up-GroundResIncentive)*'Ground Base'!F111),2),ROUND((SINGLE('Ground Base'!F$154)+GroundResidentialFee)*(1+GroundFuelSurcharge),2),ROUND((((1-GroundResDiscount31Up-GroundResIncentive)*'Grou"&amp;"nd Base'!F111)+GroundResidentialFee)*(1+GroundFuelSurcharge),2)))*(1+FedEx_Markup),2)"),71.59)</f>
        <v>71.59</v>
      </c>
      <c r="G116" s="218">
        <f ca="1">IFERROR(__xludf.DUMMYFUNCTION("ROUND((IF(SINGLE('Ground Base'!G$154)&gt;ROUND(((1-GroundResDiscount31Up-GroundResIncentive)*'Ground Base'!G111),2),ROUND((SINGLE('Ground Base'!G$154)+GroundResidentialFee)*(1+GroundFuelSurcharge),2),ROUND((((1-GroundResDiscount31Up-GroundResIncentive)*'Grou"&amp;"nd Base'!G111)+GroundResidentialFee)*(1+GroundFuelSurcharge),2)))*(1+FedEx_Markup),2)"),79.37)</f>
        <v>79.37</v>
      </c>
      <c r="H116" s="218">
        <f ca="1">IFERROR(__xludf.DUMMYFUNCTION("ROUND((IF(SINGLE('Ground Base'!H$154)&gt;ROUND(((1-GroundResDiscount31Up-GroundResIncentive)*'Ground Base'!H111),2),ROUND((SINGLE('Ground Base'!H$154)+GroundResidentialFee)*(1+GroundFuelSurcharge),2),ROUND((((1-GroundResDiscount31Up-GroundResIncentive)*'Grou"&amp;"nd Base'!H111)+GroundResidentialFee)*(1+GroundFuelSurcharge),2)))*(1+FedEx_Markup),2)"),87.26)</f>
        <v>87.26</v>
      </c>
      <c r="I116" s="218">
        <f>ROUND((IF('Ground Base'!I$154&gt;ROUND(((1-GroundAKHIDiscount)*'Ground Base'!I111),2),ROUND(('Ground Base'!I$154+GroundResidentialFee)*(1+GroundFuelSurcharge),2),ROUND((((1-GroundAKHIDiscount)*'Ground Base'!I111)+GroundResidentialFee)*(1+GroundFuelSurcharge),2)))*(1+FedEx_Markup),2)</f>
        <v>515.6</v>
      </c>
      <c r="J116" s="218">
        <f>ROUND((IF('Ground Base'!J$154&gt;ROUND(((1-GroundAKHIDiscount)*'Ground Base'!J111),2),ROUND(('Ground Base'!J$154+GroundResidentialFee)*(1+GroundFuelSurcharge),2),ROUND((((1-GroundAKHIDiscount)*'Ground Base'!J111)+GroundResidentialFee)*(1+GroundFuelSurcharge),2)))*(1+FedEx_Markup),2)</f>
        <v>515.6</v>
      </c>
      <c r="K116" s="218">
        <f>ROUND((IF('Ground Base'!K$154&gt;ROUND(((1-GroundZone51Discount)*'Ground Base'!K111),2),ROUND(('Ground Base'!K$154+GroundResidentialFee)*(1+GroundFuelSurcharge),2),ROUND((((1-GroundZone51Discount)*'Ground Base'!K111)+GroundResidentialFee)*(1+GroundFuelSurcharge),2)))*(1+FedEx_Markup),2)</f>
        <v>119.65</v>
      </c>
      <c r="L116" s="218">
        <f>ROUND((IF('Ground Base'!L$154&gt;ROUND(((1-GroundZone54Discount)*'Ground Base'!L111),2),ROUND(('Ground Base'!L$154+GroundResidentialFee)*(1+GroundFuelSurcharge),2),ROUND((((1-GroundZone54Discount)*'Ground Base'!L111)+GroundResidentialFee)*(1+GroundFuelSurcharge),2)))*(1+FedEx_Markup),2)</f>
        <v>158.25</v>
      </c>
    </row>
    <row r="117" spans="1:26" ht="12.75" customHeight="1">
      <c r="A117" s="217">
        <v>110</v>
      </c>
      <c r="B117" s="218">
        <f ca="1">IFERROR(__xludf.DUMMYFUNCTION("ROUND((IF(SINGLE('Ground Base'!B$154)&gt;ROUND(((1-GroundResDiscount31Up-GroundResIncentive)*'Ground Base'!B112),2),ROUND((SINGLE('Ground Base'!B$154)+GroundResidentialFee)*(1+GroundFuelSurcharge),2),ROUND((((1-GroundResDiscount31Up-GroundResIncentive)*'Grou"&amp;"nd Base'!B112)+GroundResidentialFee)*(1+GroundFuelSurcharge),2)))*(1+FedEx_Markup),2)"),55.95)</f>
        <v>55.95</v>
      </c>
      <c r="C117" s="218">
        <f ca="1">IFERROR(__xludf.DUMMYFUNCTION("ROUND((IF(SINGLE('Ground Base'!C$154)&gt;ROUND(((1-GroundResDiscount31Up-GroundResIncentive)*'Ground Base'!C112),2),ROUND((SINGLE('Ground Base'!C$154)+GroundResidentialFee)*(1+GroundFuelSurcharge),2),ROUND((((1-GroundResDiscount31Up-GroundResIncentive)*'Grou"&amp;"nd Base'!C112)+GroundResidentialFee)*(1+GroundFuelSurcharge),2)))*(1+FedEx_Markup),2)"),56.32)</f>
        <v>56.32</v>
      </c>
      <c r="D117" s="218">
        <f ca="1">IFERROR(__xludf.DUMMYFUNCTION("ROUND((IF(SINGLE('Ground Base'!D$154)&gt;ROUND(((1-GroundResDiscount31Up-GroundResIncentive)*'Ground Base'!D112),2),ROUND((SINGLE('Ground Base'!D$154)+GroundResidentialFee)*(1+GroundFuelSurcharge),2),ROUND((((1-GroundResDiscount31Up-GroundResIncentive)*'Grou"&amp;"nd Base'!D112)+GroundResidentialFee)*(1+GroundFuelSurcharge),2)))*(1+FedEx_Markup),2)"),59.88)</f>
        <v>59.88</v>
      </c>
      <c r="E117" s="218">
        <f ca="1">IFERROR(__xludf.DUMMYFUNCTION("ROUND((IF(SINGLE('Ground Base'!E$154)&gt;ROUND(((1-GroundResDiscount31Up-GroundResIncentive)*'Ground Base'!E112),2),ROUND((SINGLE('Ground Base'!E$154)+GroundResidentialFee)*(1+GroundFuelSurcharge),2),ROUND((((1-GroundResDiscount31Up-GroundResIncentive)*'Grou"&amp;"nd Base'!E112)+GroundResidentialFee)*(1+GroundFuelSurcharge),2)))*(1+FedEx_Markup),2)"),63.76)</f>
        <v>63.76</v>
      </c>
      <c r="F117" s="218">
        <f ca="1">IFERROR(__xludf.DUMMYFUNCTION("ROUND((IF(SINGLE('Ground Base'!F$154)&gt;ROUND(((1-GroundResDiscount31Up-GroundResIncentive)*'Ground Base'!F112),2),ROUND((SINGLE('Ground Base'!F$154)+GroundResidentialFee)*(1+GroundFuelSurcharge),2),ROUND((((1-GroundResDiscount31Up-GroundResIncentive)*'Grou"&amp;"nd Base'!F112)+GroundResidentialFee)*(1+GroundFuelSurcharge),2)))*(1+FedEx_Markup),2)"),73.49)</f>
        <v>73.489999999999995</v>
      </c>
      <c r="G117" s="218">
        <f ca="1">IFERROR(__xludf.DUMMYFUNCTION("ROUND((IF(SINGLE('Ground Base'!G$154)&gt;ROUND(((1-GroundResDiscount31Up-GroundResIncentive)*'Ground Base'!G112),2),ROUND((SINGLE('Ground Base'!G$154)+GroundResidentialFee)*(1+GroundFuelSurcharge),2),ROUND((((1-GroundResDiscount31Up-GroundResIncentive)*'Grou"&amp;"nd Base'!G112)+GroundResidentialFee)*(1+GroundFuelSurcharge),2)))*(1+FedEx_Markup),2)"),80.8)</f>
        <v>80.8</v>
      </c>
      <c r="H117" s="218">
        <f ca="1">IFERROR(__xludf.DUMMYFUNCTION("ROUND((IF(SINGLE('Ground Base'!H$154)&gt;ROUND(((1-GroundResDiscount31Up-GroundResIncentive)*'Ground Base'!H112),2),ROUND((SINGLE('Ground Base'!H$154)+GroundResidentialFee)*(1+GroundFuelSurcharge),2),ROUND((((1-GroundResDiscount31Up-GroundResIncentive)*'Grou"&amp;"nd Base'!H112)+GroundResidentialFee)*(1+GroundFuelSurcharge),2)))*(1+FedEx_Markup),2)"),88.81)</f>
        <v>88.81</v>
      </c>
      <c r="I117" s="218">
        <f>ROUND((IF('Ground Base'!I$154&gt;ROUND(((1-GroundAKHIDiscount)*'Ground Base'!I112),2),ROUND(('Ground Base'!I$154+GroundResidentialFee)*(1+GroundFuelSurcharge),2),ROUND((((1-GroundAKHIDiscount)*'Ground Base'!I112)+GroundResidentialFee)*(1+GroundFuelSurcharge),2)))*(1+FedEx_Markup),2)</f>
        <v>519.91999999999996</v>
      </c>
      <c r="J117" s="218">
        <f>ROUND((IF('Ground Base'!J$154&gt;ROUND(((1-GroundAKHIDiscount)*'Ground Base'!J112),2),ROUND(('Ground Base'!J$154+GroundResidentialFee)*(1+GroundFuelSurcharge),2),ROUND((((1-GroundAKHIDiscount)*'Ground Base'!J112)+GroundResidentialFee)*(1+GroundFuelSurcharge),2)))*(1+FedEx_Markup),2)</f>
        <v>519.91999999999996</v>
      </c>
      <c r="K117" s="218">
        <f>ROUND((IF('Ground Base'!K$154&gt;ROUND(((1-GroundZone51Discount)*'Ground Base'!K112),2),ROUND(('Ground Base'!K$154+GroundResidentialFee)*(1+GroundFuelSurcharge),2),ROUND((((1-GroundZone51Discount)*'Ground Base'!K112)+GroundResidentialFee)*(1+GroundFuelSurcharge),2)))*(1+FedEx_Markup),2)</f>
        <v>119.66</v>
      </c>
      <c r="L117" s="218">
        <f>ROUND((IF('Ground Base'!L$154&gt;ROUND(((1-GroundZone54Discount)*'Ground Base'!L112),2),ROUND(('Ground Base'!L$154+GroundResidentialFee)*(1+GroundFuelSurcharge),2),ROUND((((1-GroundZone54Discount)*'Ground Base'!L112)+GroundResidentialFee)*(1+GroundFuelSurcharge),2)))*(1+FedEx_Markup),2)</f>
        <v>158.26</v>
      </c>
    </row>
    <row r="118" spans="1:26" ht="12.75" customHeight="1">
      <c r="A118" s="217">
        <v>111</v>
      </c>
      <c r="B118" s="218">
        <f ca="1">IFERROR(__xludf.DUMMYFUNCTION("ROUND((IF(SINGLE('Ground Base'!B$154)&gt;ROUND(((1-GroundResDiscount31Up-GroundResIncentive)*'Ground Base'!B113),2),ROUND((SINGLE('Ground Base'!B$154)+GroundResidentialFee)*(1+GroundFuelSurcharge),2),ROUND((((1-GroundResDiscount31Up-GroundResIncentive)*'Grou"&amp;"nd Base'!B113)+GroundResidentialFee)*(1+GroundFuelSurcharge),2)))*(1+FedEx_Markup),2)"),55.96)</f>
        <v>55.96</v>
      </c>
      <c r="C118" s="218">
        <f ca="1">IFERROR(__xludf.DUMMYFUNCTION("ROUND((IF(SINGLE('Ground Base'!C$154)&gt;ROUND(((1-GroundResDiscount31Up-GroundResIncentive)*'Ground Base'!C113),2),ROUND((SINGLE('Ground Base'!C$154)+GroundResidentialFee)*(1+GroundFuelSurcharge),2),ROUND((((1-GroundResDiscount31Up-GroundResIncentive)*'Grou"&amp;"nd Base'!C113)+GroundResidentialFee)*(1+GroundFuelSurcharge),2)))*(1+FedEx_Markup),2)"),56.4)</f>
        <v>56.4</v>
      </c>
      <c r="D118" s="218">
        <f ca="1">IFERROR(__xludf.DUMMYFUNCTION("ROUND((IF(SINGLE('Ground Base'!D$154)&gt;ROUND(((1-GroundResDiscount31Up-GroundResIncentive)*'Ground Base'!D113),2),ROUND((SINGLE('Ground Base'!D$154)+GroundResidentialFee)*(1+GroundFuelSurcharge),2),ROUND((((1-GroundResDiscount31Up-GroundResIncentive)*'Grou"&amp;"nd Base'!D113)+GroundResidentialFee)*(1+GroundFuelSurcharge),2)))*(1+FedEx_Markup),2)"),61.13)</f>
        <v>61.13</v>
      </c>
      <c r="E118" s="218">
        <f ca="1">IFERROR(__xludf.DUMMYFUNCTION("ROUND((IF(SINGLE('Ground Base'!E$154)&gt;ROUND(((1-GroundResDiscount31Up-GroundResIncentive)*'Ground Base'!E113),2),ROUND((SINGLE('Ground Base'!E$154)+GroundResidentialFee)*(1+GroundFuelSurcharge),2),ROUND((((1-GroundResDiscount31Up-GroundResIncentive)*'Grou"&amp;"nd Base'!E113)+GroundResidentialFee)*(1+GroundFuelSurcharge),2)))*(1+FedEx_Markup),2)"),64.34)</f>
        <v>64.34</v>
      </c>
      <c r="F118" s="218">
        <f ca="1">IFERROR(__xludf.DUMMYFUNCTION("ROUND((IF(SINGLE('Ground Base'!F$154)&gt;ROUND(((1-GroundResDiscount31Up-GroundResIncentive)*'Ground Base'!F113),2),ROUND((SINGLE('Ground Base'!F$154)+GroundResidentialFee)*(1+GroundFuelSurcharge),2),ROUND((((1-GroundResDiscount31Up-GroundResIncentive)*'Grou"&amp;"nd Base'!F113)+GroundResidentialFee)*(1+GroundFuelSurcharge),2)))*(1+FedEx_Markup),2)"),73.49)</f>
        <v>73.489999999999995</v>
      </c>
      <c r="G118" s="218">
        <f ca="1">IFERROR(__xludf.DUMMYFUNCTION("ROUND((IF(SINGLE('Ground Base'!G$154)&gt;ROUND(((1-GroundResDiscount31Up-GroundResIncentive)*'Ground Base'!G113),2),ROUND((SINGLE('Ground Base'!G$154)+GroundResidentialFee)*(1+GroundFuelSurcharge),2),ROUND((((1-GroundResDiscount31Up-GroundResIncentive)*'Grou"&amp;"nd Base'!G113)+GroundResidentialFee)*(1+GroundFuelSurcharge),2)))*(1+FedEx_Markup),2)"),81.35)</f>
        <v>81.349999999999994</v>
      </c>
      <c r="H118" s="218">
        <f ca="1">IFERROR(__xludf.DUMMYFUNCTION("ROUND((IF(SINGLE('Ground Base'!H$154)&gt;ROUND(((1-GroundResDiscount31Up-GroundResIncentive)*'Ground Base'!H113),2),ROUND((SINGLE('Ground Base'!H$154)+GroundResidentialFee)*(1+GroundFuelSurcharge),2),ROUND((((1-GroundResDiscount31Up-GroundResIncentive)*'Grou"&amp;"nd Base'!H113)+GroundResidentialFee)*(1+GroundFuelSurcharge),2)))*(1+FedEx_Markup),2)"),89.83)</f>
        <v>89.83</v>
      </c>
      <c r="I118" s="218">
        <f>ROUND((IF('Ground Base'!I$154&gt;ROUND(((1-GroundAKHIDiscount)*'Ground Base'!I113),2),ROUND(('Ground Base'!I$154+GroundResidentialFee)*(1+GroundFuelSurcharge),2),ROUND((((1-GroundAKHIDiscount)*'Ground Base'!I113)+GroundResidentialFee)*(1+GroundFuelSurcharge),2)))*(1+FedEx_Markup),2)</f>
        <v>525.80999999999995</v>
      </c>
      <c r="J118" s="218">
        <f>ROUND((IF('Ground Base'!J$154&gt;ROUND(((1-GroundAKHIDiscount)*'Ground Base'!J113),2),ROUND(('Ground Base'!J$154+GroundResidentialFee)*(1+GroundFuelSurcharge),2),ROUND((((1-GroundAKHIDiscount)*'Ground Base'!J113)+GroundResidentialFee)*(1+GroundFuelSurcharge),2)))*(1+FedEx_Markup),2)</f>
        <v>525.80999999999995</v>
      </c>
      <c r="K118" s="218">
        <f>ROUND((IF('Ground Base'!K$154&gt;ROUND(((1-GroundZone51Discount)*'Ground Base'!K113),2),ROUND(('Ground Base'!K$154+GroundResidentialFee)*(1+GroundFuelSurcharge),2),ROUND((((1-GroundZone51Discount)*'Ground Base'!K113)+GroundResidentialFee)*(1+GroundFuelSurcharge),2)))*(1+FedEx_Markup),2)</f>
        <v>123.12</v>
      </c>
      <c r="L118" s="218">
        <f>ROUND((IF('Ground Base'!L$154&gt;ROUND(((1-GroundZone54Discount)*'Ground Base'!L113),2),ROUND(('Ground Base'!L$154+GroundResidentialFee)*(1+GroundFuelSurcharge),2),ROUND((((1-GroundZone54Discount)*'Ground Base'!L113)+GroundResidentialFee)*(1+GroundFuelSurcharge),2)))*(1+FedEx_Markup),2)</f>
        <v>164.32</v>
      </c>
    </row>
    <row r="119" spans="1:26" ht="12.75" customHeight="1">
      <c r="A119" s="217">
        <v>112</v>
      </c>
      <c r="B119" s="218">
        <f ca="1">IFERROR(__xludf.DUMMYFUNCTION("ROUND((IF(SINGLE('Ground Base'!B$154)&gt;ROUND(((1-GroundResDiscount31Up-GroundResIncentive)*'Ground Base'!B114),2),ROUND((SINGLE('Ground Base'!B$154)+GroundResidentialFee)*(1+GroundFuelSurcharge),2),ROUND((((1-GroundResDiscount31Up-GroundResIncentive)*'Grou"&amp;"nd Base'!B114)+GroundResidentialFee)*(1+GroundFuelSurcharge),2)))*(1+FedEx_Markup),2)"),56.58)</f>
        <v>56.58</v>
      </c>
      <c r="C119" s="218">
        <f ca="1">IFERROR(__xludf.DUMMYFUNCTION("ROUND((IF(SINGLE('Ground Base'!C$154)&gt;ROUND(((1-GroundResDiscount31Up-GroundResIncentive)*'Ground Base'!C114),2),ROUND((SINGLE('Ground Base'!C$154)+GroundResidentialFee)*(1+GroundFuelSurcharge),2),ROUND((((1-GroundResDiscount31Up-GroundResIncentive)*'Grou"&amp;"nd Base'!C114)+GroundResidentialFee)*(1+GroundFuelSurcharge),2)))*(1+FedEx_Markup),2)"),57.49)</f>
        <v>57.49</v>
      </c>
      <c r="D119" s="218">
        <f ca="1">IFERROR(__xludf.DUMMYFUNCTION("ROUND((IF(SINGLE('Ground Base'!D$154)&gt;ROUND(((1-GroundResDiscount31Up-GroundResIncentive)*'Ground Base'!D114),2),ROUND((SINGLE('Ground Base'!D$154)+GroundResidentialFee)*(1+GroundFuelSurcharge),2),ROUND((((1-GroundResDiscount31Up-GroundResIncentive)*'Grou"&amp;"nd Base'!D114)+GroundResidentialFee)*(1+GroundFuelSurcharge),2)))*(1+FedEx_Markup),2)"),61.13)</f>
        <v>61.13</v>
      </c>
      <c r="E119" s="218">
        <f ca="1">IFERROR(__xludf.DUMMYFUNCTION("ROUND((IF(SINGLE('Ground Base'!E$154)&gt;ROUND(((1-GroundResDiscount31Up-GroundResIncentive)*'Ground Base'!E114),2),ROUND((SINGLE('Ground Base'!E$154)+GroundResidentialFee)*(1+GroundFuelSurcharge),2),ROUND((((1-GroundResDiscount31Up-GroundResIncentive)*'Grou"&amp;"nd Base'!E114)+GroundResidentialFee)*(1+GroundFuelSurcharge),2)))*(1+FedEx_Markup),2)"),64.35)</f>
        <v>64.349999999999994</v>
      </c>
      <c r="F119" s="218">
        <f ca="1">IFERROR(__xludf.DUMMYFUNCTION("ROUND((IF(SINGLE('Ground Base'!F$154)&gt;ROUND(((1-GroundResDiscount31Up-GroundResIncentive)*'Ground Base'!F114),2),ROUND((SINGLE('Ground Base'!F$154)+GroundResidentialFee)*(1+GroundFuelSurcharge),2),ROUND((((1-GroundResDiscount31Up-GroundResIncentive)*'Grou"&amp;"nd Base'!F114)+GroundResidentialFee)*(1+GroundFuelSurcharge),2)))*(1+FedEx_Markup),2)"),74.05)</f>
        <v>74.05</v>
      </c>
      <c r="G119" s="218">
        <f ca="1">IFERROR(__xludf.DUMMYFUNCTION("ROUND((IF(SINGLE('Ground Base'!G$154)&gt;ROUND(((1-GroundResDiscount31Up-GroundResIncentive)*'Ground Base'!G114),2),ROUND((SINGLE('Ground Base'!G$154)+GroundResidentialFee)*(1+GroundFuelSurcharge),2),ROUND((((1-GroundResDiscount31Up-GroundResIncentive)*'Grou"&amp;"nd Base'!G114)+GroundResidentialFee)*(1+GroundFuelSurcharge),2)))*(1+FedEx_Markup),2)"),81.36)</f>
        <v>81.36</v>
      </c>
      <c r="H119" s="218">
        <f ca="1">IFERROR(__xludf.DUMMYFUNCTION("ROUND((IF(SINGLE('Ground Base'!H$154)&gt;ROUND(((1-GroundResDiscount31Up-GroundResIncentive)*'Ground Base'!H114),2),ROUND((SINGLE('Ground Base'!H$154)+GroundResidentialFee)*(1+GroundFuelSurcharge),2),ROUND((((1-GroundResDiscount31Up-GroundResIncentive)*'Grou"&amp;"nd Base'!H114)+GroundResidentialFee)*(1+GroundFuelSurcharge),2)))*(1+FedEx_Markup),2)"),89.84)</f>
        <v>89.84</v>
      </c>
      <c r="I119" s="218">
        <f>ROUND((IF('Ground Base'!I$154&gt;ROUND(((1-GroundAKHIDiscount)*'Ground Base'!I114),2),ROUND(('Ground Base'!I$154+GroundResidentialFee)*(1+GroundFuelSurcharge),2),ROUND((((1-GroundAKHIDiscount)*'Ground Base'!I114)+GroundResidentialFee)*(1+GroundFuelSurcharge),2)))*(1+FedEx_Markup),2)</f>
        <v>531.71</v>
      </c>
      <c r="J119" s="218">
        <f>ROUND((IF('Ground Base'!J$154&gt;ROUND(((1-GroundAKHIDiscount)*'Ground Base'!J114),2),ROUND(('Ground Base'!J$154+GroundResidentialFee)*(1+GroundFuelSurcharge),2),ROUND((((1-GroundAKHIDiscount)*'Ground Base'!J114)+GroundResidentialFee)*(1+GroundFuelSurcharge),2)))*(1+FedEx_Markup),2)</f>
        <v>531.71</v>
      </c>
      <c r="K119" s="218">
        <f>ROUND((IF('Ground Base'!K$154&gt;ROUND(((1-GroundZone51Discount)*'Ground Base'!K114),2),ROUND(('Ground Base'!K$154+GroundResidentialFee)*(1+GroundFuelSurcharge),2),ROUND((((1-GroundZone51Discount)*'Ground Base'!K114)+GroundResidentialFee)*(1+GroundFuelSurcharge),2)))*(1+FedEx_Markup),2)</f>
        <v>123.13</v>
      </c>
      <c r="L119" s="218">
        <f>ROUND((IF('Ground Base'!L$154&gt;ROUND(((1-GroundZone54Discount)*'Ground Base'!L114),2),ROUND(('Ground Base'!L$154+GroundResidentialFee)*(1+GroundFuelSurcharge),2),ROUND((((1-GroundZone54Discount)*'Ground Base'!L114)+GroundResidentialFee)*(1+GroundFuelSurcharge),2)))*(1+FedEx_Markup),2)</f>
        <v>164.32</v>
      </c>
    </row>
    <row r="120" spans="1:26" ht="12.75" customHeight="1">
      <c r="A120" s="217">
        <v>113</v>
      </c>
      <c r="B120" s="218">
        <f ca="1">IFERROR(__xludf.DUMMYFUNCTION("ROUND((IF(SINGLE('Ground Base'!B$154)&gt;ROUND(((1-GroundResDiscount31Up-GroundResIncentive)*'Ground Base'!B115),2),ROUND((SINGLE('Ground Base'!B$154)+GroundResidentialFee)*(1+GroundFuelSurcharge),2),ROUND((((1-GroundResDiscount31Up-GroundResIncentive)*'Grou"&amp;"nd Base'!B115)+GroundResidentialFee)*(1+GroundFuelSurcharge),2)))*(1+FedEx_Markup),2)"),56.58)</f>
        <v>56.58</v>
      </c>
      <c r="C120" s="218">
        <f ca="1">IFERROR(__xludf.DUMMYFUNCTION("ROUND((IF(SINGLE('Ground Base'!C$154)&gt;ROUND(((1-GroundResDiscount31Up-GroundResIncentive)*'Ground Base'!C115),2),ROUND((SINGLE('Ground Base'!C$154)+GroundResidentialFee)*(1+GroundFuelSurcharge),2),ROUND((((1-GroundResDiscount31Up-GroundResIncentive)*'Grou"&amp;"nd Base'!C115)+GroundResidentialFee)*(1+GroundFuelSurcharge),2)))*(1+FedEx_Markup),2)"),57.49)</f>
        <v>57.49</v>
      </c>
      <c r="D120" s="218">
        <f ca="1">IFERROR(__xludf.DUMMYFUNCTION("ROUND((IF(SINGLE('Ground Base'!D$154)&gt;ROUND(((1-GroundResDiscount31Up-GroundResIncentive)*'Ground Base'!D115),2),ROUND((SINGLE('Ground Base'!D$154)+GroundResidentialFee)*(1+GroundFuelSurcharge),2),ROUND((((1-GroundResDiscount31Up-GroundResIncentive)*'Grou"&amp;"nd Base'!D115)+GroundResidentialFee)*(1+GroundFuelSurcharge),2)))*(1+FedEx_Markup),2)"),61.77)</f>
        <v>61.77</v>
      </c>
      <c r="E120" s="218">
        <f ca="1">IFERROR(__xludf.DUMMYFUNCTION("ROUND((IF(SINGLE('Ground Base'!E$154)&gt;ROUND(((1-GroundResDiscount31Up-GroundResIncentive)*'Ground Base'!E115),2),ROUND((SINGLE('Ground Base'!E$154)+GroundResidentialFee)*(1+GroundFuelSurcharge),2),ROUND((((1-GroundResDiscount31Up-GroundResIncentive)*'Grou"&amp;"nd Base'!E115)+GroundResidentialFee)*(1+GroundFuelSurcharge),2)))*(1+FedEx_Markup),2)"),64.92)</f>
        <v>64.92</v>
      </c>
      <c r="F120" s="218">
        <f ca="1">IFERROR(__xludf.DUMMYFUNCTION("ROUND((IF(SINGLE('Ground Base'!F$154)&gt;ROUND(((1-GroundResDiscount31Up-GroundResIncentive)*'Ground Base'!F115),2),ROUND((SINGLE('Ground Base'!F$154)+GroundResidentialFee)*(1+GroundFuelSurcharge),2),ROUND((((1-GroundResDiscount31Up-GroundResIncentive)*'Grou"&amp;"nd Base'!F115)+GroundResidentialFee)*(1+GroundFuelSurcharge),2)))*(1+FedEx_Markup),2)"),74.06)</f>
        <v>74.06</v>
      </c>
      <c r="G120" s="218">
        <f ca="1">IFERROR(__xludf.DUMMYFUNCTION("ROUND((IF(SINGLE('Ground Base'!G$154)&gt;ROUND(((1-GroundResDiscount31Up-GroundResIncentive)*'Ground Base'!G115),2),ROUND((SINGLE('Ground Base'!G$154)+GroundResidentialFee)*(1+GroundFuelSurcharge),2),ROUND((((1-GroundResDiscount31Up-GroundResIncentive)*'Grou"&amp;"nd Base'!G115)+GroundResidentialFee)*(1+GroundFuelSurcharge),2)))*(1+FedEx_Markup),2)"),81.36)</f>
        <v>81.36</v>
      </c>
      <c r="H120" s="218">
        <f ca="1">IFERROR(__xludf.DUMMYFUNCTION("ROUND((IF(SINGLE('Ground Base'!H$154)&gt;ROUND(((1-GroundResDiscount31Up-GroundResIncentive)*'Ground Base'!H115),2),ROUND((SINGLE('Ground Base'!H$154)+GroundResidentialFee)*(1+GroundFuelSurcharge),2),ROUND((((1-GroundResDiscount31Up-GroundResIncentive)*'Grou"&amp;"nd Base'!H115)+GroundResidentialFee)*(1+GroundFuelSurcharge),2)))*(1+FedEx_Markup),2)"),90.59)</f>
        <v>90.59</v>
      </c>
      <c r="I120" s="218">
        <f>ROUND((IF('Ground Base'!I$154&gt;ROUND(((1-GroundAKHIDiscount)*'Ground Base'!I115),2),ROUND(('Ground Base'!I$154+GroundResidentialFee)*(1+GroundFuelSurcharge),2),ROUND((((1-GroundAKHIDiscount)*'Ground Base'!I115)+GroundResidentialFee)*(1+GroundFuelSurcharge),2)))*(1+FedEx_Markup),2)</f>
        <v>536.29</v>
      </c>
      <c r="J120" s="218">
        <f>ROUND((IF('Ground Base'!J$154&gt;ROUND(((1-GroundAKHIDiscount)*'Ground Base'!J115),2),ROUND(('Ground Base'!J$154+GroundResidentialFee)*(1+GroundFuelSurcharge),2),ROUND((((1-GroundAKHIDiscount)*'Ground Base'!J115)+GroundResidentialFee)*(1+GroundFuelSurcharge),2)))*(1+FedEx_Markup),2)</f>
        <v>536.29</v>
      </c>
      <c r="K120" s="218">
        <f>ROUND((IF('Ground Base'!K$154&gt;ROUND(((1-GroundZone51Discount)*'Ground Base'!K115),2),ROUND(('Ground Base'!K$154+GroundResidentialFee)*(1+GroundFuelSurcharge),2),ROUND((((1-GroundZone51Discount)*'Ground Base'!K115)+GroundResidentialFee)*(1+GroundFuelSurcharge),2)))*(1+FedEx_Markup),2)</f>
        <v>123.13</v>
      </c>
      <c r="L120" s="218">
        <f>ROUND((IF('Ground Base'!L$154&gt;ROUND(((1-GroundZone54Discount)*'Ground Base'!L115),2),ROUND(('Ground Base'!L$154+GroundResidentialFee)*(1+GroundFuelSurcharge),2),ROUND((((1-GroundZone54Discount)*'Ground Base'!L115)+GroundResidentialFee)*(1+GroundFuelSurcharge),2)))*(1+FedEx_Markup),2)</f>
        <v>164.36</v>
      </c>
    </row>
    <row r="121" spans="1:26" ht="12.75" customHeight="1">
      <c r="A121" s="217">
        <v>114</v>
      </c>
      <c r="B121" s="218">
        <f ca="1">IFERROR(__xludf.DUMMYFUNCTION("ROUND((IF(SINGLE('Ground Base'!B$154)&gt;ROUND(((1-GroundResDiscount31Up-GroundResIncentive)*'Ground Base'!B116),2),ROUND((SINGLE('Ground Base'!B$154)+GroundResidentialFee)*(1+GroundFuelSurcharge),2),ROUND((((1-GroundResDiscount31Up-GroundResIncentive)*'Grou"&amp;"nd Base'!B116)+GroundResidentialFee)*(1+GroundFuelSurcharge),2)))*(1+FedEx_Markup),2)"),57.14)</f>
        <v>57.14</v>
      </c>
      <c r="C121" s="218">
        <f ca="1">IFERROR(__xludf.DUMMYFUNCTION("ROUND((IF(SINGLE('Ground Base'!C$154)&gt;ROUND(((1-GroundResDiscount31Up-GroundResIncentive)*'Ground Base'!C116),2),ROUND((SINGLE('Ground Base'!C$154)+GroundResidentialFee)*(1+GroundFuelSurcharge),2),ROUND((((1-GroundResDiscount31Up-GroundResIncentive)*'Grou"&amp;"nd Base'!C116)+GroundResidentialFee)*(1+GroundFuelSurcharge),2)))*(1+FedEx_Markup),2)"),58.65)</f>
        <v>58.65</v>
      </c>
      <c r="D121" s="218">
        <f ca="1">IFERROR(__xludf.DUMMYFUNCTION("ROUND((IF(SINGLE('Ground Base'!D$154)&gt;ROUND(((1-GroundResDiscount31Up-GroundResIncentive)*'Ground Base'!D116),2),ROUND((SINGLE('Ground Base'!D$154)+GroundResidentialFee)*(1+GroundFuelSurcharge),2),ROUND((((1-GroundResDiscount31Up-GroundResIncentive)*'Grou"&amp;"nd Base'!D116)+GroundResidentialFee)*(1+GroundFuelSurcharge),2)))*(1+FedEx_Markup),2)"),63)</f>
        <v>63</v>
      </c>
      <c r="E121" s="218">
        <f ca="1">IFERROR(__xludf.DUMMYFUNCTION("ROUND((IF(SINGLE('Ground Base'!E$154)&gt;ROUND(((1-GroundResDiscount31Up-GroundResIncentive)*'Ground Base'!E116),2),ROUND((SINGLE('Ground Base'!E$154)+GroundResidentialFee)*(1+GroundFuelSurcharge),2),ROUND((((1-GroundResDiscount31Up-GroundResIncentive)*'Grou"&amp;"nd Base'!E116)+GroundResidentialFee)*(1+GroundFuelSurcharge),2)))*(1+FedEx_Markup),2)"),66.11)</f>
        <v>66.11</v>
      </c>
      <c r="F121" s="218">
        <f ca="1">IFERROR(__xludf.DUMMYFUNCTION("ROUND((IF(SINGLE('Ground Base'!F$154)&gt;ROUND(((1-GroundResDiscount31Up-GroundResIncentive)*'Ground Base'!F116),2),ROUND((SINGLE('Ground Base'!F$154)+GroundResidentialFee)*(1+GroundFuelSurcharge),2),ROUND((((1-GroundResDiscount31Up-GroundResIncentive)*'Grou"&amp;"nd Base'!F116)+GroundResidentialFee)*(1+GroundFuelSurcharge),2)))*(1+FedEx_Markup),2)"),75.93)</f>
        <v>75.930000000000007</v>
      </c>
      <c r="G121" s="218">
        <f ca="1">IFERROR(__xludf.DUMMYFUNCTION("ROUND((IF(SINGLE('Ground Base'!G$154)&gt;ROUND(((1-GroundResDiscount31Up-GroundResIncentive)*'Ground Base'!G116),2),ROUND((SINGLE('Ground Base'!G$154)+GroundResidentialFee)*(1+GroundFuelSurcharge),2),ROUND((((1-GroundResDiscount31Up-GroundResIncentive)*'Grou"&amp;"nd Base'!G116)+GroundResidentialFee)*(1+GroundFuelSurcharge),2)))*(1+FedEx_Markup),2)"),83.32)</f>
        <v>83.32</v>
      </c>
      <c r="H121" s="218">
        <f ca="1">IFERROR(__xludf.DUMMYFUNCTION("ROUND((IF(SINGLE('Ground Base'!H$154)&gt;ROUND(((1-GroundResDiscount31Up-GroundResIncentive)*'Ground Base'!H116),2),ROUND((SINGLE('Ground Base'!H$154)+GroundResidentialFee)*(1+GroundFuelSurcharge),2),ROUND((((1-GroundResDiscount31Up-GroundResIncentive)*'Grou"&amp;"nd Base'!H116)+GroundResidentialFee)*(1+GroundFuelSurcharge),2)))*(1+FedEx_Markup),2)"),91.98)</f>
        <v>91.98</v>
      </c>
      <c r="I121" s="218">
        <f>ROUND((IF('Ground Base'!I$154&gt;ROUND(((1-GroundAKHIDiscount)*'Ground Base'!I116),2),ROUND(('Ground Base'!I$154+GroundResidentialFee)*(1+GroundFuelSurcharge),2),ROUND((((1-GroundAKHIDiscount)*'Ground Base'!I116)+GroundResidentialFee)*(1+GroundFuelSurcharge),2)))*(1+FedEx_Markup),2)</f>
        <v>540.92999999999995</v>
      </c>
      <c r="J121" s="218">
        <f>ROUND((IF('Ground Base'!J$154&gt;ROUND(((1-GroundAKHIDiscount)*'Ground Base'!J116),2),ROUND(('Ground Base'!J$154+GroundResidentialFee)*(1+GroundFuelSurcharge),2),ROUND((((1-GroundAKHIDiscount)*'Ground Base'!J116)+GroundResidentialFee)*(1+GroundFuelSurcharge),2)))*(1+FedEx_Markup),2)</f>
        <v>540.92999999999995</v>
      </c>
      <c r="K121" s="218">
        <f>ROUND((IF('Ground Base'!K$154&gt;ROUND(((1-GroundZone51Discount)*'Ground Base'!K116),2),ROUND(('Ground Base'!K$154+GroundResidentialFee)*(1+GroundFuelSurcharge),2),ROUND((((1-GroundZone51Discount)*'Ground Base'!K116)+GroundResidentialFee)*(1+GroundFuelSurcharge),2)))*(1+FedEx_Markup),2)</f>
        <v>123.14</v>
      </c>
      <c r="L121" s="218">
        <f>ROUND((IF('Ground Base'!L$154&gt;ROUND(((1-GroundZone54Discount)*'Ground Base'!L116),2),ROUND(('Ground Base'!L$154+GroundResidentialFee)*(1+GroundFuelSurcharge),2),ROUND((((1-GroundZone54Discount)*'Ground Base'!L116)+GroundResidentialFee)*(1+GroundFuelSurcharge),2)))*(1+FedEx_Markup),2)</f>
        <v>164.37</v>
      </c>
    </row>
    <row r="122" spans="1:26" ht="12.75" customHeight="1">
      <c r="A122" s="217">
        <v>115</v>
      </c>
      <c r="B122" s="218">
        <f ca="1">IFERROR(__xludf.DUMMYFUNCTION("ROUND((IF(SINGLE('Ground Base'!B$154)&gt;ROUND(((1-GroundResDiscount31Up-GroundResIncentive)*'Ground Base'!B117),2),ROUND((SINGLE('Ground Base'!B$154)+GroundResidentialFee)*(1+GroundFuelSurcharge),2),ROUND((((1-GroundResDiscount31Up-GroundResIncentive)*'Grou"&amp;"nd Base'!B117)+GroundResidentialFee)*(1+GroundFuelSurcharge),2)))*(1+FedEx_Markup),2)"),58.78)</f>
        <v>58.78</v>
      </c>
      <c r="C122" s="218">
        <f ca="1">IFERROR(__xludf.DUMMYFUNCTION("ROUND((IF(SINGLE('Ground Base'!C$154)&gt;ROUND(((1-GroundResDiscount31Up-GroundResIncentive)*'Ground Base'!C117),2),ROUND((SINGLE('Ground Base'!C$154)+GroundResidentialFee)*(1+GroundFuelSurcharge),2),ROUND((((1-GroundResDiscount31Up-GroundResIncentive)*'Grou"&amp;"nd Base'!C117)+GroundResidentialFee)*(1+GroundFuelSurcharge),2)))*(1+FedEx_Markup),2)"),59.48)</f>
        <v>59.48</v>
      </c>
      <c r="D122" s="218">
        <f ca="1">IFERROR(__xludf.DUMMYFUNCTION("ROUND((IF(SINGLE('Ground Base'!D$154)&gt;ROUND(((1-GroundResDiscount31Up-GroundResIncentive)*'Ground Base'!D117),2),ROUND((SINGLE('Ground Base'!D$154)+GroundResidentialFee)*(1+GroundFuelSurcharge),2),ROUND((((1-GroundResDiscount31Up-GroundResIncentive)*'Grou"&amp;"nd Base'!D117)+GroundResidentialFee)*(1+GroundFuelSurcharge),2)))*(1+FedEx_Markup),2)"),63.01)</f>
        <v>63.01</v>
      </c>
      <c r="E122" s="218">
        <f ca="1">IFERROR(__xludf.DUMMYFUNCTION("ROUND((IF(SINGLE('Ground Base'!E$154)&gt;ROUND(((1-GroundResDiscount31Up-GroundResIncentive)*'Ground Base'!E117),2),ROUND((SINGLE('Ground Base'!E$154)+GroundResidentialFee)*(1+GroundFuelSurcharge),2),ROUND((((1-GroundResDiscount31Up-GroundResIncentive)*'Grou"&amp;"nd Base'!E117)+GroundResidentialFee)*(1+GroundFuelSurcharge),2)))*(1+FedEx_Markup),2)"),66.87)</f>
        <v>66.87</v>
      </c>
      <c r="F122" s="218">
        <f ca="1">IFERROR(__xludf.DUMMYFUNCTION("ROUND((IF(SINGLE('Ground Base'!F$154)&gt;ROUND(((1-GroundResDiscount31Up-GroundResIncentive)*'Ground Base'!F117),2),ROUND((SINGLE('Ground Base'!F$154)+GroundResidentialFee)*(1+GroundFuelSurcharge),2),ROUND((((1-GroundResDiscount31Up-GroundResIncentive)*'Grou"&amp;"nd Base'!F117)+GroundResidentialFee)*(1+GroundFuelSurcharge),2)))*(1+FedEx_Markup),2)"),75.95)</f>
        <v>75.95</v>
      </c>
      <c r="G122" s="218">
        <f ca="1">IFERROR(__xludf.DUMMYFUNCTION("ROUND((IF(SINGLE('Ground Base'!G$154)&gt;ROUND(((1-GroundResDiscount31Up-GroundResIncentive)*'Ground Base'!G117),2),ROUND((SINGLE('Ground Base'!G$154)+GroundResidentialFee)*(1+GroundFuelSurcharge),2),ROUND((((1-GroundResDiscount31Up-GroundResIncentive)*'Grou"&amp;"nd Base'!G117)+GroundResidentialFee)*(1+GroundFuelSurcharge),2)))*(1+FedEx_Markup),2)"),84.08)</f>
        <v>84.08</v>
      </c>
      <c r="H122" s="218">
        <f ca="1">IFERROR(__xludf.DUMMYFUNCTION("ROUND((IF(SINGLE('Ground Base'!H$154)&gt;ROUND(((1-GroundResDiscount31Up-GroundResIncentive)*'Ground Base'!H117),2),ROUND((SINGLE('Ground Base'!H$154)+GroundResidentialFee)*(1+GroundFuelSurcharge),2),ROUND((((1-GroundResDiscount31Up-GroundResIncentive)*'Grou"&amp;"nd Base'!H117)+GroundResidentialFee)*(1+GroundFuelSurcharge),2)))*(1+FedEx_Markup),2)"),92.01)</f>
        <v>92.01</v>
      </c>
      <c r="I122" s="218">
        <f>ROUND((IF('Ground Base'!I$154&gt;ROUND(((1-GroundAKHIDiscount)*'Ground Base'!I117),2),ROUND(('Ground Base'!I$154+GroundResidentialFee)*(1+GroundFuelSurcharge),2),ROUND((((1-GroundAKHIDiscount)*'Ground Base'!I117)+GroundResidentialFee)*(1+GroundFuelSurcharge),2)))*(1+FedEx_Markup),2)</f>
        <v>545.5</v>
      </c>
      <c r="J122" s="218">
        <f>ROUND((IF('Ground Base'!J$154&gt;ROUND(((1-GroundAKHIDiscount)*'Ground Base'!J117),2),ROUND(('Ground Base'!J$154+GroundResidentialFee)*(1+GroundFuelSurcharge),2),ROUND((((1-GroundAKHIDiscount)*'Ground Base'!J117)+GroundResidentialFee)*(1+GroundFuelSurcharge),2)))*(1+FedEx_Markup),2)</f>
        <v>545.5</v>
      </c>
      <c r="K122" s="218">
        <f>ROUND((IF('Ground Base'!K$154&gt;ROUND(((1-GroundZone51Discount)*'Ground Base'!K117),2),ROUND(('Ground Base'!K$154+GroundResidentialFee)*(1+GroundFuelSurcharge),2),ROUND((((1-GroundZone51Discount)*'Ground Base'!K117)+GroundResidentialFee)*(1+GroundFuelSurcharge),2)))*(1+FedEx_Markup),2)</f>
        <v>123.18</v>
      </c>
      <c r="L122" s="218">
        <f>ROUND((IF('Ground Base'!L$154&gt;ROUND(((1-GroundZone54Discount)*'Ground Base'!L117),2),ROUND(('Ground Base'!L$154+GroundResidentialFee)*(1+GroundFuelSurcharge),2),ROUND((((1-GroundZone54Discount)*'Ground Base'!L117)+GroundResidentialFee)*(1+GroundFuelSurcharge),2)))*(1+FedEx_Markup),2)</f>
        <v>164.38</v>
      </c>
    </row>
    <row r="123" spans="1:26" ht="12.75" customHeight="1">
      <c r="A123" s="217">
        <v>116</v>
      </c>
      <c r="B123" s="218">
        <f ca="1">IFERROR(__xludf.DUMMYFUNCTION("ROUND((IF(SINGLE('Ground Base'!B$154)&gt;ROUND(((1-GroundResDiscount31Up-GroundResIncentive)*'Ground Base'!B118),2),ROUND((SINGLE('Ground Base'!B$154)+GroundResidentialFee)*(1+GroundFuelSurcharge),2),ROUND((((1-GroundResDiscount31Up-GroundResIncentive)*'Grou"&amp;"nd Base'!B118)+GroundResidentialFee)*(1+GroundFuelSurcharge),2)))*(1+FedEx_Markup),2)"),58.79)</f>
        <v>58.79</v>
      </c>
      <c r="C123" s="218">
        <f ca="1">IFERROR(__xludf.DUMMYFUNCTION("ROUND((IF(SINGLE('Ground Base'!C$154)&gt;ROUND(((1-GroundResDiscount31Up-GroundResIncentive)*'Ground Base'!C118),2),ROUND((SINGLE('Ground Base'!C$154)+GroundResidentialFee)*(1+GroundFuelSurcharge),2),ROUND((((1-GroundResDiscount31Up-GroundResIncentive)*'Grou"&amp;"nd Base'!C118)+GroundResidentialFee)*(1+GroundFuelSurcharge),2)))*(1+FedEx_Markup),2)"),59.49)</f>
        <v>59.49</v>
      </c>
      <c r="D123" s="218">
        <f ca="1">IFERROR(__xludf.DUMMYFUNCTION("ROUND((IF(SINGLE('Ground Base'!D$154)&gt;ROUND(((1-GroundResDiscount31Up-GroundResIncentive)*'Ground Base'!D118),2),ROUND((SINGLE('Ground Base'!D$154)+GroundResidentialFee)*(1+GroundFuelSurcharge),2),ROUND((((1-GroundResDiscount31Up-GroundResIncentive)*'Grou"&amp;"nd Base'!D118)+GroundResidentialFee)*(1+GroundFuelSurcharge),2)))*(1+FedEx_Markup),2)"),63.74)</f>
        <v>63.74</v>
      </c>
      <c r="E123" s="218">
        <f ca="1">IFERROR(__xludf.DUMMYFUNCTION("ROUND((IF(SINGLE('Ground Base'!E$154)&gt;ROUND(((1-GroundResDiscount31Up-GroundResIncentive)*'Ground Base'!E118),2),ROUND((SINGLE('Ground Base'!E$154)+GroundResidentialFee)*(1+GroundFuelSurcharge),2),ROUND((((1-GroundResDiscount31Up-GroundResIncentive)*'Grou"&amp;"nd Base'!E118)+GroundResidentialFee)*(1+GroundFuelSurcharge),2)))*(1+FedEx_Markup),2)"),66.88)</f>
        <v>66.88</v>
      </c>
      <c r="F123" s="218">
        <f ca="1">IFERROR(__xludf.DUMMYFUNCTION("ROUND((IF(SINGLE('Ground Base'!F$154)&gt;ROUND(((1-GroundResDiscount31Up-GroundResIncentive)*'Ground Base'!F118),2),ROUND((SINGLE('Ground Base'!F$154)+GroundResidentialFee)*(1+GroundFuelSurcharge),2),ROUND((((1-GroundResDiscount31Up-GroundResIncentive)*'Grou"&amp;"nd Base'!F118)+GroundResidentialFee)*(1+GroundFuelSurcharge),2)))*(1+FedEx_Markup),2)"),77)</f>
        <v>77</v>
      </c>
      <c r="G123" s="218">
        <f ca="1">IFERROR(__xludf.DUMMYFUNCTION("ROUND((IF(SINGLE('Ground Base'!G$154)&gt;ROUND(((1-GroundResDiscount31Up-GroundResIncentive)*'Ground Base'!G118),2),ROUND((SINGLE('Ground Base'!G$154)+GroundResidentialFee)*(1+GroundFuelSurcharge),2),ROUND((((1-GroundResDiscount31Up-GroundResIncentive)*'Grou"&amp;"nd Base'!G118)+GroundResidentialFee)*(1+GroundFuelSurcharge),2)))*(1+FedEx_Markup),2)"),85.1)</f>
        <v>85.1</v>
      </c>
      <c r="H123" s="218">
        <f ca="1">IFERROR(__xludf.DUMMYFUNCTION("ROUND((IF(SINGLE('Ground Base'!H$154)&gt;ROUND(((1-GroundResDiscount31Up-GroundResIncentive)*'Ground Base'!H118),2),ROUND((SINGLE('Ground Base'!H$154)+GroundResidentialFee)*(1+GroundFuelSurcharge),2),ROUND((((1-GroundResDiscount31Up-GroundResIncentive)*'Grou"&amp;"nd Base'!H118)+GroundResidentialFee)*(1+GroundFuelSurcharge),2)))*(1+FedEx_Markup),2)"),93.38)</f>
        <v>93.38</v>
      </c>
      <c r="I123" s="218">
        <f>ROUND((IF('Ground Base'!I$154&gt;ROUND(((1-GroundAKHIDiscount)*'Ground Base'!I118),2),ROUND(('Ground Base'!I$154+GroundResidentialFee)*(1+GroundFuelSurcharge),2),ROUND((((1-GroundAKHIDiscount)*'Ground Base'!I118)+GroundResidentialFee)*(1+GroundFuelSurcharge),2)))*(1+FedEx_Markup),2)</f>
        <v>545.51</v>
      </c>
      <c r="J123" s="218">
        <f>ROUND((IF('Ground Base'!J$154&gt;ROUND(((1-GroundAKHIDiscount)*'Ground Base'!J118),2),ROUND(('Ground Base'!J$154+GroundResidentialFee)*(1+GroundFuelSurcharge),2),ROUND((((1-GroundAKHIDiscount)*'Ground Base'!J118)+GroundResidentialFee)*(1+GroundFuelSurcharge),2)))*(1+FedEx_Markup),2)</f>
        <v>545.51</v>
      </c>
      <c r="K123" s="218">
        <f>ROUND((IF('Ground Base'!K$154&gt;ROUND(((1-GroundZone51Discount)*'Ground Base'!K118),2),ROUND(('Ground Base'!K$154+GroundResidentialFee)*(1+GroundFuelSurcharge),2),ROUND((((1-GroundZone51Discount)*'Ground Base'!K118)+GroundResidentialFee)*(1+GroundFuelSurcharge),2)))*(1+FedEx_Markup),2)</f>
        <v>126.3</v>
      </c>
      <c r="L123" s="218">
        <f>ROUND((IF('Ground Base'!L$154&gt;ROUND(((1-GroundZone54Discount)*'Ground Base'!L118),2),ROUND(('Ground Base'!L$154+GroundResidentialFee)*(1+GroundFuelSurcharge),2),ROUND((((1-GroundZone54Discount)*'Ground Base'!L118)+GroundResidentialFee)*(1+GroundFuelSurcharge),2)))*(1+FedEx_Markup),2)</f>
        <v>170.43</v>
      </c>
    </row>
    <row r="124" spans="1:26" ht="12.75" customHeight="1">
      <c r="A124" s="217">
        <v>117</v>
      </c>
      <c r="B124" s="218">
        <f ca="1">IFERROR(__xludf.DUMMYFUNCTION("ROUND((IF(SINGLE('Ground Base'!B$154)&gt;ROUND(((1-GroundResDiscount31Up-GroundResIncentive)*'Ground Base'!B119),2),ROUND((SINGLE('Ground Base'!B$154)+GroundResidentialFee)*(1+GroundFuelSurcharge),2),ROUND((((1-GroundResDiscount31Up-GroundResIncentive)*'Grou"&amp;"nd Base'!B119)+GroundResidentialFee)*(1+GroundFuelSurcharge),2)))*(1+FedEx_Markup),2)"),58.83)</f>
        <v>58.83</v>
      </c>
      <c r="C124" s="218">
        <f ca="1">IFERROR(__xludf.DUMMYFUNCTION("ROUND((IF(SINGLE('Ground Base'!C$154)&gt;ROUND(((1-GroundResDiscount31Up-GroundResIncentive)*'Ground Base'!C119),2),ROUND((SINGLE('Ground Base'!C$154)+GroundResidentialFee)*(1+GroundFuelSurcharge),2),ROUND((((1-GroundResDiscount31Up-GroundResIncentive)*'Grou"&amp;"nd Base'!C119)+GroundResidentialFee)*(1+GroundFuelSurcharge),2)))*(1+FedEx_Markup),2)"),60.03)</f>
        <v>60.03</v>
      </c>
      <c r="D124" s="218">
        <f ca="1">IFERROR(__xludf.DUMMYFUNCTION("ROUND((IF(SINGLE('Ground Base'!D$154)&gt;ROUND(((1-GroundResDiscount31Up-GroundResIncentive)*'Ground Base'!D119),2),ROUND((SINGLE('Ground Base'!D$154)+GroundResidentialFee)*(1+GroundFuelSurcharge),2),ROUND((((1-GroundResDiscount31Up-GroundResIncentive)*'Grou"&amp;"nd Base'!D119)+GroundResidentialFee)*(1+GroundFuelSurcharge),2)))*(1+FedEx_Markup),2)"),64.32)</f>
        <v>64.319999999999993</v>
      </c>
      <c r="E124" s="218">
        <f ca="1">IFERROR(__xludf.DUMMYFUNCTION("ROUND((IF(SINGLE('Ground Base'!E$154)&gt;ROUND(((1-GroundResDiscount31Up-GroundResIncentive)*'Ground Base'!E119),2),ROUND((SINGLE('Ground Base'!E$154)+GroundResidentialFee)*(1+GroundFuelSurcharge),2),ROUND((((1-GroundResDiscount31Up-GroundResIncentive)*'Grou"&amp;"nd Base'!E119)+GroundResidentialFee)*(1+GroundFuelSurcharge),2)))*(1+FedEx_Markup),2)"),67.74)</f>
        <v>67.739999999999995</v>
      </c>
      <c r="F124" s="218">
        <f ca="1">IFERROR(__xludf.DUMMYFUNCTION("ROUND((IF(SINGLE('Ground Base'!F$154)&gt;ROUND(((1-GroundResDiscount31Up-GroundResIncentive)*'Ground Base'!F119),2),ROUND((SINGLE('Ground Base'!F$154)+GroundResidentialFee)*(1+GroundFuelSurcharge),2),ROUND((((1-GroundResDiscount31Up-GroundResIncentive)*'Grou"&amp;"nd Base'!F119)+GroundResidentialFee)*(1+GroundFuelSurcharge),2)))*(1+FedEx_Markup),2)"),77.02)</f>
        <v>77.02</v>
      </c>
      <c r="G124" s="218">
        <f ca="1">IFERROR(__xludf.DUMMYFUNCTION("ROUND((IF(SINGLE('Ground Base'!G$154)&gt;ROUND(((1-GroundResDiscount31Up-GroundResIncentive)*'Ground Base'!G119),2),ROUND((SINGLE('Ground Base'!G$154)+GroundResidentialFee)*(1+GroundFuelSurcharge),2),ROUND((((1-GroundResDiscount31Up-GroundResIncentive)*'Grou"&amp;"nd Base'!G119)+GroundResidentialFee)*(1+GroundFuelSurcharge),2)))*(1+FedEx_Markup),2)"),85.1)</f>
        <v>85.1</v>
      </c>
      <c r="H124" s="218">
        <f ca="1">IFERROR(__xludf.DUMMYFUNCTION("ROUND((IF(SINGLE('Ground Base'!H$154)&gt;ROUND(((1-GroundResDiscount31Up-GroundResIncentive)*'Ground Base'!H119),2),ROUND((SINGLE('Ground Base'!H$154)+GroundResidentialFee)*(1+GroundFuelSurcharge),2),ROUND((((1-GroundResDiscount31Up-GroundResIncentive)*'Grou"&amp;"nd Base'!H119)+GroundResidentialFee)*(1+GroundFuelSurcharge),2)))*(1+FedEx_Markup),2)"),93.97)</f>
        <v>93.97</v>
      </c>
      <c r="I124" s="218">
        <f>ROUND((IF('Ground Base'!I$154&gt;ROUND(((1-GroundAKHIDiscount)*'Ground Base'!I119),2),ROUND(('Ground Base'!I$154+GroundResidentialFee)*(1+GroundFuelSurcharge),2),ROUND((((1-GroundAKHIDiscount)*'Ground Base'!I119)+GroundResidentialFee)*(1+GroundFuelSurcharge),2)))*(1+FedEx_Markup),2)</f>
        <v>548.1</v>
      </c>
      <c r="J124" s="218">
        <f>ROUND((IF('Ground Base'!J$154&gt;ROUND(((1-GroundAKHIDiscount)*'Ground Base'!J119),2),ROUND(('Ground Base'!J$154+GroundResidentialFee)*(1+GroundFuelSurcharge),2),ROUND((((1-GroundAKHIDiscount)*'Ground Base'!J119)+GroundResidentialFee)*(1+GroundFuelSurcharge),2)))*(1+FedEx_Markup),2)</f>
        <v>548.1</v>
      </c>
      <c r="K124" s="218">
        <f>ROUND((IF('Ground Base'!K$154&gt;ROUND(((1-GroundZone51Discount)*'Ground Base'!K119),2),ROUND(('Ground Base'!K$154+GroundResidentialFee)*(1+GroundFuelSurcharge),2),ROUND((((1-GroundZone51Discount)*'Ground Base'!K119)+GroundResidentialFee)*(1+GroundFuelSurcharge),2)))*(1+FedEx_Markup),2)</f>
        <v>126.32</v>
      </c>
      <c r="L124" s="218">
        <f>ROUND((IF('Ground Base'!L$154&gt;ROUND(((1-GroundZone54Discount)*'Ground Base'!L119),2),ROUND(('Ground Base'!L$154+GroundResidentialFee)*(1+GroundFuelSurcharge),2),ROUND((((1-GroundZone54Discount)*'Ground Base'!L119)+GroundResidentialFee)*(1+GroundFuelSurcharge),2)))*(1+FedEx_Markup),2)</f>
        <v>170.44</v>
      </c>
    </row>
    <row r="125" spans="1:26" ht="12.75" customHeight="1">
      <c r="A125" s="217">
        <v>118</v>
      </c>
      <c r="B125" s="218">
        <f ca="1">IFERROR(__xludf.DUMMYFUNCTION("ROUND((IF(SINGLE('Ground Base'!B$154)&gt;ROUND(((1-GroundResDiscount31Up-GroundResIncentive)*'Ground Base'!B120),2),ROUND((SINGLE('Ground Base'!B$154)+GroundResidentialFee)*(1+GroundFuelSurcharge),2),ROUND((((1-GroundResDiscount31Up-GroundResIncentive)*'Grou"&amp;"nd Base'!B120)+GroundResidentialFee)*(1+GroundFuelSurcharge),2)))*(1+FedEx_Markup),2)"),59.43)</f>
        <v>59.43</v>
      </c>
      <c r="C125" s="218">
        <f ca="1">IFERROR(__xludf.DUMMYFUNCTION("ROUND((IF(SINGLE('Ground Base'!C$154)&gt;ROUND(((1-GroundResDiscount31Up-GroundResIncentive)*'Ground Base'!C120),2),ROUND((SINGLE('Ground Base'!C$154)+GroundResidentialFee)*(1+GroundFuelSurcharge),2),ROUND((((1-GroundResDiscount31Up-GroundResIncentive)*'Grou"&amp;"nd Base'!C120)+GroundResidentialFee)*(1+GroundFuelSurcharge),2)))*(1+FedEx_Markup),2)"),60.7)</f>
        <v>60.7</v>
      </c>
      <c r="D125" s="218">
        <f ca="1">IFERROR(__xludf.DUMMYFUNCTION("ROUND((IF(SINGLE('Ground Base'!D$154)&gt;ROUND(((1-GroundResDiscount31Up-GroundResIncentive)*'Ground Base'!D120),2),ROUND((SINGLE('Ground Base'!D$154)+GroundResidentialFee)*(1+GroundFuelSurcharge),2),ROUND((((1-GroundResDiscount31Up-GroundResIncentive)*'Grou"&amp;"nd Base'!D120)+GroundResidentialFee)*(1+GroundFuelSurcharge),2)))*(1+FedEx_Markup),2)"),64.38)</f>
        <v>64.38</v>
      </c>
      <c r="E125" s="218">
        <f ca="1">IFERROR(__xludf.DUMMYFUNCTION("ROUND((IF(SINGLE('Ground Base'!E$154)&gt;ROUND(((1-GroundResDiscount31Up-GroundResIncentive)*'Ground Base'!E120),2),ROUND((SINGLE('Ground Base'!E$154)+GroundResidentialFee)*(1+GroundFuelSurcharge),2),ROUND((((1-GroundResDiscount31Up-GroundResIncentive)*'Grou"&amp;"nd Base'!E120)+GroundResidentialFee)*(1+GroundFuelSurcharge),2)))*(1+FedEx_Markup),2)"),67.93)</f>
        <v>67.930000000000007</v>
      </c>
      <c r="F125" s="218">
        <f ca="1">IFERROR(__xludf.DUMMYFUNCTION("ROUND((IF(SINGLE('Ground Base'!F$154)&gt;ROUND(((1-GroundResDiscount31Up-GroundResIncentive)*'Ground Base'!F120),2),ROUND((SINGLE('Ground Base'!F$154)+GroundResidentialFee)*(1+GroundFuelSurcharge),2),ROUND((((1-GroundResDiscount31Up-GroundResIncentive)*'Grou"&amp;"nd Base'!F120)+GroundResidentialFee)*(1+GroundFuelSurcharge),2)))*(1+FedEx_Markup),2)"),77.56)</f>
        <v>77.56</v>
      </c>
      <c r="G125" s="218">
        <f ca="1">IFERROR(__xludf.DUMMYFUNCTION("ROUND((IF(SINGLE('Ground Base'!G$154)&gt;ROUND(((1-GroundResDiscount31Up-GroundResIncentive)*'Ground Base'!G120),2),ROUND((SINGLE('Ground Base'!G$154)+GroundResidentialFee)*(1+GroundFuelSurcharge),2),ROUND((((1-GroundResDiscount31Up-GroundResIncentive)*'Grou"&amp;"nd Base'!G120)+GroundResidentialFee)*(1+GroundFuelSurcharge),2)))*(1+FedEx_Markup),2)"),85.11)</f>
        <v>85.11</v>
      </c>
      <c r="H125" s="218">
        <f ca="1">IFERROR(__xludf.DUMMYFUNCTION("ROUND((IF(SINGLE('Ground Base'!H$154)&gt;ROUND(((1-GroundResDiscount31Up-GroundResIncentive)*'Ground Base'!H120),2),ROUND((SINGLE('Ground Base'!H$154)+GroundResidentialFee)*(1+GroundFuelSurcharge),2),ROUND((((1-GroundResDiscount31Up-GroundResIncentive)*'Grou"&amp;"nd Base'!H120)+GroundResidentialFee)*(1+GroundFuelSurcharge),2)))*(1+FedEx_Markup),2)"),95.52)</f>
        <v>95.52</v>
      </c>
      <c r="I125" s="218">
        <f>ROUND((IF('Ground Base'!I$154&gt;ROUND(((1-GroundAKHIDiscount)*'Ground Base'!I120),2),ROUND(('Ground Base'!I$154+GroundResidentialFee)*(1+GroundFuelSurcharge),2),ROUND((((1-GroundAKHIDiscount)*'Ground Base'!I120)+GroundResidentialFee)*(1+GroundFuelSurcharge),2)))*(1+FedEx_Markup),2)</f>
        <v>552.4</v>
      </c>
      <c r="J125" s="218">
        <f>ROUND((IF('Ground Base'!J$154&gt;ROUND(((1-GroundAKHIDiscount)*'Ground Base'!J120),2),ROUND(('Ground Base'!J$154+GroundResidentialFee)*(1+GroundFuelSurcharge),2),ROUND((((1-GroundAKHIDiscount)*'Ground Base'!J120)+GroundResidentialFee)*(1+GroundFuelSurcharge),2)))*(1+FedEx_Markup),2)</f>
        <v>552.4</v>
      </c>
      <c r="K125" s="218">
        <f>ROUND((IF('Ground Base'!K$154&gt;ROUND(((1-GroundZone51Discount)*'Ground Base'!K120),2),ROUND(('Ground Base'!K$154+GroundResidentialFee)*(1+GroundFuelSurcharge),2),ROUND((((1-GroundZone51Discount)*'Ground Base'!K120)+GroundResidentialFee)*(1+GroundFuelSurcharge),2)))*(1+FedEx_Markup),2)</f>
        <v>126.33</v>
      </c>
      <c r="L125" s="218">
        <f>ROUND((IF('Ground Base'!L$154&gt;ROUND(((1-GroundZone54Discount)*'Ground Base'!L120),2),ROUND(('Ground Base'!L$154+GroundResidentialFee)*(1+GroundFuelSurcharge),2),ROUND((((1-GroundZone54Discount)*'Ground Base'!L120)+GroundResidentialFee)*(1+GroundFuelSurcharge),2)))*(1+FedEx_Markup),2)</f>
        <v>170.45</v>
      </c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2.75" customHeight="1">
      <c r="A126" s="217">
        <v>119</v>
      </c>
      <c r="B126" s="218">
        <f ca="1">IFERROR(__xludf.DUMMYFUNCTION("ROUND((IF(SINGLE('Ground Base'!B$154)&gt;ROUND(((1-GroundResDiscount31Up-GroundResIncentive)*'Ground Base'!B121),2),ROUND((SINGLE('Ground Base'!B$154)+GroundResidentialFee)*(1+GroundFuelSurcharge),2),ROUND((((1-GroundResDiscount31Up-GroundResIncentive)*'Grou"&amp;"nd Base'!B121)+GroundResidentialFee)*(1+GroundFuelSurcharge),2)))*(1+FedEx_Markup),2)"),61.1)</f>
        <v>61.1</v>
      </c>
      <c r="C126" s="218">
        <f ca="1">IFERROR(__xludf.DUMMYFUNCTION("ROUND((IF(SINGLE('Ground Base'!C$154)&gt;ROUND(((1-GroundResDiscount31Up-GroundResIncentive)*'Ground Base'!C121),2),ROUND((SINGLE('Ground Base'!C$154)+GroundResidentialFee)*(1+GroundFuelSurcharge),2),ROUND((((1-GroundResDiscount31Up-GroundResIncentive)*'Grou"&amp;"nd Base'!C121)+GroundResidentialFee)*(1+GroundFuelSurcharge),2)))*(1+FedEx_Markup),2)"),61.87)</f>
        <v>61.87</v>
      </c>
      <c r="D126" s="218">
        <f ca="1">IFERROR(__xludf.DUMMYFUNCTION("ROUND((IF(SINGLE('Ground Base'!D$154)&gt;ROUND(((1-GroundResDiscount31Up-GroundResIncentive)*'Ground Base'!D121),2),ROUND((SINGLE('Ground Base'!D$154)+GroundResidentialFee)*(1+GroundFuelSurcharge),2),ROUND((((1-GroundResDiscount31Up-GroundResIncentive)*'Grou"&amp;"nd Base'!D121)+GroundResidentialFee)*(1+GroundFuelSurcharge),2)))*(1+FedEx_Markup),2)"),66.19)</f>
        <v>66.19</v>
      </c>
      <c r="E126" s="218">
        <f ca="1">IFERROR(__xludf.DUMMYFUNCTION("ROUND((IF(SINGLE('Ground Base'!E$154)&gt;ROUND(((1-GroundResDiscount31Up-GroundResIncentive)*'Ground Base'!E121),2),ROUND((SINGLE('Ground Base'!E$154)+GroundResidentialFee)*(1+GroundFuelSurcharge),2),ROUND((((1-GroundResDiscount31Up-GroundResIncentive)*'Grou"&amp;"nd Base'!E121)+GroundResidentialFee)*(1+GroundFuelSurcharge),2)))*(1+FedEx_Markup),2)"),68.91)</f>
        <v>68.91</v>
      </c>
      <c r="F126" s="218">
        <f ca="1">IFERROR(__xludf.DUMMYFUNCTION("ROUND((IF(SINGLE('Ground Base'!F$154)&gt;ROUND(((1-GroundResDiscount31Up-GroundResIncentive)*'Ground Base'!F121),2),ROUND((SINGLE('Ground Base'!F$154)+GroundResidentialFee)*(1+GroundFuelSurcharge),2),ROUND((((1-GroundResDiscount31Up-GroundResIncentive)*'Grou"&amp;"nd Base'!F121)+GroundResidentialFee)*(1+GroundFuelSurcharge),2)))*(1+FedEx_Markup),2)"),77.56)</f>
        <v>77.56</v>
      </c>
      <c r="G126" s="218">
        <f ca="1">IFERROR(__xludf.DUMMYFUNCTION("ROUND((IF(SINGLE('Ground Base'!G$154)&gt;ROUND(((1-GroundResDiscount31Up-GroundResIncentive)*'Ground Base'!G121),2),ROUND((SINGLE('Ground Base'!G$154)+GroundResidentialFee)*(1+GroundFuelSurcharge),2),ROUND((((1-GroundResDiscount31Up-GroundResIncentive)*'Grou"&amp;"nd Base'!G121)+GroundResidentialFee)*(1+GroundFuelSurcharge),2)))*(1+FedEx_Markup),2)"),85.74)</f>
        <v>85.74</v>
      </c>
      <c r="H126" s="218">
        <f ca="1">IFERROR(__xludf.DUMMYFUNCTION("ROUND((IF(SINGLE('Ground Base'!H$154)&gt;ROUND(((1-GroundResDiscount31Up-GroundResIncentive)*'Ground Base'!H121),2),ROUND((SINGLE('Ground Base'!H$154)+GroundResidentialFee)*(1+GroundFuelSurcharge),2),ROUND((((1-GroundResDiscount31Up-GroundResIncentive)*'Grou"&amp;"nd Base'!H121)+GroundResidentialFee)*(1+GroundFuelSurcharge),2)))*(1+FedEx_Markup),2)"),95.53)</f>
        <v>95.53</v>
      </c>
      <c r="I126" s="218">
        <f>ROUND((IF('Ground Base'!I$154&gt;ROUND(((1-GroundAKHIDiscount)*'Ground Base'!I121),2),ROUND(('Ground Base'!I$154+GroundResidentialFee)*(1+GroundFuelSurcharge),2),ROUND((((1-GroundAKHIDiscount)*'Ground Base'!I121)+GroundResidentialFee)*(1+GroundFuelSurcharge),2)))*(1+FedEx_Markup),2)</f>
        <v>565.59</v>
      </c>
      <c r="J126" s="218">
        <f>ROUND((IF('Ground Base'!J$154&gt;ROUND(((1-GroundAKHIDiscount)*'Ground Base'!J121),2),ROUND(('Ground Base'!J$154+GroundResidentialFee)*(1+GroundFuelSurcharge),2),ROUND((((1-GroundAKHIDiscount)*'Ground Base'!J121)+GroundResidentialFee)*(1+GroundFuelSurcharge),2)))*(1+FedEx_Markup),2)</f>
        <v>565.59</v>
      </c>
      <c r="K126" s="218">
        <f>ROUND((IF('Ground Base'!K$154&gt;ROUND(((1-GroundZone51Discount)*'Ground Base'!K121),2),ROUND(('Ground Base'!K$154+GroundResidentialFee)*(1+GroundFuelSurcharge),2),ROUND((((1-GroundZone51Discount)*'Ground Base'!K121)+GroundResidentialFee)*(1+GroundFuelSurcharge),2)))*(1+FedEx_Markup),2)</f>
        <v>126.34</v>
      </c>
      <c r="L126" s="218">
        <f>ROUND((IF('Ground Base'!L$154&gt;ROUND(((1-GroundZone54Discount)*'Ground Base'!L121),2),ROUND(('Ground Base'!L$154+GroundResidentialFee)*(1+GroundFuelSurcharge),2),ROUND((((1-GroundZone54Discount)*'Ground Base'!L121)+GroundResidentialFee)*(1+GroundFuelSurcharge),2)))*(1+FedEx_Markup),2)</f>
        <v>170.45</v>
      </c>
    </row>
    <row r="127" spans="1:26" ht="12.75" customHeight="1">
      <c r="A127" s="217">
        <v>120</v>
      </c>
      <c r="B127" s="218">
        <f ca="1">IFERROR(__xludf.DUMMYFUNCTION("ROUND((IF(SINGLE('Ground Base'!B$154)&gt;ROUND(((1-GroundResDiscount31Up-GroundResIncentive)*'Ground Base'!B122),2),ROUND((SINGLE('Ground Base'!B$154)+GroundResidentialFee)*(1+GroundFuelSurcharge),2),ROUND((((1-GroundResDiscount31Up-GroundResIncentive)*'Grou"&amp;"nd Base'!B122)+GroundResidentialFee)*(1+GroundFuelSurcharge),2)))*(1+FedEx_Markup),2)"),62.68)</f>
        <v>62.68</v>
      </c>
      <c r="C127" s="218">
        <f ca="1">IFERROR(__xludf.DUMMYFUNCTION("ROUND((IF(SINGLE('Ground Base'!C$154)&gt;ROUND(((1-GroundResDiscount31Up-GroundResIncentive)*'Ground Base'!C122),2),ROUND((SINGLE('Ground Base'!C$154)+GroundResidentialFee)*(1+GroundFuelSurcharge),2),ROUND((((1-GroundResDiscount31Up-GroundResIncentive)*'Grou"&amp;"nd Base'!C122)+GroundResidentialFee)*(1+GroundFuelSurcharge),2)))*(1+FedEx_Markup),2)"),62.72)</f>
        <v>62.72</v>
      </c>
      <c r="D127" s="218">
        <f ca="1">IFERROR(__xludf.DUMMYFUNCTION("ROUND((IF(SINGLE('Ground Base'!D$154)&gt;ROUND(((1-GroundResDiscount31Up-GroundResIncentive)*'Ground Base'!D122),2),ROUND((SINGLE('Ground Base'!D$154)+GroundResidentialFee)*(1+GroundFuelSurcharge),2),ROUND((((1-GroundResDiscount31Up-GroundResIncentive)*'Grou"&amp;"nd Base'!D122)+GroundResidentialFee)*(1+GroundFuelSurcharge),2)))*(1+FedEx_Markup),2)"),66.29)</f>
        <v>66.290000000000006</v>
      </c>
      <c r="E127" s="218">
        <f ca="1">IFERROR(__xludf.DUMMYFUNCTION("ROUND((IF(SINGLE('Ground Base'!E$154)&gt;ROUND(((1-GroundResDiscount31Up-GroundResIncentive)*'Ground Base'!E122),2),ROUND((SINGLE('Ground Base'!E$154)+GroundResidentialFee)*(1+GroundFuelSurcharge),2),ROUND((((1-GroundResDiscount31Up-GroundResIncentive)*'Grou"&amp;"nd Base'!E122)+GroundResidentialFee)*(1+GroundFuelSurcharge),2)))*(1+FedEx_Markup),2)"),69.36)</f>
        <v>69.36</v>
      </c>
      <c r="F127" s="218">
        <f ca="1">IFERROR(__xludf.DUMMYFUNCTION("ROUND((IF(SINGLE('Ground Base'!F$154)&gt;ROUND(((1-GroundResDiscount31Up-GroundResIncentive)*'Ground Base'!F122),2),ROUND((SINGLE('Ground Base'!F$154)+GroundResidentialFee)*(1+GroundFuelSurcharge),2),ROUND((((1-GroundResDiscount31Up-GroundResIncentive)*'Grou"&amp;"nd Base'!F122)+GroundResidentialFee)*(1+GroundFuelSurcharge),2)))*(1+FedEx_Markup),2)"),78.86)</f>
        <v>78.86</v>
      </c>
      <c r="G127" s="218">
        <f ca="1">IFERROR(__xludf.DUMMYFUNCTION("ROUND((IF(SINGLE('Ground Base'!G$154)&gt;ROUND(((1-GroundResDiscount31Up-GroundResIncentive)*'Ground Base'!G122),2),ROUND((SINGLE('Ground Base'!G$154)+GroundResidentialFee)*(1+GroundFuelSurcharge),2),ROUND((((1-GroundResDiscount31Up-GroundResIncentive)*'Grou"&amp;"nd Base'!G122)+GroundResidentialFee)*(1+GroundFuelSurcharge),2)))*(1+FedEx_Markup),2)"),86.83)</f>
        <v>86.83</v>
      </c>
      <c r="H127" s="218">
        <f ca="1">IFERROR(__xludf.DUMMYFUNCTION("ROUND((IF(SINGLE('Ground Base'!H$154)&gt;ROUND(((1-GroundResDiscount31Up-GroundResIncentive)*'Ground Base'!H122),2),ROUND((SINGLE('Ground Base'!H$154)+GroundResidentialFee)*(1+GroundFuelSurcharge),2),ROUND((((1-GroundResDiscount31Up-GroundResIncentive)*'Grou"&amp;"nd Base'!H122)+GroundResidentialFee)*(1+GroundFuelSurcharge),2)))*(1+FedEx_Markup),2)"),95.54)</f>
        <v>95.54</v>
      </c>
      <c r="I127" s="218">
        <f>ROUND((IF('Ground Base'!I$154&gt;ROUND(((1-GroundAKHIDiscount)*'Ground Base'!I122),2),ROUND(('Ground Base'!I$154+GroundResidentialFee)*(1+GroundFuelSurcharge),2),ROUND((((1-GroundAKHIDiscount)*'Ground Base'!I122)+GroundResidentialFee)*(1+GroundFuelSurcharge),2)))*(1+FedEx_Markup),2)</f>
        <v>570.20000000000005</v>
      </c>
      <c r="J127" s="218">
        <f>ROUND((IF('Ground Base'!J$154&gt;ROUND(((1-GroundAKHIDiscount)*'Ground Base'!J122),2),ROUND(('Ground Base'!J$154+GroundResidentialFee)*(1+GroundFuelSurcharge),2),ROUND((((1-GroundAKHIDiscount)*'Ground Base'!J122)+GroundResidentialFee)*(1+GroundFuelSurcharge),2)))*(1+FedEx_Markup),2)</f>
        <v>570.20000000000005</v>
      </c>
      <c r="K127" s="218">
        <f>ROUND((IF('Ground Base'!K$154&gt;ROUND(((1-GroundZone51Discount)*'Ground Base'!K122),2),ROUND(('Ground Base'!K$154+GroundResidentialFee)*(1+GroundFuelSurcharge),2),ROUND((((1-GroundZone51Discount)*'Ground Base'!K122)+GroundResidentialFee)*(1+GroundFuelSurcharge),2)))*(1+FedEx_Markup),2)</f>
        <v>126.35</v>
      </c>
      <c r="L127" s="218">
        <f>ROUND((IF('Ground Base'!L$154&gt;ROUND(((1-GroundZone54Discount)*'Ground Base'!L122),2),ROUND(('Ground Base'!L$154+GroundResidentialFee)*(1+GroundFuelSurcharge),2),ROUND((((1-GroundZone54Discount)*'Ground Base'!L122)+GroundResidentialFee)*(1+GroundFuelSurcharge),2)))*(1+FedEx_Markup),2)</f>
        <v>170.46</v>
      </c>
    </row>
    <row r="128" spans="1:26" ht="12.75" customHeight="1">
      <c r="A128" s="217">
        <v>121</v>
      </c>
      <c r="B128" s="218">
        <f ca="1">IFERROR(__xludf.DUMMYFUNCTION("ROUND((IF(SINGLE('Ground Base'!B$154)&gt;ROUND(((1-GroundResDiscount31Up-GroundResIncentive)*'Ground Base'!B123),2),ROUND((SINGLE('Ground Base'!B$154)+GroundResidentialFee)*(1+GroundFuelSurcharge),2),ROUND((((1-GroundResDiscount31Up-GroundResIncentive)*'Grou"&amp;"nd Base'!B123)+GroundResidentialFee)*(1+GroundFuelSurcharge),2)))*(1+FedEx_Markup),2)"),62.68)</f>
        <v>62.68</v>
      </c>
      <c r="C128" s="218">
        <f ca="1">IFERROR(__xludf.DUMMYFUNCTION("ROUND((IF(SINGLE('Ground Base'!C$154)&gt;ROUND(((1-GroundResDiscount31Up-GroundResIncentive)*'Ground Base'!C123),2),ROUND((SINGLE('Ground Base'!C$154)+GroundResidentialFee)*(1+GroundFuelSurcharge),2),ROUND((((1-GroundResDiscount31Up-GroundResIncentive)*'Grou"&amp;"nd Base'!C123)+GroundResidentialFee)*(1+GroundFuelSurcharge),2)))*(1+FedEx_Markup),2)"),62.73)</f>
        <v>62.73</v>
      </c>
      <c r="D128" s="218">
        <f ca="1">IFERROR(__xludf.DUMMYFUNCTION("ROUND((IF(SINGLE('Ground Base'!D$154)&gt;ROUND(((1-GroundResDiscount31Up-GroundResIncentive)*'Ground Base'!D123),2),ROUND((SINGLE('Ground Base'!D$154)+GroundResidentialFee)*(1+GroundFuelSurcharge),2),ROUND((((1-GroundResDiscount31Up-GroundResIncentive)*'Grou"&amp;"nd Base'!D123)+GroundResidentialFee)*(1+GroundFuelSurcharge),2)))*(1+FedEx_Markup),2)"),66.29)</f>
        <v>66.290000000000006</v>
      </c>
      <c r="E128" s="218">
        <f ca="1">IFERROR(__xludf.DUMMYFUNCTION("ROUND((IF(SINGLE('Ground Base'!E$154)&gt;ROUND(((1-GroundResDiscount31Up-GroundResIncentive)*'Ground Base'!E123),2),ROUND((SINGLE('Ground Base'!E$154)+GroundResidentialFee)*(1+GroundFuelSurcharge),2),ROUND((((1-GroundResDiscount31Up-GroundResIncentive)*'Grou"&amp;"nd Base'!E123)+GroundResidentialFee)*(1+GroundFuelSurcharge),2)))*(1+FedEx_Markup),2)"),69.37)</f>
        <v>69.37</v>
      </c>
      <c r="F128" s="218">
        <f ca="1">IFERROR(__xludf.DUMMYFUNCTION("ROUND((IF(SINGLE('Ground Base'!F$154)&gt;ROUND(((1-GroundResDiscount31Up-GroundResIncentive)*'Ground Base'!F123),2),ROUND((SINGLE('Ground Base'!F$154)+GroundResidentialFee)*(1+GroundFuelSurcharge),2),ROUND((((1-GroundResDiscount31Up-GroundResIncentive)*'Grou"&amp;"nd Base'!F123)+GroundResidentialFee)*(1+GroundFuelSurcharge),2)))*(1+FedEx_Markup),2)"),79.34)</f>
        <v>79.34</v>
      </c>
      <c r="G128" s="218">
        <f ca="1">IFERROR(__xludf.DUMMYFUNCTION("ROUND((IF(SINGLE('Ground Base'!G$154)&gt;ROUND(((1-GroundResDiscount31Up-GroundResIncentive)*'Ground Base'!G123),2),ROUND((SINGLE('Ground Base'!G$154)+GroundResidentialFee)*(1+GroundFuelSurcharge),2),ROUND((((1-GroundResDiscount31Up-GroundResIncentive)*'Grou"&amp;"nd Base'!G123)+GroundResidentialFee)*(1+GroundFuelSurcharge),2)))*(1+FedEx_Markup),2)"),86.84)</f>
        <v>86.84</v>
      </c>
      <c r="H128" s="218">
        <f ca="1">IFERROR(__xludf.DUMMYFUNCTION("ROUND((IF(SINGLE('Ground Base'!H$154)&gt;ROUND(((1-GroundResDiscount31Up-GroundResIncentive)*'Ground Base'!H123),2),ROUND((SINGLE('Ground Base'!H$154)+GroundResidentialFee)*(1+GroundFuelSurcharge),2),ROUND((((1-GroundResDiscount31Up-GroundResIncentive)*'Grou"&amp;"nd Base'!H123)+GroundResidentialFee)*(1+GroundFuelSurcharge),2)))*(1+FedEx_Markup),2)"),95.54)</f>
        <v>95.54</v>
      </c>
      <c r="I128" s="218">
        <f>ROUND((IF('Ground Base'!I$154&gt;ROUND(((1-GroundAKHIDiscount)*'Ground Base'!I123),2),ROUND(('Ground Base'!I$154+GroundResidentialFee)*(1+GroundFuelSurcharge),2),ROUND((((1-GroundAKHIDiscount)*'Ground Base'!I123)+GroundResidentialFee)*(1+GroundFuelSurcharge),2)))*(1+FedEx_Markup),2)</f>
        <v>573.99</v>
      </c>
      <c r="J128" s="218">
        <f>ROUND((IF('Ground Base'!J$154&gt;ROUND(((1-GroundAKHIDiscount)*'Ground Base'!J123),2),ROUND(('Ground Base'!J$154+GroundResidentialFee)*(1+GroundFuelSurcharge),2),ROUND((((1-GroundAKHIDiscount)*'Ground Base'!J123)+GroundResidentialFee)*(1+GroundFuelSurcharge),2)))*(1+FedEx_Markup),2)</f>
        <v>573.99</v>
      </c>
      <c r="K128" s="218">
        <f>ROUND((IF('Ground Base'!K$154&gt;ROUND(((1-GroundZone51Discount)*'Ground Base'!K123),2),ROUND(('Ground Base'!K$154+GroundResidentialFee)*(1+GroundFuelSurcharge),2),ROUND((((1-GroundZone51Discount)*'Ground Base'!K123)+GroundResidentialFee)*(1+GroundFuelSurcharge),2)))*(1+FedEx_Markup),2)</f>
        <v>129.18</v>
      </c>
      <c r="L128" s="218">
        <f>ROUND((IF('Ground Base'!L$154&gt;ROUND(((1-GroundZone54Discount)*'Ground Base'!L123),2),ROUND(('Ground Base'!L$154+GroundResidentialFee)*(1+GroundFuelSurcharge),2),ROUND((((1-GroundZone54Discount)*'Ground Base'!L123)+GroundResidentialFee)*(1+GroundFuelSurcharge),2)))*(1+FedEx_Markup),2)</f>
        <v>176.5</v>
      </c>
    </row>
    <row r="129" spans="1:12" ht="12.75" customHeight="1">
      <c r="A129" s="217">
        <v>122</v>
      </c>
      <c r="B129" s="218">
        <f ca="1">IFERROR(__xludf.DUMMYFUNCTION("ROUND((IF(SINGLE('Ground Base'!B$154)&gt;ROUND(((1-GroundResDiscount31Up-GroundResIncentive)*'Ground Base'!B124),2),ROUND((SINGLE('Ground Base'!B$154)+GroundResidentialFee)*(1+GroundFuelSurcharge),2),ROUND((((1-GroundResDiscount31Up-GroundResIncentive)*'Grou"&amp;"nd Base'!B124)+GroundResidentialFee)*(1+GroundFuelSurcharge),2)))*(1+FedEx_Markup),2)"),62.69)</f>
        <v>62.69</v>
      </c>
      <c r="C129" s="218">
        <f ca="1">IFERROR(__xludf.DUMMYFUNCTION("ROUND((IF(SINGLE('Ground Base'!C$154)&gt;ROUND(((1-GroundResDiscount31Up-GroundResIncentive)*'Ground Base'!C124),2),ROUND((SINGLE('Ground Base'!C$154)+GroundResidentialFee)*(1+GroundFuelSurcharge),2),ROUND((((1-GroundResDiscount31Up-GroundResIncentive)*'Grou"&amp;"nd Base'!C124)+GroundResidentialFee)*(1+GroundFuelSurcharge),2)))*(1+FedEx_Markup),2)"),63.87)</f>
        <v>63.87</v>
      </c>
      <c r="D129" s="218">
        <f ca="1">IFERROR(__xludf.DUMMYFUNCTION("ROUND((IF(SINGLE('Ground Base'!D$154)&gt;ROUND(((1-GroundResDiscount31Up-GroundResIncentive)*'Ground Base'!D124),2),ROUND((SINGLE('Ground Base'!D$154)+GroundResidentialFee)*(1+GroundFuelSurcharge),2),ROUND((((1-GroundResDiscount31Up-GroundResIncentive)*'Grou"&amp;"nd Base'!D124)+GroundResidentialFee)*(1+GroundFuelSurcharge),2)))*(1+FedEx_Markup),2)"),66.91)</f>
        <v>66.91</v>
      </c>
      <c r="E129" s="218">
        <f ca="1">IFERROR(__xludf.DUMMYFUNCTION("ROUND((IF(SINGLE('Ground Base'!E$154)&gt;ROUND(((1-GroundResDiscount31Up-GroundResIncentive)*'Ground Base'!E124),2),ROUND((SINGLE('Ground Base'!E$154)+GroundResidentialFee)*(1+GroundFuelSurcharge),2),ROUND((((1-GroundResDiscount31Up-GroundResIncentive)*'Grou"&amp;"nd Base'!E124)+GroundResidentialFee)*(1+GroundFuelSurcharge),2)))*(1+FedEx_Markup),2)"),69.97)</f>
        <v>69.97</v>
      </c>
      <c r="F129" s="218">
        <f ca="1">IFERROR(__xludf.DUMMYFUNCTION("ROUND((IF(SINGLE('Ground Base'!F$154)&gt;ROUND(((1-GroundResDiscount31Up-GroundResIncentive)*'Ground Base'!F124),2),ROUND((SINGLE('Ground Base'!F$154)+GroundResidentialFee)*(1+GroundFuelSurcharge),2),ROUND((((1-GroundResDiscount31Up-GroundResIncentive)*'Grou"&amp;"nd Base'!F124)+GroundResidentialFee)*(1+GroundFuelSurcharge),2)))*(1+FedEx_Markup),2)"),79.94)</f>
        <v>79.94</v>
      </c>
      <c r="G129" s="218">
        <f ca="1">IFERROR(__xludf.DUMMYFUNCTION("ROUND((IF(SINGLE('Ground Base'!G$154)&gt;ROUND(((1-GroundResDiscount31Up-GroundResIncentive)*'Ground Base'!G124),2),ROUND((SINGLE('Ground Base'!G$154)+GroundResidentialFee)*(1+GroundFuelSurcharge),2),ROUND((((1-GroundResDiscount31Up-GroundResIncentive)*'Grou"&amp;"nd Base'!G124)+GroundResidentialFee)*(1+GroundFuelSurcharge),2)))*(1+FedEx_Markup),2)"),88.16)</f>
        <v>88.16</v>
      </c>
      <c r="H129" s="218">
        <f ca="1">IFERROR(__xludf.DUMMYFUNCTION("ROUND((IF(SINGLE('Ground Base'!H$154)&gt;ROUND(((1-GroundResDiscount31Up-GroundResIncentive)*'Ground Base'!H124),2),ROUND((SINGLE('Ground Base'!H$154)+GroundResidentialFee)*(1+GroundFuelSurcharge),2),ROUND((((1-GroundResDiscount31Up-GroundResIncentive)*'Grou"&amp;"nd Base'!H124)+GroundResidentialFee)*(1+GroundFuelSurcharge),2)))*(1+FedEx_Markup),2)"),97.16)</f>
        <v>97.16</v>
      </c>
      <c r="I129" s="218">
        <f>ROUND((IF('Ground Base'!I$154&gt;ROUND(((1-GroundAKHIDiscount)*'Ground Base'!I124),2),ROUND(('Ground Base'!I$154+GroundResidentialFee)*(1+GroundFuelSurcharge),2),ROUND((((1-GroundAKHIDiscount)*'Ground Base'!I124)+GroundResidentialFee)*(1+GroundFuelSurcharge),2)))*(1+FedEx_Markup),2)</f>
        <v>578.82000000000005</v>
      </c>
      <c r="J129" s="218">
        <f>ROUND((IF('Ground Base'!J$154&gt;ROUND(((1-GroundAKHIDiscount)*'Ground Base'!J124),2),ROUND(('Ground Base'!J$154+GroundResidentialFee)*(1+GroundFuelSurcharge),2),ROUND((((1-GroundAKHIDiscount)*'Ground Base'!J124)+GroundResidentialFee)*(1+GroundFuelSurcharge),2)))*(1+FedEx_Markup),2)</f>
        <v>578.82000000000005</v>
      </c>
      <c r="K129" s="218">
        <f>ROUND((IF('Ground Base'!K$154&gt;ROUND(((1-GroundZone51Discount)*'Ground Base'!K124),2),ROUND(('Ground Base'!K$154+GroundResidentialFee)*(1+GroundFuelSurcharge),2),ROUND((((1-GroundZone51Discount)*'Ground Base'!K124)+GroundResidentialFee)*(1+GroundFuelSurcharge),2)))*(1+FedEx_Markup),2)</f>
        <v>129.19</v>
      </c>
      <c r="L129" s="218">
        <f>ROUND((IF('Ground Base'!L$154&gt;ROUND(((1-GroundZone54Discount)*'Ground Base'!L124),2),ROUND(('Ground Base'!L$154+GroundResidentialFee)*(1+GroundFuelSurcharge),2),ROUND((((1-GroundZone54Discount)*'Ground Base'!L124)+GroundResidentialFee)*(1+GroundFuelSurcharge),2)))*(1+FedEx_Markup),2)</f>
        <v>176.51</v>
      </c>
    </row>
    <row r="130" spans="1:12" ht="12.75" customHeight="1">
      <c r="A130" s="217">
        <v>123</v>
      </c>
      <c r="B130" s="218">
        <f ca="1">IFERROR(__xludf.DUMMYFUNCTION("ROUND((IF(SINGLE('Ground Base'!B$154)&gt;ROUND(((1-GroundResDiscount31Up-GroundResIncentive)*'Ground Base'!B125),2),ROUND((SINGLE('Ground Base'!B$154)+GroundResidentialFee)*(1+GroundFuelSurcharge),2),ROUND((((1-GroundResDiscount31Up-GroundResIncentive)*'Grou"&amp;"nd Base'!B125)+GroundResidentialFee)*(1+GroundFuelSurcharge),2)))*(1+FedEx_Markup),2)"),63.22)</f>
        <v>63.22</v>
      </c>
      <c r="C130" s="218">
        <f ca="1">IFERROR(__xludf.DUMMYFUNCTION("ROUND((IF(SINGLE('Ground Base'!C$154)&gt;ROUND(((1-GroundResDiscount31Up-GroundResIncentive)*'Ground Base'!C125),2),ROUND((SINGLE('Ground Base'!C$154)+GroundResidentialFee)*(1+GroundFuelSurcharge),2),ROUND((((1-GroundResDiscount31Up-GroundResIncentive)*'Grou"&amp;"nd Base'!C125)+GroundResidentialFee)*(1+GroundFuelSurcharge),2)))*(1+FedEx_Markup),2)"),63.93)</f>
        <v>63.93</v>
      </c>
      <c r="D130" s="218">
        <f ca="1">IFERROR(__xludf.DUMMYFUNCTION("ROUND((IF(SINGLE('Ground Base'!D$154)&gt;ROUND(((1-GroundResDiscount31Up-GroundResIncentive)*'Ground Base'!D125),2),ROUND((SINGLE('Ground Base'!D$154)+GroundResidentialFee)*(1+GroundFuelSurcharge),2),ROUND((((1-GroundResDiscount31Up-GroundResIncentive)*'Grou"&amp;"nd Base'!D125)+GroundResidentialFee)*(1+GroundFuelSurcharge),2)))*(1+FedEx_Markup),2)"),68.82)</f>
        <v>68.819999999999993</v>
      </c>
      <c r="E130" s="218">
        <f ca="1">IFERROR(__xludf.DUMMYFUNCTION("ROUND((IF(SINGLE('Ground Base'!E$154)&gt;ROUND(((1-GroundResDiscount31Up-GroundResIncentive)*'Ground Base'!E125),2),ROUND((SINGLE('Ground Base'!E$154)+GroundResidentialFee)*(1+GroundFuelSurcharge),2),ROUND((((1-GroundResDiscount31Up-GroundResIncentive)*'Grou"&amp;"nd Base'!E125)+GroundResidentialFee)*(1+GroundFuelSurcharge),2)))*(1+FedEx_Markup),2)"),71.78)</f>
        <v>71.78</v>
      </c>
      <c r="F130" s="218">
        <f ca="1">IFERROR(__xludf.DUMMYFUNCTION("ROUND((IF(SINGLE('Ground Base'!F$154)&gt;ROUND(((1-GroundResDiscount31Up-GroundResIncentive)*'Ground Base'!F125),2),ROUND((SINGLE('Ground Base'!F$154)+GroundResidentialFee)*(1+GroundFuelSurcharge),2),ROUND((((1-GroundResDiscount31Up-GroundResIncentive)*'Grou"&amp;"nd Base'!F125)+GroundResidentialFee)*(1+GroundFuelSurcharge),2)))*(1+FedEx_Markup),2)"),80.52)</f>
        <v>80.52</v>
      </c>
      <c r="G130" s="218">
        <f ca="1">IFERROR(__xludf.DUMMYFUNCTION("ROUND((IF(SINGLE('Ground Base'!G$154)&gt;ROUND(((1-GroundResDiscount31Up-GroundResIncentive)*'Ground Base'!G125),2),ROUND((SINGLE('Ground Base'!G$154)+GroundResidentialFee)*(1+GroundFuelSurcharge),2),ROUND((((1-GroundResDiscount31Up-GroundResIncentive)*'Grou"&amp;"nd Base'!G125)+GroundResidentialFee)*(1+GroundFuelSurcharge),2)))*(1+FedEx_Markup),2)"),89.71)</f>
        <v>89.71</v>
      </c>
      <c r="H130" s="218">
        <f ca="1">IFERROR(__xludf.DUMMYFUNCTION("ROUND((IF(SINGLE('Ground Base'!H$154)&gt;ROUND(((1-GroundResDiscount31Up-GroundResIncentive)*'Ground Base'!H125),2),ROUND((SINGLE('Ground Base'!H$154)+GroundResidentialFee)*(1+GroundFuelSurcharge),2),ROUND((((1-GroundResDiscount31Up-GroundResIncentive)*'Grou"&amp;"nd Base'!H125)+GroundResidentialFee)*(1+GroundFuelSurcharge),2)))*(1+FedEx_Markup),2)"),98.44)</f>
        <v>98.44</v>
      </c>
      <c r="I130" s="218">
        <f>ROUND((IF('Ground Base'!I$154&gt;ROUND(((1-GroundAKHIDiscount)*'Ground Base'!I125),2),ROUND(('Ground Base'!I$154+GroundResidentialFee)*(1+GroundFuelSurcharge),2),ROUND((((1-GroundAKHIDiscount)*'Ground Base'!I125)+GroundResidentialFee)*(1+GroundFuelSurcharge),2)))*(1+FedEx_Markup),2)</f>
        <v>578.83000000000004</v>
      </c>
      <c r="J130" s="218">
        <f>ROUND((IF('Ground Base'!J$154&gt;ROUND(((1-GroundAKHIDiscount)*'Ground Base'!J125),2),ROUND(('Ground Base'!J$154+GroundResidentialFee)*(1+GroundFuelSurcharge),2),ROUND((((1-GroundAKHIDiscount)*'Ground Base'!J125)+GroundResidentialFee)*(1+GroundFuelSurcharge),2)))*(1+FedEx_Markup),2)</f>
        <v>578.83000000000004</v>
      </c>
      <c r="K130" s="218">
        <f>ROUND((IF('Ground Base'!K$154&gt;ROUND(((1-GroundZone51Discount)*'Ground Base'!K125),2),ROUND(('Ground Base'!K$154+GroundResidentialFee)*(1+GroundFuelSurcharge),2),ROUND((((1-GroundZone51Discount)*'Ground Base'!K125)+GroundResidentialFee)*(1+GroundFuelSurcharge),2)))*(1+FedEx_Markup),2)</f>
        <v>129.19999999999999</v>
      </c>
      <c r="L130" s="218">
        <f>ROUND((IF('Ground Base'!L$154&gt;ROUND(((1-GroundZone54Discount)*'Ground Base'!L125),2),ROUND(('Ground Base'!L$154+GroundResidentialFee)*(1+GroundFuelSurcharge),2),ROUND((((1-GroundZone54Discount)*'Ground Base'!L125)+GroundResidentialFee)*(1+GroundFuelSurcharge),2)))*(1+FedEx_Markup),2)</f>
        <v>176.53</v>
      </c>
    </row>
    <row r="131" spans="1:12" ht="12.75" customHeight="1">
      <c r="A131" s="217">
        <v>124</v>
      </c>
      <c r="B131" s="218">
        <f ca="1">IFERROR(__xludf.DUMMYFUNCTION("ROUND((IF(SINGLE('Ground Base'!B$154)&gt;ROUND(((1-GroundResDiscount31Up-GroundResIncentive)*'Ground Base'!B126),2),ROUND((SINGLE('Ground Base'!B$154)+GroundResidentialFee)*(1+GroundFuelSurcharge),2),ROUND((((1-GroundResDiscount31Up-GroundResIncentive)*'Grou"&amp;"nd Base'!B126)+GroundResidentialFee)*(1+GroundFuelSurcharge),2)))*(1+FedEx_Markup),2)"),63.23)</f>
        <v>63.23</v>
      </c>
      <c r="C131" s="218">
        <f ca="1">IFERROR(__xludf.DUMMYFUNCTION("ROUND((IF(SINGLE('Ground Base'!C$154)&gt;ROUND(((1-GroundResDiscount31Up-GroundResIncentive)*'Ground Base'!C126),2),ROUND((SINGLE('Ground Base'!C$154)+GroundResidentialFee)*(1+GroundFuelSurcharge),2),ROUND((((1-GroundResDiscount31Up-GroundResIncentive)*'Grou"&amp;"nd Base'!C126)+GroundResidentialFee)*(1+GroundFuelSurcharge),2)))*(1+FedEx_Markup),2)"),64.53)</f>
        <v>64.53</v>
      </c>
      <c r="D131" s="218">
        <f ca="1">IFERROR(__xludf.DUMMYFUNCTION("ROUND((IF(SINGLE('Ground Base'!D$154)&gt;ROUND(((1-GroundResDiscount31Up-GroundResIncentive)*'Ground Base'!D126),2),ROUND((SINGLE('Ground Base'!D$154)+GroundResidentialFee)*(1+GroundFuelSurcharge),2),ROUND((((1-GroundResDiscount31Up-GroundResIncentive)*'Grou"&amp;"nd Base'!D126)+GroundResidentialFee)*(1+GroundFuelSurcharge),2)))*(1+FedEx_Markup),2)"),69.51)</f>
        <v>69.510000000000005</v>
      </c>
      <c r="E131" s="218">
        <f ca="1">IFERROR(__xludf.DUMMYFUNCTION("ROUND((IF(SINGLE('Ground Base'!E$154)&gt;ROUND(((1-GroundResDiscount31Up-GroundResIncentive)*'Ground Base'!E126),2),ROUND((SINGLE('Ground Base'!E$154)+GroundResidentialFee)*(1+GroundFuelSurcharge),2),ROUND((((1-GroundResDiscount31Up-GroundResIncentive)*'Grou"&amp;"nd Base'!E126)+GroundResidentialFee)*(1+GroundFuelSurcharge),2)))*(1+FedEx_Markup),2)"),71.78)</f>
        <v>71.78</v>
      </c>
      <c r="F131" s="218">
        <f ca="1">IFERROR(__xludf.DUMMYFUNCTION("ROUND((IF(SINGLE('Ground Base'!F$154)&gt;ROUND(((1-GroundResDiscount31Up-GroundResIncentive)*'Ground Base'!F126),2),ROUND((SINGLE('Ground Base'!F$154)+GroundResidentialFee)*(1+GroundFuelSurcharge),2),ROUND((((1-GroundResDiscount31Up-GroundResIncentive)*'Grou"&amp;"nd Base'!F126)+GroundResidentialFee)*(1+GroundFuelSurcharge),2)))*(1+FedEx_Markup),2)"),81.04)</f>
        <v>81.040000000000006</v>
      </c>
      <c r="G131" s="218">
        <f ca="1">IFERROR(__xludf.DUMMYFUNCTION("ROUND((IF(SINGLE('Ground Base'!G$154)&gt;ROUND(((1-GroundResDiscount31Up-GroundResIncentive)*'Ground Base'!G126),2),ROUND((SINGLE('Ground Base'!G$154)+GroundResidentialFee)*(1+GroundFuelSurcharge),2),ROUND((((1-GroundResDiscount31Up-GroundResIncentive)*'Grou"&amp;"nd Base'!G126)+GroundResidentialFee)*(1+GroundFuelSurcharge),2)))*(1+FedEx_Markup),2)"),89.72)</f>
        <v>89.72</v>
      </c>
      <c r="H131" s="218">
        <f ca="1">IFERROR(__xludf.DUMMYFUNCTION("ROUND((IF(SINGLE('Ground Base'!H$154)&gt;ROUND(((1-GroundResDiscount31Up-GroundResIncentive)*'Ground Base'!H126),2),ROUND((SINGLE('Ground Base'!H$154)+GroundResidentialFee)*(1+GroundFuelSurcharge),2),ROUND((((1-GroundResDiscount31Up-GroundResIncentive)*'Grou"&amp;"nd Base'!H126)+GroundResidentialFee)*(1+GroundFuelSurcharge),2)))*(1+FedEx_Markup),2)"),98.45)</f>
        <v>98.45</v>
      </c>
      <c r="I131" s="218">
        <f>ROUND((IF('Ground Base'!I$154&gt;ROUND(((1-GroundAKHIDiscount)*'Ground Base'!I126),2),ROUND(('Ground Base'!I$154+GroundResidentialFee)*(1+GroundFuelSurcharge),2),ROUND((((1-GroundAKHIDiscount)*'Ground Base'!I126)+GroundResidentialFee)*(1+GroundFuelSurcharge),2)))*(1+FedEx_Markup),2)</f>
        <v>588.55999999999995</v>
      </c>
      <c r="J131" s="218">
        <f>ROUND((IF('Ground Base'!J$154&gt;ROUND(((1-GroundAKHIDiscount)*'Ground Base'!J126),2),ROUND(('Ground Base'!J$154+GroundResidentialFee)*(1+GroundFuelSurcharge),2),ROUND((((1-GroundAKHIDiscount)*'Ground Base'!J126)+GroundResidentialFee)*(1+GroundFuelSurcharge),2)))*(1+FedEx_Markup),2)</f>
        <v>588.55999999999995</v>
      </c>
      <c r="K131" s="218">
        <f>ROUND((IF('Ground Base'!K$154&gt;ROUND(((1-GroundZone51Discount)*'Ground Base'!K126),2),ROUND(('Ground Base'!K$154+GroundResidentialFee)*(1+GroundFuelSurcharge),2),ROUND((((1-GroundZone51Discount)*'Ground Base'!K126)+GroundResidentialFee)*(1+GroundFuelSurcharge),2)))*(1+FedEx_Markup),2)</f>
        <v>129.21</v>
      </c>
      <c r="L131" s="218">
        <f>ROUND((IF('Ground Base'!L$154&gt;ROUND(((1-GroundZone54Discount)*'Ground Base'!L126),2),ROUND(('Ground Base'!L$154+GroundResidentialFee)*(1+GroundFuelSurcharge),2),ROUND((((1-GroundZone54Discount)*'Ground Base'!L126)+GroundResidentialFee)*(1+GroundFuelSurcharge),2)))*(1+FedEx_Markup),2)</f>
        <v>176.56</v>
      </c>
    </row>
    <row r="132" spans="1:12" ht="12.75" customHeight="1">
      <c r="A132" s="217">
        <v>125</v>
      </c>
      <c r="B132" s="218">
        <f ca="1">IFERROR(__xludf.DUMMYFUNCTION("ROUND((IF(SINGLE('Ground Base'!B$154)&gt;ROUND(((1-GroundResDiscount31Up-GroundResIncentive)*'Ground Base'!B127),2),ROUND((SINGLE('Ground Base'!B$154)+GroundResidentialFee)*(1+GroundFuelSurcharge),2),ROUND((((1-GroundResDiscount31Up-GroundResIncentive)*'Grou"&amp;"nd Base'!B127)+GroundResidentialFee)*(1+GroundFuelSurcharge),2)))*(1+FedEx_Markup),2)"),63.8)</f>
        <v>63.8</v>
      </c>
      <c r="C132" s="218">
        <f ca="1">IFERROR(__xludf.DUMMYFUNCTION("ROUND((IF(SINGLE('Ground Base'!C$154)&gt;ROUND(((1-GroundResDiscount31Up-GroundResIncentive)*'Ground Base'!C127),2),ROUND((SINGLE('Ground Base'!C$154)+GroundResidentialFee)*(1+GroundFuelSurcharge),2),ROUND((((1-GroundResDiscount31Up-GroundResIncentive)*'Grou"&amp;"nd Base'!C127)+GroundResidentialFee)*(1+GroundFuelSurcharge),2)))*(1+FedEx_Markup),2)"),64.54)</f>
        <v>64.540000000000006</v>
      </c>
      <c r="D132" s="218">
        <f ca="1">IFERROR(__xludf.DUMMYFUNCTION("ROUND((IF(SINGLE('Ground Base'!D$154)&gt;ROUND(((1-GroundResDiscount31Up-GroundResIncentive)*'Ground Base'!D127),2),ROUND((SINGLE('Ground Base'!D$154)+GroundResidentialFee)*(1+GroundFuelSurcharge),2),ROUND((((1-GroundResDiscount31Up-GroundResIncentive)*'Grou"&amp;"nd Base'!D127)+GroundResidentialFee)*(1+GroundFuelSurcharge),2)))*(1+FedEx_Markup),2)"),69.51)</f>
        <v>69.510000000000005</v>
      </c>
      <c r="E132" s="218">
        <f ca="1">IFERROR(__xludf.DUMMYFUNCTION("ROUND((IF(SINGLE('Ground Base'!E$154)&gt;ROUND(((1-GroundResDiscount31Up-GroundResIncentive)*'Ground Base'!E127),2),ROUND((SINGLE('Ground Base'!E$154)+GroundResidentialFee)*(1+GroundFuelSurcharge),2),ROUND((((1-GroundResDiscount31Up-GroundResIncentive)*'Grou"&amp;"nd Base'!E127)+GroundResidentialFee)*(1+GroundFuelSurcharge),2)))*(1+FedEx_Markup),2)"),71.79)</f>
        <v>71.790000000000006</v>
      </c>
      <c r="F132" s="218">
        <f ca="1">IFERROR(__xludf.DUMMYFUNCTION("ROUND((IF(SINGLE('Ground Base'!F$154)&gt;ROUND(((1-GroundResDiscount31Up-GroundResIncentive)*'Ground Base'!F127),2),ROUND((SINGLE('Ground Base'!F$154)+GroundResidentialFee)*(1+GroundFuelSurcharge),2),ROUND((((1-GroundResDiscount31Up-GroundResIncentive)*'Grou"&amp;"nd Base'!F127)+GroundResidentialFee)*(1+GroundFuelSurcharge),2)))*(1+FedEx_Markup),2)"),81.04)</f>
        <v>81.040000000000006</v>
      </c>
      <c r="G132" s="218">
        <f ca="1">IFERROR(__xludf.DUMMYFUNCTION("ROUND((IF(SINGLE('Ground Base'!G$154)&gt;ROUND(((1-GroundResDiscount31Up-GroundResIncentive)*'Ground Base'!G127),2),ROUND((SINGLE('Ground Base'!G$154)+GroundResidentialFee)*(1+GroundFuelSurcharge),2),ROUND((((1-GroundResDiscount31Up-GroundResIncentive)*'Grou"&amp;"nd Base'!G127)+GroundResidentialFee)*(1+GroundFuelSurcharge),2)))*(1+FedEx_Markup),2)"),89.72)</f>
        <v>89.72</v>
      </c>
      <c r="H132" s="218">
        <f ca="1">IFERROR(__xludf.DUMMYFUNCTION("ROUND((IF(SINGLE('Ground Base'!H$154)&gt;ROUND(((1-GroundResDiscount31Up-GroundResIncentive)*'Ground Base'!H127),2),ROUND((SINGLE('Ground Base'!H$154)+GroundResidentialFee)*(1+GroundFuelSurcharge),2),ROUND((((1-GroundResDiscount31Up-GroundResIncentive)*'Grou"&amp;"nd Base'!H127)+GroundResidentialFee)*(1+GroundFuelSurcharge),2)))*(1+FedEx_Markup),2)"),98.45)</f>
        <v>98.45</v>
      </c>
      <c r="I132" s="218">
        <f>ROUND((IF('Ground Base'!I$154&gt;ROUND(((1-GroundAKHIDiscount)*'Ground Base'!I127),2),ROUND(('Ground Base'!I$154+GroundResidentialFee)*(1+GroundFuelSurcharge),2),ROUND((((1-GroundAKHIDiscount)*'Ground Base'!I127)+GroundResidentialFee)*(1+GroundFuelSurcharge),2)))*(1+FedEx_Markup),2)</f>
        <v>593.45000000000005</v>
      </c>
      <c r="J132" s="218">
        <f>ROUND((IF('Ground Base'!J$154&gt;ROUND(((1-GroundAKHIDiscount)*'Ground Base'!J127),2),ROUND(('Ground Base'!J$154+GroundResidentialFee)*(1+GroundFuelSurcharge),2),ROUND((((1-GroundAKHIDiscount)*'Ground Base'!J127)+GroundResidentialFee)*(1+GroundFuelSurcharge),2)))*(1+FedEx_Markup),2)</f>
        <v>593.45000000000005</v>
      </c>
      <c r="K132" s="218">
        <f>ROUND((IF('Ground Base'!K$154&gt;ROUND(((1-GroundZone51Discount)*'Ground Base'!K127),2),ROUND(('Ground Base'!K$154+GroundResidentialFee)*(1+GroundFuelSurcharge),2),ROUND((((1-GroundZone51Discount)*'Ground Base'!K127)+GroundResidentialFee)*(1+GroundFuelSurcharge),2)))*(1+FedEx_Markup),2)</f>
        <v>129.21</v>
      </c>
      <c r="L132" s="218">
        <f>ROUND((IF('Ground Base'!L$154&gt;ROUND(((1-GroundZone54Discount)*'Ground Base'!L127),2),ROUND(('Ground Base'!L$154+GroundResidentialFee)*(1+GroundFuelSurcharge),2),ROUND((((1-GroundZone54Discount)*'Ground Base'!L127)+GroundResidentialFee)*(1+GroundFuelSurcharge),2)))*(1+FedEx_Markup),2)</f>
        <v>176.56</v>
      </c>
    </row>
    <row r="133" spans="1:12" ht="12.75" customHeight="1">
      <c r="A133" s="217">
        <v>126</v>
      </c>
      <c r="B133" s="218">
        <f ca="1">IFERROR(__xludf.DUMMYFUNCTION("ROUND((IF(SINGLE('Ground Base'!B$154)&gt;ROUND(((1-GroundResDiscount31Up-GroundResIncentive)*'Ground Base'!B128),2),ROUND((SINGLE('Ground Base'!B$154)+GroundResidentialFee)*(1+GroundFuelSurcharge),2),ROUND((((1-GroundResDiscount31Up-GroundResIncentive)*'Grou"&amp;"nd Base'!B128)+GroundResidentialFee)*(1+GroundFuelSurcharge),2)))*(1+FedEx_Markup),2)"),65.01)</f>
        <v>65.010000000000005</v>
      </c>
      <c r="C133" s="218">
        <f ca="1">IFERROR(__xludf.DUMMYFUNCTION("ROUND((IF(SINGLE('Ground Base'!C$154)&gt;ROUND(((1-GroundResDiscount31Up-GroundResIncentive)*'Ground Base'!C128),2),ROUND((SINGLE('Ground Base'!C$154)+GroundResidentialFee)*(1+GroundFuelSurcharge),2),ROUND((((1-GroundResDiscount31Up-GroundResIncentive)*'Grou"&amp;"nd Base'!C128)+GroundResidentialFee)*(1+GroundFuelSurcharge),2)))*(1+FedEx_Markup),2)"),65.14)</f>
        <v>65.14</v>
      </c>
      <c r="D133" s="218">
        <f ca="1">IFERROR(__xludf.DUMMYFUNCTION("ROUND((IF(SINGLE('Ground Base'!D$154)&gt;ROUND(((1-GroundResDiscount31Up-GroundResIncentive)*'Ground Base'!D128),2),ROUND((SINGLE('Ground Base'!D$154)+GroundResidentialFee)*(1+GroundFuelSurcharge),2),ROUND((((1-GroundResDiscount31Up-GroundResIncentive)*'Grou"&amp;"nd Base'!D128)+GroundResidentialFee)*(1+GroundFuelSurcharge),2)))*(1+FedEx_Markup),2)"),70.18)</f>
        <v>70.180000000000007</v>
      </c>
      <c r="E133" s="218">
        <f ca="1">IFERROR(__xludf.DUMMYFUNCTION("ROUND((IF(SINGLE('Ground Base'!E$154)&gt;ROUND(((1-GroundResDiscount31Up-GroundResIncentive)*'Ground Base'!E128),2),ROUND((SINGLE('Ground Base'!E$154)+GroundResidentialFee)*(1+GroundFuelSurcharge),2),ROUND((((1-GroundResDiscount31Up-GroundResIncentive)*'Grou"&amp;"nd Base'!E128)+GroundResidentialFee)*(1+GroundFuelSurcharge),2)))*(1+FedEx_Markup),2)"),71.79)</f>
        <v>71.790000000000006</v>
      </c>
      <c r="F133" s="218">
        <f ca="1">IFERROR(__xludf.DUMMYFUNCTION("ROUND((IF(SINGLE('Ground Base'!F$154)&gt;ROUND(((1-GroundResDiscount31Up-GroundResIncentive)*'Ground Base'!F128),2),ROUND((SINGLE('Ground Base'!F$154)+GroundResidentialFee)*(1+GroundFuelSurcharge),2),ROUND((((1-GroundResDiscount31Up-GroundResIncentive)*'Grou"&amp;"nd Base'!F128)+GroundResidentialFee)*(1+GroundFuelSurcharge),2)))*(1+FedEx_Markup),2)"),81.5)</f>
        <v>81.5</v>
      </c>
      <c r="G133" s="218">
        <f ca="1">IFERROR(__xludf.DUMMYFUNCTION("ROUND((IF(SINGLE('Ground Base'!G$154)&gt;ROUND(((1-GroundResDiscount31Up-GroundResIncentive)*'Ground Base'!G128),2),ROUND((SINGLE('Ground Base'!G$154)+GroundResidentialFee)*(1+GroundFuelSurcharge),2),ROUND((((1-GroundResDiscount31Up-GroundResIncentive)*'Grou"&amp;"nd Base'!G128)+GroundResidentialFee)*(1+GroundFuelSurcharge),2)))*(1+FedEx_Markup),2)"),89.73)</f>
        <v>89.73</v>
      </c>
      <c r="H133" s="218">
        <f ca="1">IFERROR(__xludf.DUMMYFUNCTION("ROUND((IF(SINGLE('Ground Base'!H$154)&gt;ROUND(((1-GroundResDiscount31Up-GroundResIncentive)*'Ground Base'!H128),2),ROUND((SINGLE('Ground Base'!H$154)+GroundResidentialFee)*(1+GroundFuelSurcharge),2),ROUND((((1-GroundResDiscount31Up-GroundResIncentive)*'Grou"&amp;"nd Base'!H128)+GroundResidentialFee)*(1+GroundFuelSurcharge),2)))*(1+FedEx_Markup),2)"),101.81)</f>
        <v>101.81</v>
      </c>
      <c r="I133" s="218">
        <f>ROUND((IF('Ground Base'!I$154&gt;ROUND(((1-GroundAKHIDiscount)*'Ground Base'!I128),2),ROUND(('Ground Base'!I$154+GroundResidentialFee)*(1+GroundFuelSurcharge),2),ROUND((((1-GroundAKHIDiscount)*'Ground Base'!I128)+GroundResidentialFee)*(1+GroundFuelSurcharge),2)))*(1+FedEx_Markup),2)</f>
        <v>597.11</v>
      </c>
      <c r="J133" s="218">
        <f>ROUND((IF('Ground Base'!J$154&gt;ROUND(((1-GroundAKHIDiscount)*'Ground Base'!J128),2),ROUND(('Ground Base'!J$154+GroundResidentialFee)*(1+GroundFuelSurcharge),2),ROUND((((1-GroundAKHIDiscount)*'Ground Base'!J128)+GroundResidentialFee)*(1+GroundFuelSurcharge),2)))*(1+FedEx_Markup),2)</f>
        <v>597.11</v>
      </c>
      <c r="K133" s="218">
        <f>ROUND((IF('Ground Base'!K$154&gt;ROUND(((1-GroundZone51Discount)*'Ground Base'!K128),2),ROUND(('Ground Base'!K$154+GroundResidentialFee)*(1+GroundFuelSurcharge),2),ROUND((((1-GroundZone51Discount)*'Ground Base'!K128)+GroundResidentialFee)*(1+GroundFuelSurcharge),2)))*(1+FedEx_Markup),2)</f>
        <v>131.76</v>
      </c>
      <c r="L133" s="218">
        <f>ROUND((IF('Ground Base'!L$154&gt;ROUND(((1-GroundZone54Discount)*'Ground Base'!L128),2),ROUND(('Ground Base'!L$154+GroundResidentialFee)*(1+GroundFuelSurcharge),2),ROUND((((1-GroundZone54Discount)*'Ground Base'!L128)+GroundResidentialFee)*(1+GroundFuelSurcharge),2)))*(1+FedEx_Markup),2)</f>
        <v>182.68</v>
      </c>
    </row>
    <row r="134" spans="1:12" ht="12.75" customHeight="1">
      <c r="A134" s="217">
        <v>127</v>
      </c>
      <c r="B134" s="218">
        <f ca="1">IFERROR(__xludf.DUMMYFUNCTION("ROUND((IF(SINGLE('Ground Base'!B$154)&gt;ROUND(((1-GroundResDiscount31Up-GroundResIncentive)*'Ground Base'!B129),2),ROUND((SINGLE('Ground Base'!B$154)+GroundResidentialFee)*(1+GroundFuelSurcharge),2),ROUND((((1-GroundResDiscount31Up-GroundResIncentive)*'Grou"&amp;"nd Base'!B129)+GroundResidentialFee)*(1+GroundFuelSurcharge),2)))*(1+FedEx_Markup),2)"),65.01)</f>
        <v>65.010000000000005</v>
      </c>
      <c r="C134" s="218">
        <f ca="1">IFERROR(__xludf.DUMMYFUNCTION("ROUND((IF(SINGLE('Ground Base'!C$154)&gt;ROUND(((1-GroundResDiscount31Up-GroundResIncentive)*'Ground Base'!C129),2),ROUND((SINGLE('Ground Base'!C$154)+GroundResidentialFee)*(1+GroundFuelSurcharge),2),ROUND((((1-GroundResDiscount31Up-GroundResIncentive)*'Grou"&amp;"nd Base'!C129)+GroundResidentialFee)*(1+GroundFuelSurcharge),2)))*(1+FedEx_Markup),2)"),66.21)</f>
        <v>66.209999999999994</v>
      </c>
      <c r="D134" s="218">
        <f ca="1">IFERROR(__xludf.DUMMYFUNCTION("ROUND((IF(SINGLE('Ground Base'!D$154)&gt;ROUND(((1-GroundResDiscount31Up-GroundResIncentive)*'Ground Base'!D129),2),ROUND((SINGLE('Ground Base'!D$154)+GroundResidentialFee)*(1+GroundFuelSurcharge),2),ROUND((((1-GroundResDiscount31Up-GroundResIncentive)*'Grou"&amp;"nd Base'!D129)+GroundResidentialFee)*(1+GroundFuelSurcharge),2)))*(1+FedEx_Markup),2)"),71.48)</f>
        <v>71.48</v>
      </c>
      <c r="E134" s="218">
        <f ca="1">IFERROR(__xludf.DUMMYFUNCTION("ROUND((IF(SINGLE('Ground Base'!E$154)&gt;ROUND(((1-GroundResDiscount31Up-GroundResIncentive)*'Ground Base'!E129),2),ROUND((SINGLE('Ground Base'!E$154)+GroundResidentialFee)*(1+GroundFuelSurcharge),2),ROUND((((1-GroundResDiscount31Up-GroundResIncentive)*'Grou"&amp;"nd Base'!E129)+GroundResidentialFee)*(1+GroundFuelSurcharge),2)))*(1+FedEx_Markup),2)"),73.36)</f>
        <v>73.36</v>
      </c>
      <c r="F134" s="218">
        <f ca="1">IFERROR(__xludf.DUMMYFUNCTION("ROUND((IF(SINGLE('Ground Base'!F$154)&gt;ROUND(((1-GroundResDiscount31Up-GroundResIncentive)*'Ground Base'!F129),2),ROUND((SINGLE('Ground Base'!F$154)+GroundResidentialFee)*(1+GroundFuelSurcharge),2),ROUND((((1-GroundResDiscount31Up-GroundResIncentive)*'Grou"&amp;"nd Base'!F129)+GroundResidentialFee)*(1+GroundFuelSurcharge),2)))*(1+FedEx_Markup),2)"),83.28)</f>
        <v>83.28</v>
      </c>
      <c r="G134" s="218">
        <f ca="1">IFERROR(__xludf.DUMMYFUNCTION("ROUND((IF(SINGLE('Ground Base'!G$154)&gt;ROUND(((1-GroundResDiscount31Up-GroundResIncentive)*'Ground Base'!G129),2),ROUND((SINGLE('Ground Base'!G$154)+GroundResidentialFee)*(1+GroundFuelSurcharge),2),ROUND((((1-GroundResDiscount31Up-GroundResIncentive)*'Grou"&amp;"nd Base'!G129)+GroundResidentialFee)*(1+GroundFuelSurcharge),2)))*(1+FedEx_Markup),2)"),91.3)</f>
        <v>91.3</v>
      </c>
      <c r="H134" s="218">
        <f ca="1">IFERROR(__xludf.DUMMYFUNCTION("ROUND((IF(SINGLE('Ground Base'!H$154)&gt;ROUND(((1-GroundResDiscount31Up-GroundResIncentive)*'Ground Base'!H129),2),ROUND((SINGLE('Ground Base'!H$154)+GroundResidentialFee)*(1+GroundFuelSurcharge),2),ROUND((((1-GroundResDiscount31Up-GroundResIncentive)*'Grou"&amp;"nd Base'!H129)+GroundResidentialFee)*(1+GroundFuelSurcharge),2)))*(1+FedEx_Markup),2)"),101.82)</f>
        <v>101.82</v>
      </c>
      <c r="I134" s="218">
        <f>ROUND((IF('Ground Base'!I$154&gt;ROUND(((1-GroundAKHIDiscount)*'Ground Base'!I129),2),ROUND(('Ground Base'!I$154+GroundResidentialFee)*(1+GroundFuelSurcharge),2),ROUND((((1-GroundAKHIDiscount)*'Ground Base'!I129)+GroundResidentialFee)*(1+GroundFuelSurcharge),2)))*(1+FedEx_Markup),2)</f>
        <v>601.92999999999995</v>
      </c>
      <c r="J134" s="218">
        <f>ROUND((IF('Ground Base'!J$154&gt;ROUND(((1-GroundAKHIDiscount)*'Ground Base'!J129),2),ROUND(('Ground Base'!J$154+GroundResidentialFee)*(1+GroundFuelSurcharge),2),ROUND((((1-GroundAKHIDiscount)*'Ground Base'!J129)+GroundResidentialFee)*(1+GroundFuelSurcharge),2)))*(1+FedEx_Markup),2)</f>
        <v>601.92999999999995</v>
      </c>
      <c r="K134" s="218">
        <f>ROUND((IF('Ground Base'!K$154&gt;ROUND(((1-GroundZone51Discount)*'Ground Base'!K129),2),ROUND(('Ground Base'!K$154+GroundResidentialFee)*(1+GroundFuelSurcharge),2),ROUND((((1-GroundZone51Discount)*'Ground Base'!K129)+GroundResidentialFee)*(1+GroundFuelSurcharge),2)))*(1+FedEx_Markup),2)</f>
        <v>131.77000000000001</v>
      </c>
      <c r="L134" s="218">
        <f>ROUND((IF('Ground Base'!L$154&gt;ROUND(((1-GroundZone54Discount)*'Ground Base'!L129),2),ROUND(('Ground Base'!L$154+GroundResidentialFee)*(1+GroundFuelSurcharge),2),ROUND((((1-GroundZone54Discount)*'Ground Base'!L129)+GroundResidentialFee)*(1+GroundFuelSurcharge),2)))*(1+FedEx_Markup),2)</f>
        <v>182.7</v>
      </c>
    </row>
    <row r="135" spans="1:12" ht="12.75" customHeight="1">
      <c r="A135" s="217">
        <v>128</v>
      </c>
      <c r="B135" s="218">
        <f ca="1">IFERROR(__xludf.DUMMYFUNCTION("ROUND((IF(SINGLE('Ground Base'!B$154)&gt;ROUND(((1-GroundResDiscount31Up-GroundResIncentive)*'Ground Base'!B130),2),ROUND((SINGLE('Ground Base'!B$154)+GroundResidentialFee)*(1+GroundFuelSurcharge),2),ROUND((((1-GroundResDiscount31Up-GroundResIncentive)*'Grou"&amp;"nd Base'!B130)+GroundResidentialFee)*(1+GroundFuelSurcharge),2)))*(1+FedEx_Markup),2)"),65.6)</f>
        <v>65.599999999999994</v>
      </c>
      <c r="C135" s="218">
        <f ca="1">IFERROR(__xludf.DUMMYFUNCTION("ROUND((IF(SINGLE('Ground Base'!C$154)&gt;ROUND(((1-GroundResDiscount31Up-GroundResIncentive)*'Ground Base'!C130),2),ROUND((SINGLE('Ground Base'!C$154)+GroundResidentialFee)*(1+GroundFuelSurcharge),2),ROUND((((1-GroundResDiscount31Up-GroundResIncentive)*'Grou"&amp;"nd Base'!C130)+GroundResidentialFee)*(1+GroundFuelSurcharge),2)))*(1+FedEx_Markup),2)"),66.21)</f>
        <v>66.209999999999994</v>
      </c>
      <c r="D135" s="218">
        <f ca="1">IFERROR(__xludf.DUMMYFUNCTION("ROUND((IF(SINGLE('Ground Base'!D$154)&gt;ROUND(((1-GroundResDiscount31Up-GroundResIncentive)*'Ground Base'!D130),2),ROUND((SINGLE('Ground Base'!D$154)+GroundResidentialFee)*(1+GroundFuelSurcharge),2),ROUND((((1-GroundResDiscount31Up-GroundResIncentive)*'Grou"&amp;"nd Base'!D130)+GroundResidentialFee)*(1+GroundFuelSurcharge),2)))*(1+FedEx_Markup),2)"),71.48)</f>
        <v>71.48</v>
      </c>
      <c r="E135" s="218">
        <f ca="1">IFERROR(__xludf.DUMMYFUNCTION("ROUND((IF(SINGLE('Ground Base'!E$154)&gt;ROUND(((1-GroundResDiscount31Up-GroundResIncentive)*'Ground Base'!E130),2),ROUND((SINGLE('Ground Base'!E$154)+GroundResidentialFee)*(1+GroundFuelSurcharge),2),ROUND((((1-GroundResDiscount31Up-GroundResIncentive)*'Grou"&amp;"nd Base'!E130)+GroundResidentialFee)*(1+GroundFuelSurcharge),2)))*(1+FedEx_Markup),2)"),73.37)</f>
        <v>73.37</v>
      </c>
      <c r="F135" s="218">
        <f ca="1">IFERROR(__xludf.DUMMYFUNCTION("ROUND((IF(SINGLE('Ground Base'!F$154)&gt;ROUND(((1-GroundResDiscount31Up-GroundResIncentive)*'Ground Base'!F130),2),ROUND((SINGLE('Ground Base'!F$154)+GroundResidentialFee)*(1+GroundFuelSurcharge),2),ROUND((((1-GroundResDiscount31Up-GroundResIncentive)*'Grou"&amp;"nd Base'!F130)+GroundResidentialFee)*(1+GroundFuelSurcharge),2)))*(1+FedEx_Markup),2)"),83.29)</f>
        <v>83.29</v>
      </c>
      <c r="G135" s="218">
        <f ca="1">IFERROR(__xludf.DUMMYFUNCTION("ROUND((IF(SINGLE('Ground Base'!G$154)&gt;ROUND(((1-GroundResDiscount31Up-GroundResIncentive)*'Ground Base'!G130),2),ROUND((SINGLE('Ground Base'!G$154)+GroundResidentialFee)*(1+GroundFuelSurcharge),2),ROUND((((1-GroundResDiscount31Up-GroundResIncentive)*'Grou"&amp;"nd Base'!G130)+GroundResidentialFee)*(1+GroundFuelSurcharge),2)))*(1+FedEx_Markup),2)"),91.3)</f>
        <v>91.3</v>
      </c>
      <c r="H135" s="218">
        <f ca="1">IFERROR(__xludf.DUMMYFUNCTION("ROUND((IF(SINGLE('Ground Base'!H$154)&gt;ROUND(((1-GroundResDiscount31Up-GroundResIncentive)*'Ground Base'!H130),2),ROUND((SINGLE('Ground Base'!H$154)+GroundResidentialFee)*(1+GroundFuelSurcharge),2),ROUND((((1-GroundResDiscount31Up-GroundResIncentive)*'Grou"&amp;"nd Base'!H130)+GroundResidentialFee)*(1+GroundFuelSurcharge),2)))*(1+FedEx_Markup),2)"),102.35)</f>
        <v>102.35</v>
      </c>
      <c r="I135" s="218">
        <f>ROUND((IF('Ground Base'!I$154&gt;ROUND(((1-GroundAKHIDiscount)*'Ground Base'!I130),2),ROUND(('Ground Base'!I$154+GroundResidentialFee)*(1+GroundFuelSurcharge),2),ROUND((((1-GroundAKHIDiscount)*'Ground Base'!I130)+GroundResidentialFee)*(1+GroundFuelSurcharge),2)))*(1+FedEx_Markup),2)</f>
        <v>606.80999999999995</v>
      </c>
      <c r="J135" s="218">
        <f>ROUND((IF('Ground Base'!J$154&gt;ROUND(((1-GroundAKHIDiscount)*'Ground Base'!J130),2),ROUND(('Ground Base'!J$154+GroundResidentialFee)*(1+GroundFuelSurcharge),2),ROUND((((1-GroundAKHIDiscount)*'Ground Base'!J130)+GroundResidentialFee)*(1+GroundFuelSurcharge),2)))*(1+FedEx_Markup),2)</f>
        <v>606.80999999999995</v>
      </c>
      <c r="K135" s="218">
        <f>ROUND((IF('Ground Base'!K$154&gt;ROUND(((1-GroundZone51Discount)*'Ground Base'!K130),2),ROUND(('Ground Base'!K$154+GroundResidentialFee)*(1+GroundFuelSurcharge),2),ROUND((((1-GroundZone51Discount)*'Ground Base'!K130)+GroundResidentialFee)*(1+GroundFuelSurcharge),2)))*(1+FedEx_Markup),2)</f>
        <v>131.78</v>
      </c>
      <c r="L135" s="218">
        <f>ROUND((IF('Ground Base'!L$154&gt;ROUND(((1-GroundZone54Discount)*'Ground Base'!L130),2),ROUND(('Ground Base'!L$154+GroundResidentialFee)*(1+GroundFuelSurcharge),2),ROUND((((1-GroundZone54Discount)*'Ground Base'!L130)+GroundResidentialFee)*(1+GroundFuelSurcharge),2)))*(1+FedEx_Markup),2)</f>
        <v>182.71</v>
      </c>
    </row>
    <row r="136" spans="1:12" ht="12.75" customHeight="1">
      <c r="A136" s="217">
        <v>129</v>
      </c>
      <c r="B136" s="218">
        <f ca="1">IFERROR(__xludf.DUMMYFUNCTION("ROUND((IF(SINGLE('Ground Base'!B$154)&gt;ROUND(((1-GroundResDiscount31Up-GroundResIncentive)*'Ground Base'!B131),2),ROUND((SINGLE('Ground Base'!B$154)+GroundResidentialFee)*(1+GroundFuelSurcharge),2),ROUND((((1-GroundResDiscount31Up-GroundResIncentive)*'Grou"&amp;"nd Base'!B131)+GroundResidentialFee)*(1+GroundFuelSurcharge),2)))*(1+FedEx_Markup),2)"),66.78)</f>
        <v>66.78</v>
      </c>
      <c r="C136" s="218">
        <f ca="1">IFERROR(__xludf.DUMMYFUNCTION("ROUND((IF(SINGLE('Ground Base'!C$154)&gt;ROUND(((1-GroundResDiscount31Up-GroundResIncentive)*'Ground Base'!C131),2),ROUND((SINGLE('Ground Base'!C$154)+GroundResidentialFee)*(1+GroundFuelSurcharge),2),ROUND((((1-GroundResDiscount31Up-GroundResIncentive)*'Grou"&amp;"nd Base'!C131)+GroundResidentialFee)*(1+GroundFuelSurcharge),2)))*(1+FedEx_Markup),2)"),67.02)</f>
        <v>67.02</v>
      </c>
      <c r="D136" s="218">
        <f ca="1">IFERROR(__xludf.DUMMYFUNCTION("ROUND((IF(SINGLE('Ground Base'!D$154)&gt;ROUND(((1-GroundResDiscount31Up-GroundResIncentive)*'Ground Base'!D131),2),ROUND((SINGLE('Ground Base'!D$154)+GroundResidentialFee)*(1+GroundFuelSurcharge),2),ROUND((((1-GroundResDiscount31Up-GroundResIncentive)*'Grou"&amp;"nd Base'!D131)+GroundResidentialFee)*(1+GroundFuelSurcharge),2)))*(1+FedEx_Markup),2)"),71.51)</f>
        <v>71.510000000000005</v>
      </c>
      <c r="E136" s="218">
        <f ca="1">IFERROR(__xludf.DUMMYFUNCTION("ROUND((IF(SINGLE('Ground Base'!E$154)&gt;ROUND(((1-GroundResDiscount31Up-GroundResIncentive)*'Ground Base'!E131),2),ROUND((SINGLE('Ground Base'!E$154)+GroundResidentialFee)*(1+GroundFuelSurcharge),2),ROUND((((1-GroundResDiscount31Up-GroundResIncentive)*'Grou"&amp;"nd Base'!E131)+GroundResidentialFee)*(1+GroundFuelSurcharge),2)))*(1+FedEx_Markup),2)"),73.84)</f>
        <v>73.84</v>
      </c>
      <c r="F136" s="218">
        <f ca="1">IFERROR(__xludf.DUMMYFUNCTION("ROUND((IF(SINGLE('Ground Base'!F$154)&gt;ROUND(((1-GroundResDiscount31Up-GroundResIncentive)*'Ground Base'!F131),2),ROUND((SINGLE('Ground Base'!F$154)+GroundResidentialFee)*(1+GroundFuelSurcharge),2),ROUND((((1-GroundResDiscount31Up-GroundResIncentive)*'Grou"&amp;"nd Base'!F131)+GroundResidentialFee)*(1+GroundFuelSurcharge),2)))*(1+FedEx_Markup),2)"),83.29)</f>
        <v>83.29</v>
      </c>
      <c r="G136" s="218">
        <f ca="1">IFERROR(__xludf.DUMMYFUNCTION("ROUND((IF(SINGLE('Ground Base'!G$154)&gt;ROUND(((1-GroundResDiscount31Up-GroundResIncentive)*'Ground Base'!G131),2),ROUND((SINGLE('Ground Base'!G$154)+GroundResidentialFee)*(1+GroundFuelSurcharge),2),ROUND((((1-GroundResDiscount31Up-GroundResIncentive)*'Grou"&amp;"nd Base'!G131)+GroundResidentialFee)*(1+GroundFuelSurcharge),2)))*(1+FedEx_Markup),2)"),91.31)</f>
        <v>91.31</v>
      </c>
      <c r="H136" s="218">
        <f ca="1">IFERROR(__xludf.DUMMYFUNCTION("ROUND((IF(SINGLE('Ground Base'!H$154)&gt;ROUND(((1-GroundResDiscount31Up-GroundResIncentive)*'Ground Base'!H131),2),ROUND((SINGLE('Ground Base'!H$154)+GroundResidentialFee)*(1+GroundFuelSurcharge),2),ROUND((((1-GroundResDiscount31Up-GroundResIncentive)*'Grou"&amp;"nd Base'!H131)+GroundResidentialFee)*(1+GroundFuelSurcharge),2)))*(1+FedEx_Markup),2)"),103.3)</f>
        <v>103.3</v>
      </c>
      <c r="I136" s="218">
        <f>ROUND((IF('Ground Base'!I$154&gt;ROUND(((1-GroundAKHIDiscount)*'Ground Base'!I131),2),ROUND(('Ground Base'!I$154+GroundResidentialFee)*(1+GroundFuelSurcharge),2),ROUND((((1-GroundAKHIDiscount)*'Ground Base'!I131)+GroundResidentialFee)*(1+GroundFuelSurcharge),2)))*(1+FedEx_Markup),2)</f>
        <v>606.82000000000005</v>
      </c>
      <c r="J136" s="218">
        <f>ROUND((IF('Ground Base'!J$154&gt;ROUND(((1-GroundAKHIDiscount)*'Ground Base'!J131),2),ROUND(('Ground Base'!J$154+GroundResidentialFee)*(1+GroundFuelSurcharge),2),ROUND((((1-GroundAKHIDiscount)*'Ground Base'!J131)+GroundResidentialFee)*(1+GroundFuelSurcharge),2)))*(1+FedEx_Markup),2)</f>
        <v>606.82000000000005</v>
      </c>
      <c r="K136" s="218">
        <f>ROUND((IF('Ground Base'!K$154&gt;ROUND(((1-GroundZone51Discount)*'Ground Base'!K131),2),ROUND(('Ground Base'!K$154+GroundResidentialFee)*(1+GroundFuelSurcharge),2),ROUND((((1-GroundZone51Discount)*'Ground Base'!K131)+GroundResidentialFee)*(1+GroundFuelSurcharge),2)))*(1+FedEx_Markup),2)</f>
        <v>131.78</v>
      </c>
      <c r="L136" s="218">
        <f>ROUND((IF('Ground Base'!L$154&gt;ROUND(((1-GroundZone54Discount)*'Ground Base'!L131),2),ROUND(('Ground Base'!L$154+GroundResidentialFee)*(1+GroundFuelSurcharge),2),ROUND((((1-GroundZone54Discount)*'Ground Base'!L131)+GroundResidentialFee)*(1+GroundFuelSurcharge),2)))*(1+FedEx_Markup),2)</f>
        <v>182.71</v>
      </c>
    </row>
    <row r="137" spans="1:12" ht="12.75" customHeight="1">
      <c r="A137" s="217">
        <v>130</v>
      </c>
      <c r="B137" s="218">
        <f ca="1">IFERROR(__xludf.DUMMYFUNCTION("ROUND((IF(SINGLE('Ground Base'!B$154)&gt;ROUND(((1-GroundResDiscount31Up-GroundResIncentive)*'Ground Base'!B132),2),ROUND((SINGLE('Ground Base'!B$154)+GroundResidentialFee)*(1+GroundFuelSurcharge),2),ROUND((((1-GroundResDiscount31Up-GroundResIncentive)*'Grou"&amp;"nd Base'!B132)+GroundResidentialFee)*(1+GroundFuelSurcharge),2)))*(1+FedEx_Markup),2)"),67.02)</f>
        <v>67.02</v>
      </c>
      <c r="C137" s="218">
        <f ca="1">IFERROR(__xludf.DUMMYFUNCTION("ROUND((IF(SINGLE('Ground Base'!C$154)&gt;ROUND(((1-GroundResDiscount31Up-GroundResIncentive)*'Ground Base'!C132),2),ROUND((SINGLE('Ground Base'!C$154)+GroundResidentialFee)*(1+GroundFuelSurcharge),2),ROUND((((1-GroundResDiscount31Up-GroundResIncentive)*'Grou"&amp;"nd Base'!C132)+GroundResidentialFee)*(1+GroundFuelSurcharge),2)))*(1+FedEx_Markup),2)"),67.03)</f>
        <v>67.03</v>
      </c>
      <c r="D137" s="218">
        <f ca="1">IFERROR(__xludf.DUMMYFUNCTION("ROUND((IF(SINGLE('Ground Base'!D$154)&gt;ROUND(((1-GroundResDiscount31Up-GroundResIncentive)*'Ground Base'!D132),2),ROUND((SINGLE('Ground Base'!D$154)+GroundResidentialFee)*(1+GroundFuelSurcharge),2),ROUND((((1-GroundResDiscount31Up-GroundResIncentive)*'Grou"&amp;"nd Base'!D132)+GroundResidentialFee)*(1+GroundFuelSurcharge),2)))*(1+FedEx_Markup),2)"),72.13)</f>
        <v>72.13</v>
      </c>
      <c r="E137" s="218">
        <f ca="1">IFERROR(__xludf.DUMMYFUNCTION("ROUND((IF(SINGLE('Ground Base'!E$154)&gt;ROUND(((1-GroundResDiscount31Up-GroundResIncentive)*'Ground Base'!E132),2),ROUND((SINGLE('Ground Base'!E$154)+GroundResidentialFee)*(1+GroundFuelSurcharge),2),ROUND((((1-GroundResDiscount31Up-GroundResIncentive)*'Grou"&amp;"nd Base'!E132)+GroundResidentialFee)*(1+GroundFuelSurcharge),2)))*(1+FedEx_Markup),2)"),73.85)</f>
        <v>73.849999999999994</v>
      </c>
      <c r="F137" s="218">
        <f ca="1">IFERROR(__xludf.DUMMYFUNCTION("ROUND((IF(SINGLE('Ground Base'!F$154)&gt;ROUND(((1-GroundResDiscount31Up-GroundResIncentive)*'Ground Base'!F132),2),ROUND((SINGLE('Ground Base'!F$154)+GroundResidentialFee)*(1+GroundFuelSurcharge),2),ROUND((((1-GroundResDiscount31Up-GroundResIncentive)*'Grou"&amp;"nd Base'!F132)+GroundResidentialFee)*(1+GroundFuelSurcharge),2)))*(1+FedEx_Markup),2)"),83.88)</f>
        <v>83.88</v>
      </c>
      <c r="G137" s="218">
        <f ca="1">IFERROR(__xludf.DUMMYFUNCTION("ROUND((IF(SINGLE('Ground Base'!G$154)&gt;ROUND(((1-GroundResDiscount31Up-GroundResIncentive)*'Ground Base'!G132),2),ROUND((SINGLE('Ground Base'!G$154)+GroundResidentialFee)*(1+GroundFuelSurcharge),2),ROUND((((1-GroundResDiscount31Up-GroundResIncentive)*'Grou"&amp;"nd Base'!G132)+GroundResidentialFee)*(1+GroundFuelSurcharge),2)))*(1+FedEx_Markup),2)"),92.46)</f>
        <v>92.46</v>
      </c>
      <c r="H137" s="218">
        <f ca="1">IFERROR(__xludf.DUMMYFUNCTION("ROUND((IF(SINGLE('Ground Base'!H$154)&gt;ROUND(((1-GroundResDiscount31Up-GroundResIncentive)*'Ground Base'!H132),2),ROUND((SINGLE('Ground Base'!H$154)+GroundResidentialFee)*(1+GroundFuelSurcharge),2),ROUND((((1-GroundResDiscount31Up-GroundResIncentive)*'Grou"&amp;"nd Base'!H132)+GroundResidentialFee)*(1+GroundFuelSurcharge),2)))*(1+FedEx_Markup),2)"),105.59)</f>
        <v>105.59</v>
      </c>
      <c r="I137" s="218">
        <f>ROUND((IF('Ground Base'!I$154&gt;ROUND(((1-GroundAKHIDiscount)*'Ground Base'!I132),2),ROUND(('Ground Base'!I$154+GroundResidentialFee)*(1+GroundFuelSurcharge),2),ROUND((((1-GroundAKHIDiscount)*'Ground Base'!I132)+GroundResidentialFee)*(1+GroundFuelSurcharge),2)))*(1+FedEx_Markup),2)</f>
        <v>628.35</v>
      </c>
      <c r="J137" s="218">
        <f>ROUND((IF('Ground Base'!J$154&gt;ROUND(((1-GroundAKHIDiscount)*'Ground Base'!J132),2),ROUND(('Ground Base'!J$154+GroundResidentialFee)*(1+GroundFuelSurcharge),2),ROUND((((1-GroundAKHIDiscount)*'Ground Base'!J132)+GroundResidentialFee)*(1+GroundFuelSurcharge),2)))*(1+FedEx_Markup),2)</f>
        <v>628.35</v>
      </c>
      <c r="K137" s="218">
        <f>ROUND((IF('Ground Base'!K$154&gt;ROUND(((1-GroundZone51Discount)*'Ground Base'!K132),2),ROUND(('Ground Base'!K$154+GroundResidentialFee)*(1+GroundFuelSurcharge),2),ROUND((((1-GroundZone51Discount)*'Ground Base'!K132)+GroundResidentialFee)*(1+GroundFuelSurcharge),2)))*(1+FedEx_Markup),2)</f>
        <v>131.80000000000001</v>
      </c>
      <c r="L137" s="218">
        <f>ROUND((IF('Ground Base'!L$154&gt;ROUND(((1-GroundZone54Discount)*'Ground Base'!L132),2),ROUND(('Ground Base'!L$154+GroundResidentialFee)*(1+GroundFuelSurcharge),2),ROUND((((1-GroundZone54Discount)*'Ground Base'!L132)+GroundResidentialFee)*(1+GroundFuelSurcharge),2)))*(1+FedEx_Markup),2)</f>
        <v>182.74</v>
      </c>
    </row>
    <row r="138" spans="1:12" ht="12.75" customHeight="1">
      <c r="A138" s="217">
        <v>131</v>
      </c>
      <c r="B138" s="218">
        <f ca="1">IFERROR(__xludf.DUMMYFUNCTION("ROUND((IF(SINGLE('Ground Base'!B$154)&gt;ROUND(((1-GroundResDiscount31Up-GroundResIncentive)*'Ground Base'!B133),2),ROUND((SINGLE('Ground Base'!B$154)+GroundResidentialFee)*(1+GroundFuelSurcharge),2),ROUND((((1-GroundResDiscount31Up-GroundResIncentive)*'Grou"&amp;"nd Base'!B133)+GroundResidentialFee)*(1+GroundFuelSurcharge),2)))*(1+FedEx_Markup),2)"),67.38)</f>
        <v>67.38</v>
      </c>
      <c r="C138" s="218">
        <f ca="1">IFERROR(__xludf.DUMMYFUNCTION("ROUND((IF(SINGLE('Ground Base'!C$154)&gt;ROUND(((1-GroundResDiscount31Up-GroundResIncentive)*'Ground Base'!C133),2),ROUND((SINGLE('Ground Base'!C$154)+GroundResidentialFee)*(1+GroundFuelSurcharge),2),ROUND((((1-GroundResDiscount31Up-GroundResIncentive)*'Grou"&amp;"nd Base'!C133)+GroundResidentialFee)*(1+GroundFuelSurcharge),2)))*(1+FedEx_Markup),2)"),68.03)</f>
        <v>68.03</v>
      </c>
      <c r="D138" s="218">
        <f ca="1">IFERROR(__xludf.DUMMYFUNCTION("ROUND((IF(SINGLE('Ground Base'!D$154)&gt;ROUND(((1-GroundResDiscount31Up-GroundResIncentive)*'Ground Base'!D133),2),ROUND((SINGLE('Ground Base'!D$154)+GroundResidentialFee)*(1+GroundFuelSurcharge),2),ROUND((((1-GroundResDiscount31Up-GroundResIncentive)*'Grou"&amp;"nd Base'!D133)+GroundResidentialFee)*(1+GroundFuelSurcharge),2)))*(1+FedEx_Markup),2)"),73.44)</f>
        <v>73.44</v>
      </c>
      <c r="E138" s="218">
        <f ca="1">IFERROR(__xludf.DUMMYFUNCTION("ROUND((IF(SINGLE('Ground Base'!E$154)&gt;ROUND(((1-GroundResDiscount31Up-GroundResIncentive)*'Ground Base'!E133),2),ROUND((SINGLE('Ground Base'!E$154)+GroundResidentialFee)*(1+GroundFuelSurcharge),2),ROUND((((1-GroundResDiscount31Up-GroundResIncentive)*'Grou"&amp;"nd Base'!E133)+GroundResidentialFee)*(1+GroundFuelSurcharge),2)))*(1+FedEx_Markup),2)"),75)</f>
        <v>75</v>
      </c>
      <c r="F138" s="218">
        <f ca="1">IFERROR(__xludf.DUMMYFUNCTION("ROUND((IF(SINGLE('Ground Base'!F$154)&gt;ROUND(((1-GroundResDiscount31Up-GroundResIncentive)*'Ground Base'!F133),2),ROUND((SINGLE('Ground Base'!F$154)+GroundResidentialFee)*(1+GroundFuelSurcharge),2),ROUND((((1-GroundResDiscount31Up-GroundResIncentive)*'Grou"&amp;"nd Base'!F133)+GroundResidentialFee)*(1+GroundFuelSurcharge),2)))*(1+FedEx_Markup),2)"),85.07)</f>
        <v>85.07</v>
      </c>
      <c r="G138" s="218">
        <f ca="1">IFERROR(__xludf.DUMMYFUNCTION("ROUND((IF(SINGLE('Ground Base'!G$154)&gt;ROUND(((1-GroundResDiscount31Up-GroundResIncentive)*'Ground Base'!G133),2),ROUND((SINGLE('Ground Base'!G$154)+GroundResidentialFee)*(1+GroundFuelSurcharge),2),ROUND((((1-GroundResDiscount31Up-GroundResIncentive)*'Grou"&amp;"nd Base'!G133)+GroundResidentialFee)*(1+GroundFuelSurcharge),2)))*(1+FedEx_Markup),2)"),93.3)</f>
        <v>93.3</v>
      </c>
      <c r="H138" s="218">
        <f ca="1">IFERROR(__xludf.DUMMYFUNCTION("ROUND((IF(SINGLE('Ground Base'!H$154)&gt;ROUND(((1-GroundResDiscount31Up-GroundResIncentive)*'Ground Base'!H133),2),ROUND((SINGLE('Ground Base'!H$154)+GroundResidentialFee)*(1+GroundFuelSurcharge),2),ROUND((((1-GroundResDiscount31Up-GroundResIncentive)*'Grou"&amp;"nd Base'!H133)+GroundResidentialFee)*(1+GroundFuelSurcharge),2)))*(1+FedEx_Markup),2)"),106.06)</f>
        <v>106.06</v>
      </c>
      <c r="I138" s="218">
        <f>ROUND((IF('Ground Base'!I$154&gt;ROUND(((1-GroundAKHIDiscount)*'Ground Base'!I133),2),ROUND(('Ground Base'!I$154+GroundResidentialFee)*(1+GroundFuelSurcharge),2),ROUND((((1-GroundAKHIDiscount)*'Ground Base'!I133)+GroundResidentialFee)*(1+GroundFuelSurcharge),2)))*(1+FedEx_Markup),2)</f>
        <v>628.36</v>
      </c>
      <c r="J138" s="218">
        <f>ROUND((IF('Ground Base'!J$154&gt;ROUND(((1-GroundAKHIDiscount)*'Ground Base'!J133),2),ROUND(('Ground Base'!J$154+GroundResidentialFee)*(1+GroundFuelSurcharge),2),ROUND((((1-GroundAKHIDiscount)*'Ground Base'!J133)+GroundResidentialFee)*(1+GroundFuelSurcharge),2)))*(1+FedEx_Markup),2)</f>
        <v>628.36</v>
      </c>
      <c r="K138" s="218">
        <f>ROUND((IF('Ground Base'!K$154&gt;ROUND(((1-GroundZone51Discount)*'Ground Base'!K133),2),ROUND(('Ground Base'!K$154+GroundResidentialFee)*(1+GroundFuelSurcharge),2),ROUND((((1-GroundZone51Discount)*'Ground Base'!K133)+GroundResidentialFee)*(1+GroundFuelSurcharge),2)))*(1+FedEx_Markup),2)</f>
        <v>134.55000000000001</v>
      </c>
      <c r="L138" s="218">
        <f>ROUND((IF('Ground Base'!L$154&gt;ROUND(((1-GroundZone54Discount)*'Ground Base'!L133),2),ROUND(('Ground Base'!L$154+GroundResidentialFee)*(1+GroundFuelSurcharge),2),ROUND((((1-GroundZone54Discount)*'Ground Base'!L133)+GroundResidentialFee)*(1+GroundFuelSurcharge),2)))*(1+FedEx_Markup),2)</f>
        <v>187.58</v>
      </c>
    </row>
    <row r="139" spans="1:12" ht="12.75" customHeight="1">
      <c r="A139" s="217">
        <v>132</v>
      </c>
      <c r="B139" s="218">
        <f ca="1">IFERROR(__xludf.DUMMYFUNCTION("ROUND((IF(SINGLE('Ground Base'!B$154)&gt;ROUND(((1-GroundResDiscount31Up-GroundResIncentive)*'Ground Base'!B134),2),ROUND((SINGLE('Ground Base'!B$154)+GroundResidentialFee)*(1+GroundFuelSurcharge),2),ROUND((((1-GroundResDiscount31Up-GroundResIncentive)*'Grou"&amp;"nd Base'!B134)+GroundResidentialFee)*(1+GroundFuelSurcharge),2)))*(1+FedEx_Markup),2)"),68.05)</f>
        <v>68.05</v>
      </c>
      <c r="C139" s="218">
        <f ca="1">IFERROR(__xludf.DUMMYFUNCTION("ROUND((IF(SINGLE('Ground Base'!C$154)&gt;ROUND(((1-GroundResDiscount31Up-GroundResIncentive)*'Ground Base'!C134),2),ROUND((SINGLE('Ground Base'!C$154)+GroundResidentialFee)*(1+GroundFuelSurcharge),2),ROUND((((1-GroundResDiscount31Up-GroundResIncentive)*'Grou"&amp;"nd Base'!C134)+GroundResidentialFee)*(1+GroundFuelSurcharge),2)))*(1+FedEx_Markup),2)"),68.06)</f>
        <v>68.06</v>
      </c>
      <c r="D139" s="218">
        <f ca="1">IFERROR(__xludf.DUMMYFUNCTION("ROUND((IF(SINGLE('Ground Base'!D$154)&gt;ROUND(((1-GroundResDiscount31Up-GroundResIncentive)*'Ground Base'!D134),2),ROUND((SINGLE('Ground Base'!D$154)+GroundResidentialFee)*(1+GroundFuelSurcharge),2),ROUND((((1-GroundResDiscount31Up-GroundResIncentive)*'Grou"&amp;"nd Base'!D134)+GroundResidentialFee)*(1+GroundFuelSurcharge),2)))*(1+FedEx_Markup),2)"),73.44)</f>
        <v>73.44</v>
      </c>
      <c r="E139" s="218">
        <f ca="1">IFERROR(__xludf.DUMMYFUNCTION("ROUND((IF(SINGLE('Ground Base'!E$154)&gt;ROUND(((1-GroundResDiscount31Up-GroundResIncentive)*'Ground Base'!E134),2),ROUND((SINGLE('Ground Base'!E$154)+GroundResidentialFee)*(1+GroundFuelSurcharge),2),ROUND((((1-GroundResDiscount31Up-GroundResIncentive)*'Grou"&amp;"nd Base'!E134)+GroundResidentialFee)*(1+GroundFuelSurcharge),2)))*(1+FedEx_Markup),2)"),75.49)</f>
        <v>75.489999999999995</v>
      </c>
      <c r="F139" s="218">
        <f ca="1">IFERROR(__xludf.DUMMYFUNCTION("ROUND((IF(SINGLE('Ground Base'!F$154)&gt;ROUND(((1-GroundResDiscount31Up-GroundResIncentive)*'Ground Base'!F134),2),ROUND((SINGLE('Ground Base'!F$154)+GroundResidentialFee)*(1+GroundFuelSurcharge),2),ROUND((((1-GroundResDiscount31Up-GroundResIncentive)*'Grou"&amp;"nd Base'!F134)+GroundResidentialFee)*(1+GroundFuelSurcharge),2)))*(1+FedEx_Markup),2)"),85.07)</f>
        <v>85.07</v>
      </c>
      <c r="G139" s="218">
        <f ca="1">IFERROR(__xludf.DUMMYFUNCTION("ROUND((IF(SINGLE('Ground Base'!G$154)&gt;ROUND(((1-GroundResDiscount31Up-GroundResIncentive)*'Ground Base'!G134),2),ROUND((SINGLE('Ground Base'!G$154)+GroundResidentialFee)*(1+GroundFuelSurcharge),2),ROUND((((1-GroundResDiscount31Up-GroundResIncentive)*'Grou"&amp;"nd Base'!G134)+GroundResidentialFee)*(1+GroundFuelSurcharge),2)))*(1+FedEx_Markup),2)"),93.31)</f>
        <v>93.31</v>
      </c>
      <c r="H139" s="218">
        <f ca="1">IFERROR(__xludf.DUMMYFUNCTION("ROUND((IF(SINGLE('Ground Base'!H$154)&gt;ROUND(((1-GroundResDiscount31Up-GroundResIncentive)*'Ground Base'!H134),2),ROUND((SINGLE('Ground Base'!H$154)+GroundResidentialFee)*(1+GroundFuelSurcharge),2),ROUND((((1-GroundResDiscount31Up-GroundResIncentive)*'Grou"&amp;"nd Base'!H134)+GroundResidentialFee)*(1+GroundFuelSurcharge),2)))*(1+FedEx_Markup),2)"),106.06)</f>
        <v>106.06</v>
      </c>
      <c r="I139" s="218">
        <f>ROUND((IF('Ground Base'!I$154&gt;ROUND(((1-GroundAKHIDiscount)*'Ground Base'!I134),2),ROUND(('Ground Base'!I$154+GroundResidentialFee)*(1+GroundFuelSurcharge),2),ROUND((((1-GroundAKHIDiscount)*'Ground Base'!I134)+GroundResidentialFee)*(1+GroundFuelSurcharge),2)))*(1+FedEx_Markup),2)</f>
        <v>633.97</v>
      </c>
      <c r="J139" s="218">
        <f>ROUND((IF('Ground Base'!J$154&gt;ROUND(((1-GroundAKHIDiscount)*'Ground Base'!J134),2),ROUND(('Ground Base'!J$154+GroundResidentialFee)*(1+GroundFuelSurcharge),2),ROUND((((1-GroundAKHIDiscount)*'Ground Base'!J134)+GroundResidentialFee)*(1+GroundFuelSurcharge),2)))*(1+FedEx_Markup),2)</f>
        <v>633.97</v>
      </c>
      <c r="K139" s="218">
        <f>ROUND((IF('Ground Base'!K$154&gt;ROUND(((1-GroundZone51Discount)*'Ground Base'!K134),2),ROUND(('Ground Base'!K$154+GroundResidentialFee)*(1+GroundFuelSurcharge),2),ROUND((((1-GroundZone51Discount)*'Ground Base'!K134)+GroundResidentialFee)*(1+GroundFuelSurcharge),2)))*(1+FedEx_Markup),2)</f>
        <v>134.56</v>
      </c>
      <c r="L139" s="218">
        <f>ROUND((IF('Ground Base'!L$154&gt;ROUND(((1-GroundZone54Discount)*'Ground Base'!L134),2),ROUND(('Ground Base'!L$154+GroundResidentialFee)*(1+GroundFuelSurcharge),2),ROUND((((1-GroundZone54Discount)*'Ground Base'!L134)+GroundResidentialFee)*(1+GroundFuelSurcharge),2)))*(1+FedEx_Markup),2)</f>
        <v>187.59</v>
      </c>
    </row>
    <row r="140" spans="1:12" ht="12.75" customHeight="1">
      <c r="A140" s="217">
        <v>133</v>
      </c>
      <c r="B140" s="218">
        <f ca="1">IFERROR(__xludf.DUMMYFUNCTION("ROUND((IF(SINGLE('Ground Base'!B$154)&gt;ROUND(((1-GroundResDiscount31Up-GroundResIncentive)*'Ground Base'!B135),2),ROUND((SINGLE('Ground Base'!B$154)+GroundResidentialFee)*(1+GroundFuelSurcharge),2),ROUND((((1-GroundResDiscount31Up-GroundResIncentive)*'Grou"&amp;"nd Base'!B135)+GroundResidentialFee)*(1+GroundFuelSurcharge),2)))*(1+FedEx_Markup),2)"),68.6)</f>
        <v>68.599999999999994</v>
      </c>
      <c r="C140" s="218">
        <f ca="1">IFERROR(__xludf.DUMMYFUNCTION("ROUND((IF(SINGLE('Ground Base'!C$154)&gt;ROUND(((1-GroundResDiscount31Up-GroundResIncentive)*'Ground Base'!C135),2),ROUND((SINGLE('Ground Base'!C$154)+GroundResidentialFee)*(1+GroundFuelSurcharge),2),ROUND((((1-GroundResDiscount31Up-GroundResIncentive)*'Grou"&amp;"nd Base'!C135)+GroundResidentialFee)*(1+GroundFuelSurcharge),2)))*(1+FedEx_Markup),2)"),68.78)</f>
        <v>68.78</v>
      </c>
      <c r="D140" s="218">
        <f ca="1">IFERROR(__xludf.DUMMYFUNCTION("ROUND((IF(SINGLE('Ground Base'!D$154)&gt;ROUND(((1-GroundResDiscount31Up-GroundResIncentive)*'Ground Base'!D135),2),ROUND((SINGLE('Ground Base'!D$154)+GroundResidentialFee)*(1+GroundFuelSurcharge),2),ROUND((((1-GroundResDiscount31Up-GroundResIncentive)*'Grou"&amp;"nd Base'!D135)+GroundResidentialFee)*(1+GroundFuelSurcharge),2)))*(1+FedEx_Markup),2)"),73.45)</f>
        <v>73.45</v>
      </c>
      <c r="E140" s="218">
        <f ca="1">IFERROR(__xludf.DUMMYFUNCTION("ROUND((IF(SINGLE('Ground Base'!E$154)&gt;ROUND(((1-GroundResDiscount31Up-GroundResIncentive)*'Ground Base'!E135),2),ROUND((SINGLE('Ground Base'!E$154)+GroundResidentialFee)*(1+GroundFuelSurcharge),2),ROUND((((1-GroundResDiscount31Up-GroundResIncentive)*'Grou"&amp;"nd Base'!E135)+GroundResidentialFee)*(1+GroundFuelSurcharge),2)))*(1+FedEx_Markup),2)"),75.49)</f>
        <v>75.489999999999995</v>
      </c>
      <c r="F140" s="218">
        <f ca="1">IFERROR(__xludf.DUMMYFUNCTION("ROUND((IF(SINGLE('Ground Base'!F$154)&gt;ROUND(((1-GroundResDiscount31Up-GroundResIncentive)*'Ground Base'!F135),2),ROUND((SINGLE('Ground Base'!F$154)+GroundResidentialFee)*(1+GroundFuelSurcharge),2),ROUND((((1-GroundResDiscount31Up-GroundResIncentive)*'Grou"&amp;"nd Base'!F135)+GroundResidentialFee)*(1+GroundFuelSurcharge),2)))*(1+FedEx_Markup),2)"),85.49)</f>
        <v>85.49</v>
      </c>
      <c r="G140" s="218">
        <f ca="1">IFERROR(__xludf.DUMMYFUNCTION("ROUND((IF(SINGLE('Ground Base'!G$154)&gt;ROUND(((1-GroundResDiscount31Up-GroundResIncentive)*'Ground Base'!G135),2),ROUND((SINGLE('Ground Base'!G$154)+GroundResidentialFee)*(1+GroundFuelSurcharge),2),ROUND((((1-GroundResDiscount31Up-GroundResIncentive)*'Grou"&amp;"nd Base'!G135)+GroundResidentialFee)*(1+GroundFuelSurcharge),2)))*(1+FedEx_Markup),2)"),93.31)</f>
        <v>93.31</v>
      </c>
      <c r="H140" s="218">
        <f ca="1">IFERROR(__xludf.DUMMYFUNCTION("ROUND((IF(SINGLE('Ground Base'!H$154)&gt;ROUND(((1-GroundResDiscount31Up-GroundResIncentive)*'Ground Base'!H135),2),ROUND((SINGLE('Ground Base'!H$154)+GroundResidentialFee)*(1+GroundFuelSurcharge),2),ROUND((((1-GroundResDiscount31Up-GroundResIncentive)*'Grou"&amp;"nd Base'!H135)+GroundResidentialFee)*(1+GroundFuelSurcharge),2)))*(1+FedEx_Markup),2)"),106.08)</f>
        <v>106.08</v>
      </c>
      <c r="I140" s="218">
        <f>ROUND((IF('Ground Base'!I$154&gt;ROUND(((1-GroundAKHIDiscount)*'Ground Base'!I135),2),ROUND(('Ground Base'!I$154+GroundResidentialFee)*(1+GroundFuelSurcharge),2),ROUND((((1-GroundAKHIDiscount)*'Ground Base'!I135)+GroundResidentialFee)*(1+GroundFuelSurcharge),2)))*(1+FedEx_Markup),2)</f>
        <v>637.77</v>
      </c>
      <c r="J140" s="218">
        <f>ROUND((IF('Ground Base'!J$154&gt;ROUND(((1-GroundAKHIDiscount)*'Ground Base'!J135),2),ROUND(('Ground Base'!J$154+GroundResidentialFee)*(1+GroundFuelSurcharge),2),ROUND((((1-GroundAKHIDiscount)*'Ground Base'!J135)+GroundResidentialFee)*(1+GroundFuelSurcharge),2)))*(1+FedEx_Markup),2)</f>
        <v>637.77</v>
      </c>
      <c r="K140" s="218">
        <f>ROUND((IF('Ground Base'!K$154&gt;ROUND(((1-GroundZone51Discount)*'Ground Base'!K135),2),ROUND(('Ground Base'!K$154+GroundResidentialFee)*(1+GroundFuelSurcharge),2),ROUND((((1-GroundZone51Discount)*'Ground Base'!K135)+GroundResidentialFee)*(1+GroundFuelSurcharge),2)))*(1+FedEx_Markup),2)</f>
        <v>134.56</v>
      </c>
      <c r="L140" s="218">
        <f>ROUND((IF('Ground Base'!L$154&gt;ROUND(((1-GroundZone54Discount)*'Ground Base'!L135),2),ROUND(('Ground Base'!L$154+GroundResidentialFee)*(1+GroundFuelSurcharge),2),ROUND((((1-GroundZone54Discount)*'Ground Base'!L135)+GroundResidentialFee)*(1+GroundFuelSurcharge),2)))*(1+FedEx_Markup),2)</f>
        <v>187.59</v>
      </c>
    </row>
    <row r="141" spans="1:12" ht="12.75" customHeight="1">
      <c r="A141" s="217">
        <v>134</v>
      </c>
      <c r="B141" s="218">
        <f ca="1">IFERROR(__xludf.DUMMYFUNCTION("ROUND((IF(SINGLE('Ground Base'!B$154)&gt;ROUND(((1-GroundResDiscount31Up-GroundResIncentive)*'Ground Base'!B136),2),ROUND((SINGLE('Ground Base'!B$154)+GroundResidentialFee)*(1+GroundFuelSurcharge),2),ROUND((((1-GroundResDiscount31Up-GroundResIncentive)*'Grou"&amp;"nd Base'!B136)+GroundResidentialFee)*(1+GroundFuelSurcharge),2)))*(1+FedEx_Markup),2)"),69.82)</f>
        <v>69.819999999999993</v>
      </c>
      <c r="C141" s="218">
        <f ca="1">IFERROR(__xludf.DUMMYFUNCTION("ROUND((IF(SINGLE('Ground Base'!C$154)&gt;ROUND(((1-GroundResDiscount31Up-GroundResIncentive)*'Ground Base'!C136),2),ROUND((SINGLE('Ground Base'!C$154)+GroundResidentialFee)*(1+GroundFuelSurcharge),2),ROUND((((1-GroundResDiscount31Up-GroundResIncentive)*'Grou"&amp;"nd Base'!C136)+GroundResidentialFee)*(1+GroundFuelSurcharge),2)))*(1+FedEx_Markup),2)"),69.9)</f>
        <v>69.900000000000006</v>
      </c>
      <c r="D141" s="218">
        <f ca="1">IFERROR(__xludf.DUMMYFUNCTION("ROUND((IF(SINGLE('Ground Base'!D$154)&gt;ROUND(((1-GroundResDiscount31Up-GroundResIncentive)*'Ground Base'!D136),2),ROUND((SINGLE('Ground Base'!D$154)+GroundResidentialFee)*(1+GroundFuelSurcharge),2),ROUND((((1-GroundResDiscount31Up-GroundResIncentive)*'Grou"&amp;"nd Base'!D136)+GroundResidentialFee)*(1+GroundFuelSurcharge),2)))*(1+FedEx_Markup),2)"),74.83)</f>
        <v>74.83</v>
      </c>
      <c r="E141" s="218">
        <f ca="1">IFERROR(__xludf.DUMMYFUNCTION("ROUND((IF(SINGLE('Ground Base'!E$154)&gt;ROUND(((1-GroundResDiscount31Up-GroundResIncentive)*'Ground Base'!E136),2),ROUND((SINGLE('Ground Base'!E$154)+GroundResidentialFee)*(1+GroundFuelSurcharge),2),ROUND((((1-GroundResDiscount31Up-GroundResIncentive)*'Grou"&amp;"nd Base'!E136)+GroundResidentialFee)*(1+GroundFuelSurcharge),2)))*(1+FedEx_Markup),2)"),76.79)</f>
        <v>76.790000000000006</v>
      </c>
      <c r="F141" s="218">
        <f ca="1">IFERROR(__xludf.DUMMYFUNCTION("ROUND((IF(SINGLE('Ground Base'!F$154)&gt;ROUND(((1-GroundResDiscount31Up-GroundResIncentive)*'Ground Base'!F136),2),ROUND((SINGLE('Ground Base'!F$154)+GroundResidentialFee)*(1+GroundFuelSurcharge),2),ROUND((((1-GroundResDiscount31Up-GroundResIncentive)*'Grou"&amp;"nd Base'!F136)+GroundResidentialFee)*(1+GroundFuelSurcharge),2)))*(1+FedEx_Markup),2)"),86.92)</f>
        <v>86.92</v>
      </c>
      <c r="G141" s="218">
        <f ca="1">IFERROR(__xludf.DUMMYFUNCTION("ROUND((IF(SINGLE('Ground Base'!G$154)&gt;ROUND(((1-GroundResDiscount31Up-GroundResIncentive)*'Ground Base'!G136),2),ROUND((SINGLE('Ground Base'!G$154)+GroundResidentialFee)*(1+GroundFuelSurcharge),2),ROUND((((1-GroundResDiscount31Up-GroundResIncentive)*'Grou"&amp;"nd Base'!G136)+GroundResidentialFee)*(1+GroundFuelSurcharge),2)))*(1+FedEx_Markup),2)"),94.78)</f>
        <v>94.78</v>
      </c>
      <c r="H141" s="218">
        <f ca="1">IFERROR(__xludf.DUMMYFUNCTION("ROUND((IF(SINGLE('Ground Base'!H$154)&gt;ROUND(((1-GroundResDiscount31Up-GroundResIncentive)*'Ground Base'!H136),2),ROUND((SINGLE('Ground Base'!H$154)+GroundResidentialFee)*(1+GroundFuelSurcharge),2),ROUND((((1-GroundResDiscount31Up-GroundResIncentive)*'Grou"&amp;"nd Base'!H136)+GroundResidentialFee)*(1+GroundFuelSurcharge),2)))*(1+FedEx_Markup),2)"),106.09)</f>
        <v>106.09</v>
      </c>
      <c r="I141" s="218">
        <f>ROUND((IF('Ground Base'!I$154&gt;ROUND(((1-GroundAKHIDiscount)*'Ground Base'!I136),2),ROUND(('Ground Base'!I$154+GroundResidentialFee)*(1+GroundFuelSurcharge),2),ROUND((((1-GroundAKHIDiscount)*'Ground Base'!I136)+GroundResidentialFee)*(1+GroundFuelSurcharge),2)))*(1+FedEx_Markup),2)</f>
        <v>637.79</v>
      </c>
      <c r="J141" s="218">
        <f>ROUND((IF('Ground Base'!J$154&gt;ROUND(((1-GroundAKHIDiscount)*'Ground Base'!J136),2),ROUND(('Ground Base'!J$154+GroundResidentialFee)*(1+GroundFuelSurcharge),2),ROUND((((1-GroundAKHIDiscount)*'Ground Base'!J136)+GroundResidentialFee)*(1+GroundFuelSurcharge),2)))*(1+FedEx_Markup),2)</f>
        <v>637.79</v>
      </c>
      <c r="K141" s="218">
        <f>ROUND((IF('Ground Base'!K$154&gt;ROUND(((1-GroundZone51Discount)*'Ground Base'!K136),2),ROUND(('Ground Base'!K$154+GroundResidentialFee)*(1+GroundFuelSurcharge),2),ROUND((((1-GroundZone51Discount)*'Ground Base'!K136)+GroundResidentialFee)*(1+GroundFuelSurcharge),2)))*(1+FedEx_Markup),2)</f>
        <v>134.58000000000001</v>
      </c>
      <c r="L141" s="218">
        <f>ROUND((IF('Ground Base'!L$154&gt;ROUND(((1-GroundZone54Discount)*'Ground Base'!L136),2),ROUND(('Ground Base'!L$154+GroundResidentialFee)*(1+GroundFuelSurcharge),2),ROUND((((1-GroundZone54Discount)*'Ground Base'!L136)+GroundResidentialFee)*(1+GroundFuelSurcharge),2)))*(1+FedEx_Markup),2)</f>
        <v>187.6</v>
      </c>
    </row>
    <row r="142" spans="1:12" ht="12.75" customHeight="1">
      <c r="A142" s="217">
        <v>135</v>
      </c>
      <c r="B142" s="218">
        <f ca="1">IFERROR(__xludf.DUMMYFUNCTION("ROUND((IF(SINGLE('Ground Base'!B$154)&gt;ROUND(((1-GroundResDiscount31Up-GroundResIncentive)*'Ground Base'!B137),2),ROUND((SINGLE('Ground Base'!B$154)+GroundResidentialFee)*(1+GroundFuelSurcharge),2),ROUND((((1-GroundResDiscount31Up-GroundResIncentive)*'Grou"&amp;"nd Base'!B137)+GroundResidentialFee)*(1+GroundFuelSurcharge),2)))*(1+FedEx_Markup),2)"),70.32)</f>
        <v>70.319999999999993</v>
      </c>
      <c r="C142" s="218">
        <f ca="1">IFERROR(__xludf.DUMMYFUNCTION("ROUND((IF(SINGLE('Ground Base'!C$154)&gt;ROUND(((1-GroundResDiscount31Up-GroundResIncentive)*'Ground Base'!C137),2),ROUND((SINGLE('Ground Base'!C$154)+GroundResidentialFee)*(1+GroundFuelSurcharge),2),ROUND((((1-GroundResDiscount31Up-GroundResIncentive)*'Grou"&amp;"nd Base'!C137)+GroundResidentialFee)*(1+GroundFuelSurcharge),2)))*(1+FedEx_Markup),2)"),71.21)</f>
        <v>71.209999999999994</v>
      </c>
      <c r="D142" s="218">
        <f ca="1">IFERROR(__xludf.DUMMYFUNCTION("ROUND((IF(SINGLE('Ground Base'!D$154)&gt;ROUND(((1-GroundResDiscount31Up-GroundResIncentive)*'Ground Base'!D137),2),ROUND((SINGLE('Ground Base'!D$154)+GroundResidentialFee)*(1+GroundFuelSurcharge),2),ROUND((((1-GroundResDiscount31Up-GroundResIncentive)*'Grou"&amp;"nd Base'!D137)+GroundResidentialFee)*(1+GroundFuelSurcharge),2)))*(1+FedEx_Markup),2)"),76.13)</f>
        <v>76.13</v>
      </c>
      <c r="E142" s="218">
        <f ca="1">IFERROR(__xludf.DUMMYFUNCTION("ROUND((IF(SINGLE('Ground Base'!E$154)&gt;ROUND(((1-GroundResDiscount31Up-GroundResIncentive)*'Ground Base'!E137),2),ROUND((SINGLE('Ground Base'!E$154)+GroundResidentialFee)*(1+GroundFuelSurcharge),2),ROUND((((1-GroundResDiscount31Up-GroundResIncentive)*'Grou"&amp;"nd Base'!E137)+GroundResidentialFee)*(1+GroundFuelSurcharge),2)))*(1+FedEx_Markup),2)"),78.09)</f>
        <v>78.09</v>
      </c>
      <c r="F142" s="218">
        <f ca="1">IFERROR(__xludf.DUMMYFUNCTION("ROUND((IF(SINGLE('Ground Base'!F$154)&gt;ROUND(((1-GroundResDiscount31Up-GroundResIncentive)*'Ground Base'!F137),2),ROUND((SINGLE('Ground Base'!F$154)+GroundResidentialFee)*(1+GroundFuelSurcharge),2),ROUND((((1-GroundResDiscount31Up-GroundResIncentive)*'Grou"&amp;"nd Base'!F137)+GroundResidentialFee)*(1+GroundFuelSurcharge),2)))*(1+FedEx_Markup),2)"),87.94)</f>
        <v>87.94</v>
      </c>
      <c r="G142" s="218">
        <f ca="1">IFERROR(__xludf.DUMMYFUNCTION("ROUND((IF(SINGLE('Ground Base'!G$154)&gt;ROUND(((1-GroundResDiscount31Up-GroundResIncentive)*'Ground Base'!G137),2),ROUND((SINGLE('Ground Base'!G$154)+GroundResidentialFee)*(1+GroundFuelSurcharge),2),ROUND((((1-GroundResDiscount31Up-GroundResIncentive)*'Grou"&amp;"nd Base'!G137)+GroundResidentialFee)*(1+GroundFuelSurcharge),2)))*(1+FedEx_Markup),2)"),95.28)</f>
        <v>95.28</v>
      </c>
      <c r="H142" s="218">
        <f ca="1">IFERROR(__xludf.DUMMYFUNCTION("ROUND((IF(SINGLE('Ground Base'!H$154)&gt;ROUND(((1-GroundResDiscount31Up-GroundResIncentive)*'Ground Base'!H137),2),ROUND((SINGLE('Ground Base'!H$154)+GroundResidentialFee)*(1+GroundFuelSurcharge),2),ROUND((((1-GroundResDiscount31Up-GroundResIncentive)*'Grou"&amp;"nd Base'!H137)+GroundResidentialFee)*(1+GroundFuelSurcharge),2)))*(1+FedEx_Markup),2)"),106.58)</f>
        <v>106.58</v>
      </c>
      <c r="I142" s="218">
        <f>ROUND((IF('Ground Base'!I$154&gt;ROUND(((1-GroundAKHIDiscount)*'Ground Base'!I137),2),ROUND(('Ground Base'!I$154+GroundResidentialFee)*(1+GroundFuelSurcharge),2),ROUND((((1-GroundAKHIDiscount)*'Ground Base'!I137)+GroundResidentialFee)*(1+GroundFuelSurcharge),2)))*(1+FedEx_Markup),2)</f>
        <v>642.59</v>
      </c>
      <c r="J142" s="218">
        <f>ROUND((IF('Ground Base'!J$154&gt;ROUND(((1-GroundAKHIDiscount)*'Ground Base'!J137),2),ROUND(('Ground Base'!J$154+GroundResidentialFee)*(1+GroundFuelSurcharge),2),ROUND((((1-GroundAKHIDiscount)*'Ground Base'!J137)+GroundResidentialFee)*(1+GroundFuelSurcharge),2)))*(1+FedEx_Markup),2)</f>
        <v>642.59</v>
      </c>
      <c r="K142" s="218">
        <f>ROUND((IF('Ground Base'!K$154&gt;ROUND(((1-GroundZone51Discount)*'Ground Base'!K137),2),ROUND(('Ground Base'!K$154+GroundResidentialFee)*(1+GroundFuelSurcharge),2),ROUND((((1-GroundZone51Discount)*'Ground Base'!K137)+GroundResidentialFee)*(1+GroundFuelSurcharge),2)))*(1+FedEx_Markup),2)</f>
        <v>134.58000000000001</v>
      </c>
      <c r="L142" s="218">
        <f>ROUND((IF('Ground Base'!L$154&gt;ROUND(((1-GroundZone54Discount)*'Ground Base'!L137),2),ROUND(('Ground Base'!L$154+GroundResidentialFee)*(1+GroundFuelSurcharge),2),ROUND((((1-GroundZone54Discount)*'Ground Base'!L137)+GroundResidentialFee)*(1+GroundFuelSurcharge),2)))*(1+FedEx_Markup),2)</f>
        <v>187.61</v>
      </c>
    </row>
    <row r="143" spans="1:12" ht="12.75" customHeight="1">
      <c r="A143" s="217">
        <v>136</v>
      </c>
      <c r="B143" s="218">
        <f ca="1">IFERROR(__xludf.DUMMYFUNCTION("ROUND((IF(SINGLE('Ground Base'!B$154)&gt;ROUND(((1-GroundResDiscount31Up-GroundResIncentive)*'Ground Base'!B138),2),ROUND((SINGLE('Ground Base'!B$154)+GroundResidentialFee)*(1+GroundFuelSurcharge),2),ROUND((((1-GroundResDiscount31Up-GroundResIncentive)*'Grou"&amp;"nd Base'!B138)+GroundResidentialFee)*(1+GroundFuelSurcharge),2)))*(1+FedEx_Markup),2)"),70.82)</f>
        <v>70.819999999999993</v>
      </c>
      <c r="C143" s="218">
        <f ca="1">IFERROR(__xludf.DUMMYFUNCTION("ROUND((IF(SINGLE('Ground Base'!C$154)&gt;ROUND(((1-GroundResDiscount31Up-GroundResIncentive)*'Ground Base'!C138),2),ROUND((SINGLE('Ground Base'!C$154)+GroundResidentialFee)*(1+GroundFuelSurcharge),2),ROUND((((1-GroundResDiscount31Up-GroundResIncentive)*'Grou"&amp;"nd Base'!C138)+GroundResidentialFee)*(1+GroundFuelSurcharge),2)))*(1+FedEx_Markup),2)"),71.22)</f>
        <v>71.22</v>
      </c>
      <c r="D143" s="218">
        <f ca="1">IFERROR(__xludf.DUMMYFUNCTION("ROUND((IF(SINGLE('Ground Base'!D$154)&gt;ROUND(((1-GroundResDiscount31Up-GroundResIncentive)*'Ground Base'!D138),2),ROUND((SINGLE('Ground Base'!D$154)+GroundResidentialFee)*(1+GroundFuelSurcharge),2),ROUND((((1-GroundResDiscount31Up-GroundResIncentive)*'Grou"&amp;"nd Base'!D138)+GroundResidentialFee)*(1+GroundFuelSurcharge),2)))*(1+FedEx_Markup),2)"),76.62)</f>
        <v>76.62</v>
      </c>
      <c r="E143" s="218">
        <f ca="1">IFERROR(__xludf.DUMMYFUNCTION("ROUND((IF(SINGLE('Ground Base'!E$154)&gt;ROUND(((1-GroundResDiscount31Up-GroundResIncentive)*'Ground Base'!E138),2),ROUND((SINGLE('Ground Base'!E$154)+GroundResidentialFee)*(1+GroundFuelSurcharge),2),ROUND((((1-GroundResDiscount31Up-GroundResIncentive)*'Grou"&amp;"nd Base'!E138)+GroundResidentialFee)*(1+GroundFuelSurcharge),2)))*(1+FedEx_Markup),2)"),78.74)</f>
        <v>78.739999999999995</v>
      </c>
      <c r="F143" s="218">
        <f ca="1">IFERROR(__xludf.DUMMYFUNCTION("ROUND((IF(SINGLE('Ground Base'!F$154)&gt;ROUND(((1-GroundResDiscount31Up-GroundResIncentive)*'Ground Base'!F138),2),ROUND((SINGLE('Ground Base'!F$154)+GroundResidentialFee)*(1+GroundFuelSurcharge),2),ROUND((((1-GroundResDiscount31Up-GroundResIncentive)*'Grou"&amp;"nd Base'!F138)+GroundResidentialFee)*(1+GroundFuelSurcharge),2)))*(1+FedEx_Markup),2)"),87.95)</f>
        <v>87.95</v>
      </c>
      <c r="G143" s="218">
        <f ca="1">IFERROR(__xludf.DUMMYFUNCTION("ROUND((IF(SINGLE('Ground Base'!G$154)&gt;ROUND(((1-GroundResDiscount31Up-GroundResIncentive)*'Ground Base'!G138),2),ROUND((SINGLE('Ground Base'!G$154)+GroundResidentialFee)*(1+GroundFuelSurcharge),2),ROUND((((1-GroundResDiscount31Up-GroundResIncentive)*'Grou"&amp;"nd Base'!G138)+GroundResidentialFee)*(1+GroundFuelSurcharge),2)))*(1+FedEx_Markup),2)"),96.7)</f>
        <v>96.7</v>
      </c>
      <c r="H143" s="218">
        <f ca="1">IFERROR(__xludf.DUMMYFUNCTION("ROUND((IF(SINGLE('Ground Base'!H$154)&gt;ROUND(((1-GroundResDiscount31Up-GroundResIncentive)*'Ground Base'!H138),2),ROUND((SINGLE('Ground Base'!H$154)+GroundResidentialFee)*(1+GroundFuelSurcharge),2),ROUND((((1-GroundResDiscount31Up-GroundResIncentive)*'Grou"&amp;"nd Base'!H138)+GroundResidentialFee)*(1+GroundFuelSurcharge),2)))*(1+FedEx_Markup),2)"),107.3)</f>
        <v>107.3</v>
      </c>
      <c r="I143" s="218">
        <f>ROUND((IF('Ground Base'!I$154&gt;ROUND(((1-GroundAKHIDiscount)*'Ground Base'!I138),2),ROUND(('Ground Base'!I$154+GroundResidentialFee)*(1+GroundFuelSurcharge),2),ROUND((((1-GroundAKHIDiscount)*'Ground Base'!I138)+GroundResidentialFee)*(1+GroundFuelSurcharge),2)))*(1+FedEx_Markup),2)</f>
        <v>647.45000000000005</v>
      </c>
      <c r="J143" s="218">
        <f>ROUND((IF('Ground Base'!J$154&gt;ROUND(((1-GroundAKHIDiscount)*'Ground Base'!J138),2),ROUND(('Ground Base'!J$154+GroundResidentialFee)*(1+GroundFuelSurcharge),2),ROUND((((1-GroundAKHIDiscount)*'Ground Base'!J138)+GroundResidentialFee)*(1+GroundFuelSurcharge),2)))*(1+FedEx_Markup),2)</f>
        <v>647.45000000000005</v>
      </c>
      <c r="K143" s="218">
        <f>ROUND((IF('Ground Base'!K$154&gt;ROUND(((1-GroundZone51Discount)*'Ground Base'!K138),2),ROUND(('Ground Base'!K$154+GroundResidentialFee)*(1+GroundFuelSurcharge),2),ROUND((((1-GroundZone51Discount)*'Ground Base'!K138)+GroundResidentialFee)*(1+GroundFuelSurcharge),2)))*(1+FedEx_Markup),2)</f>
        <v>137.25</v>
      </c>
      <c r="L143" s="218">
        <f>ROUND((IF('Ground Base'!L$154&gt;ROUND(((1-GroundZone54Discount)*'Ground Base'!L138),2),ROUND(('Ground Base'!L$154+GroundResidentialFee)*(1+GroundFuelSurcharge),2),ROUND((((1-GroundZone54Discount)*'Ground Base'!L138)+GroundResidentialFee)*(1+GroundFuelSurcharge),2)))*(1+FedEx_Markup),2)</f>
        <v>193.5</v>
      </c>
    </row>
    <row r="144" spans="1:12" ht="12.75" customHeight="1">
      <c r="A144" s="217">
        <v>137</v>
      </c>
      <c r="B144" s="218">
        <f ca="1">IFERROR(__xludf.DUMMYFUNCTION("ROUND((IF(SINGLE('Ground Base'!B$154)&gt;ROUND(((1-GroundResDiscount31Up-GroundResIncentive)*'Ground Base'!B139),2),ROUND((SINGLE('Ground Base'!B$154)+GroundResidentialFee)*(1+GroundFuelSurcharge),2),ROUND((((1-GroundResDiscount31Up-GroundResIncentive)*'Grou"&amp;"nd Base'!B139)+GroundResidentialFee)*(1+GroundFuelSurcharge),2)))*(1+FedEx_Markup),2)"),70.83)</f>
        <v>70.83</v>
      </c>
      <c r="C144" s="218">
        <f ca="1">IFERROR(__xludf.DUMMYFUNCTION("ROUND((IF(SINGLE('Ground Base'!C$154)&gt;ROUND(((1-GroundResDiscount31Up-GroundResIncentive)*'Ground Base'!C139),2),ROUND((SINGLE('Ground Base'!C$154)+GroundResidentialFee)*(1+GroundFuelSurcharge),2),ROUND((((1-GroundResDiscount31Up-GroundResIncentive)*'Grou"&amp;"nd Base'!C139)+GroundResidentialFee)*(1+GroundFuelSurcharge),2)))*(1+FedEx_Markup),2)"),71.38)</f>
        <v>71.38</v>
      </c>
      <c r="D144" s="218">
        <f ca="1">IFERROR(__xludf.DUMMYFUNCTION("ROUND((IF(SINGLE('Ground Base'!D$154)&gt;ROUND(((1-GroundResDiscount31Up-GroundResIncentive)*'Ground Base'!D139),2),ROUND((SINGLE('Ground Base'!D$154)+GroundResidentialFee)*(1+GroundFuelSurcharge),2),ROUND((((1-GroundResDiscount31Up-GroundResIncentive)*'Grou"&amp;"nd Base'!D139)+GroundResidentialFee)*(1+GroundFuelSurcharge),2)))*(1+FedEx_Markup),2)"),78.57)</f>
        <v>78.569999999999993</v>
      </c>
      <c r="E144" s="218">
        <f ca="1">IFERROR(__xludf.DUMMYFUNCTION("ROUND((IF(SINGLE('Ground Base'!E$154)&gt;ROUND(((1-GroundResDiscount31Up-GroundResIncentive)*'Ground Base'!E139),2),ROUND((SINGLE('Ground Base'!E$154)+GroundResidentialFee)*(1+GroundFuelSurcharge),2),ROUND((((1-GroundResDiscount31Up-GroundResIncentive)*'Grou"&amp;"nd Base'!E139)+GroundResidentialFee)*(1+GroundFuelSurcharge),2)))*(1+FedEx_Markup),2)"),79.29)</f>
        <v>79.290000000000006</v>
      </c>
      <c r="F144" s="218">
        <f ca="1">IFERROR(__xludf.DUMMYFUNCTION("ROUND((IF(SINGLE('Ground Base'!F$154)&gt;ROUND(((1-GroundResDiscount31Up-GroundResIncentive)*'Ground Base'!F139),2),ROUND((SINGLE('Ground Base'!F$154)+GroundResidentialFee)*(1+GroundFuelSurcharge),2),ROUND((((1-GroundResDiscount31Up-GroundResIncentive)*'Grou"&amp;"nd Base'!F139)+GroundResidentialFee)*(1+GroundFuelSurcharge),2)))*(1+FedEx_Markup),2)"),87.96)</f>
        <v>87.96</v>
      </c>
      <c r="G144" s="218">
        <f ca="1">IFERROR(__xludf.DUMMYFUNCTION("ROUND((IF(SINGLE('Ground Base'!G$154)&gt;ROUND(((1-GroundResDiscount31Up-GroundResIncentive)*'Ground Base'!G139),2),ROUND((SINGLE('Ground Base'!G$154)+GroundResidentialFee)*(1+GroundFuelSurcharge),2),ROUND((((1-GroundResDiscount31Up-GroundResIncentive)*'Grou"&amp;"nd Base'!G139)+GroundResidentialFee)*(1+GroundFuelSurcharge),2)))*(1+FedEx_Markup),2)"),96.7)</f>
        <v>96.7</v>
      </c>
      <c r="H144" s="218">
        <f ca="1">IFERROR(__xludf.DUMMYFUNCTION("ROUND((IF(SINGLE('Ground Base'!H$154)&gt;ROUND(((1-GroundResDiscount31Up-GroundResIncentive)*'Ground Base'!H139),2),ROUND((SINGLE('Ground Base'!H$154)+GroundResidentialFee)*(1+GroundFuelSurcharge),2),ROUND((((1-GroundResDiscount31Up-GroundResIncentive)*'Grou"&amp;"nd Base'!H139)+GroundResidentialFee)*(1+GroundFuelSurcharge),2)))*(1+FedEx_Markup),2)"),107.3)</f>
        <v>107.3</v>
      </c>
      <c r="I144" s="218">
        <f>ROUND((IF('Ground Base'!I$154&gt;ROUND(((1-GroundAKHIDiscount)*'Ground Base'!I139),2),ROUND(('Ground Base'!I$154+GroundResidentialFee)*(1+GroundFuelSurcharge),2),ROUND((((1-GroundAKHIDiscount)*'Ground Base'!I139)+GroundResidentialFee)*(1+GroundFuelSurcharge),2)))*(1+FedEx_Markup),2)</f>
        <v>664.75</v>
      </c>
      <c r="J144" s="218">
        <f>ROUND((IF('Ground Base'!J$154&gt;ROUND(((1-GroundAKHIDiscount)*'Ground Base'!J139),2),ROUND(('Ground Base'!J$154+GroundResidentialFee)*(1+GroundFuelSurcharge),2),ROUND((((1-GroundAKHIDiscount)*'Ground Base'!J139)+GroundResidentialFee)*(1+GroundFuelSurcharge),2)))*(1+FedEx_Markup),2)</f>
        <v>664.75</v>
      </c>
      <c r="K144" s="218">
        <f>ROUND((IF('Ground Base'!K$154&gt;ROUND(((1-GroundZone51Discount)*'Ground Base'!K139),2),ROUND(('Ground Base'!K$154+GroundResidentialFee)*(1+GroundFuelSurcharge),2),ROUND((((1-GroundZone51Discount)*'Ground Base'!K139)+GroundResidentialFee)*(1+GroundFuelSurcharge),2)))*(1+FedEx_Markup),2)</f>
        <v>137.26</v>
      </c>
      <c r="L144" s="218">
        <f>ROUND((IF('Ground Base'!L$154&gt;ROUND(((1-GroundZone54Discount)*'Ground Base'!L139),2),ROUND(('Ground Base'!L$154+GroundResidentialFee)*(1+GroundFuelSurcharge),2),ROUND((((1-GroundZone54Discount)*'Ground Base'!L139)+GroundResidentialFee)*(1+GroundFuelSurcharge),2)))*(1+FedEx_Markup),2)</f>
        <v>193.51</v>
      </c>
    </row>
    <row r="145" spans="1:12" ht="12.75" customHeight="1">
      <c r="A145" s="217">
        <v>138</v>
      </c>
      <c r="B145" s="218">
        <f ca="1">IFERROR(__xludf.DUMMYFUNCTION("ROUND((IF(SINGLE('Ground Base'!B$154)&gt;ROUND(((1-GroundResDiscount31Up-GroundResIncentive)*'Ground Base'!B140),2),ROUND((SINGLE('Ground Base'!B$154)+GroundResidentialFee)*(1+GroundFuelSurcharge),2),ROUND((((1-GroundResDiscount31Up-GroundResIncentive)*'Grou"&amp;"nd Base'!B140)+GroundResidentialFee)*(1+GroundFuelSurcharge),2)))*(1+FedEx_Markup),2)"),72.08)</f>
        <v>72.08</v>
      </c>
      <c r="C145" s="218">
        <f ca="1">IFERROR(__xludf.DUMMYFUNCTION("ROUND((IF(SINGLE('Ground Base'!C$154)&gt;ROUND(((1-GroundResDiscount31Up-GroundResIncentive)*'Ground Base'!C140),2),ROUND((SINGLE('Ground Base'!C$154)+GroundResidentialFee)*(1+GroundFuelSurcharge),2),ROUND((((1-GroundResDiscount31Up-GroundResIncentive)*'Grou"&amp;"nd Base'!C140)+GroundResidentialFee)*(1+GroundFuelSurcharge),2)))*(1+FedEx_Markup),2)"),73.12)</f>
        <v>73.12</v>
      </c>
      <c r="D145" s="218">
        <f ca="1">IFERROR(__xludf.DUMMYFUNCTION("ROUND((IF(SINGLE('Ground Base'!D$154)&gt;ROUND(((1-GroundResDiscount31Up-GroundResIncentive)*'Ground Base'!D140),2),ROUND((SINGLE('Ground Base'!D$154)+GroundResidentialFee)*(1+GroundFuelSurcharge),2),ROUND((((1-GroundResDiscount31Up-GroundResIncentive)*'Grou"&amp;"nd Base'!D140)+GroundResidentialFee)*(1+GroundFuelSurcharge),2)))*(1+FedEx_Markup),2)"),78.92)</f>
        <v>78.92</v>
      </c>
      <c r="E145" s="218">
        <f ca="1">IFERROR(__xludf.DUMMYFUNCTION("ROUND((IF(SINGLE('Ground Base'!E$154)&gt;ROUND(((1-GroundResDiscount31Up-GroundResIncentive)*'Ground Base'!E140),2),ROUND((SINGLE('Ground Base'!E$154)+GroundResidentialFee)*(1+GroundFuelSurcharge),2),ROUND((((1-GroundResDiscount31Up-GroundResIncentive)*'Grou"&amp;"nd Base'!E140)+GroundResidentialFee)*(1+GroundFuelSurcharge),2)))*(1+FedEx_Markup),2)"),79.93)</f>
        <v>79.930000000000007</v>
      </c>
      <c r="F145" s="218">
        <f ca="1">IFERROR(__xludf.DUMMYFUNCTION("ROUND((IF(SINGLE('Ground Base'!F$154)&gt;ROUND(((1-GroundResDiscount31Up-GroundResIncentive)*'Ground Base'!F140),2),ROUND((SINGLE('Ground Base'!F$154)+GroundResidentialFee)*(1+GroundFuelSurcharge),2),ROUND((((1-GroundResDiscount31Up-GroundResIncentive)*'Grou"&amp;"nd Base'!F140)+GroundResidentialFee)*(1+GroundFuelSurcharge),2)))*(1+FedEx_Markup),2)"),89.69)</f>
        <v>89.69</v>
      </c>
      <c r="G145" s="218">
        <f ca="1">IFERROR(__xludf.DUMMYFUNCTION("ROUND((IF(SINGLE('Ground Base'!G$154)&gt;ROUND(((1-GroundResDiscount31Up-GroundResIncentive)*'Ground Base'!G140),2),ROUND((SINGLE('Ground Base'!G$154)+GroundResidentialFee)*(1+GroundFuelSurcharge),2),ROUND((((1-GroundResDiscount31Up-GroundResIncentive)*'Grou"&amp;"nd Base'!G140)+GroundResidentialFee)*(1+GroundFuelSurcharge),2)))*(1+FedEx_Markup),2)"),97.5)</f>
        <v>97.5</v>
      </c>
      <c r="H145" s="218">
        <f ca="1">IFERROR(__xludf.DUMMYFUNCTION("ROUND((IF(SINGLE('Ground Base'!H$154)&gt;ROUND(((1-GroundResDiscount31Up-GroundResIncentive)*'Ground Base'!H140),2),ROUND((SINGLE('Ground Base'!H$154)+GroundResidentialFee)*(1+GroundFuelSurcharge),2),ROUND((((1-GroundResDiscount31Up-GroundResIncentive)*'Grou"&amp;"nd Base'!H140)+GroundResidentialFee)*(1+GroundFuelSurcharge),2)))*(1+FedEx_Markup),2)"),110.15)</f>
        <v>110.15</v>
      </c>
      <c r="I145" s="218">
        <f>ROUND((IF('Ground Base'!I$154&gt;ROUND(((1-GroundAKHIDiscount)*'Ground Base'!I140),2),ROUND(('Ground Base'!I$154+GroundResidentialFee)*(1+GroundFuelSurcharge),2),ROUND((((1-GroundAKHIDiscount)*'Ground Base'!I140)+GroundResidentialFee)*(1+GroundFuelSurcharge),2)))*(1+FedEx_Markup),2)</f>
        <v>668.25</v>
      </c>
      <c r="J145" s="218">
        <f>ROUND((IF('Ground Base'!J$154&gt;ROUND(((1-GroundAKHIDiscount)*'Ground Base'!J140),2),ROUND(('Ground Base'!J$154+GroundResidentialFee)*(1+GroundFuelSurcharge),2),ROUND((((1-GroundAKHIDiscount)*'Ground Base'!J140)+GroundResidentialFee)*(1+GroundFuelSurcharge),2)))*(1+FedEx_Markup),2)</f>
        <v>668.25</v>
      </c>
      <c r="K145" s="218">
        <f>ROUND((IF('Ground Base'!K$154&gt;ROUND(((1-GroundZone51Discount)*'Ground Base'!K140),2),ROUND(('Ground Base'!K$154+GroundResidentialFee)*(1+GroundFuelSurcharge),2),ROUND((((1-GroundZone51Discount)*'Ground Base'!K140)+GroundResidentialFee)*(1+GroundFuelSurcharge),2)))*(1+FedEx_Markup),2)</f>
        <v>137.28</v>
      </c>
      <c r="L145" s="218">
        <f>ROUND((IF('Ground Base'!L$154&gt;ROUND(((1-GroundZone54Discount)*'Ground Base'!L140),2),ROUND(('Ground Base'!L$154+GroundResidentialFee)*(1+GroundFuelSurcharge),2),ROUND((((1-GroundZone54Discount)*'Ground Base'!L140)+GroundResidentialFee)*(1+GroundFuelSurcharge),2)))*(1+FedEx_Markup),2)</f>
        <v>193.51</v>
      </c>
    </row>
    <row r="146" spans="1:12" ht="12.75" customHeight="1">
      <c r="A146" s="217">
        <v>139</v>
      </c>
      <c r="B146" s="218">
        <f ca="1">IFERROR(__xludf.DUMMYFUNCTION("ROUND((IF(SINGLE('Ground Base'!B$154)&gt;ROUND(((1-GroundResDiscount31Up-GroundResIncentive)*'Ground Base'!B141),2),ROUND((SINGLE('Ground Base'!B$154)+GroundResidentialFee)*(1+GroundFuelSurcharge),2),ROUND((((1-GroundResDiscount31Up-GroundResIncentive)*'Grou"&amp;"nd Base'!B141)+GroundResidentialFee)*(1+GroundFuelSurcharge),2)))*(1+FedEx_Markup),2)"),73.36)</f>
        <v>73.36</v>
      </c>
      <c r="C146" s="218">
        <f ca="1">IFERROR(__xludf.DUMMYFUNCTION("ROUND((IF(SINGLE('Ground Base'!C$154)&gt;ROUND(((1-GroundResDiscount31Up-GroundResIncentive)*'Ground Base'!C141),2),ROUND((SINGLE('Ground Base'!C$154)+GroundResidentialFee)*(1+GroundFuelSurcharge),2),ROUND((((1-GroundResDiscount31Up-GroundResIncentive)*'Grou"&amp;"nd Base'!C141)+GroundResidentialFee)*(1+GroundFuelSurcharge),2)))*(1+FedEx_Markup),2)"),73.37)</f>
        <v>73.37</v>
      </c>
      <c r="D146" s="218">
        <f ca="1">IFERROR(__xludf.DUMMYFUNCTION("ROUND((IF(SINGLE('Ground Base'!D$154)&gt;ROUND(((1-GroundResDiscount31Up-GroundResIncentive)*'Ground Base'!D141),2),ROUND((SINGLE('Ground Base'!D$154)+GroundResidentialFee)*(1+GroundFuelSurcharge),2),ROUND((((1-GroundResDiscount31Up-GroundResIncentive)*'Grou"&amp;"nd Base'!D141)+GroundResidentialFee)*(1+GroundFuelSurcharge),2)))*(1+FedEx_Markup),2)"),78.96)</f>
        <v>78.959999999999994</v>
      </c>
      <c r="E146" s="218">
        <f ca="1">IFERROR(__xludf.DUMMYFUNCTION("ROUND((IF(SINGLE('Ground Base'!E$154)&gt;ROUND(((1-GroundResDiscount31Up-GroundResIncentive)*'Ground Base'!E141),2),ROUND((SINGLE('Ground Base'!E$154)+GroundResidentialFee)*(1+GroundFuelSurcharge),2),ROUND((((1-GroundResDiscount31Up-GroundResIncentive)*'Grou"&amp;"nd Base'!E141)+GroundResidentialFee)*(1+GroundFuelSurcharge),2)))*(1+FedEx_Markup),2)"),79.94)</f>
        <v>79.94</v>
      </c>
      <c r="F146" s="218">
        <f ca="1">IFERROR(__xludf.DUMMYFUNCTION("ROUND((IF(SINGLE('Ground Base'!F$154)&gt;ROUND(((1-GroundResDiscount31Up-GroundResIncentive)*'Ground Base'!F141),2),ROUND((SINGLE('Ground Base'!F$154)+GroundResidentialFee)*(1+GroundFuelSurcharge),2),ROUND((((1-GroundResDiscount31Up-GroundResIncentive)*'Grou"&amp;"nd Base'!F141)+GroundResidentialFee)*(1+GroundFuelSurcharge),2)))*(1+FedEx_Markup),2)"),89.7)</f>
        <v>89.7</v>
      </c>
      <c r="G146" s="218">
        <f ca="1">IFERROR(__xludf.DUMMYFUNCTION("ROUND((IF(SINGLE('Ground Base'!G$154)&gt;ROUND(((1-GroundResDiscount31Up-GroundResIncentive)*'Ground Base'!G141),2),ROUND((SINGLE('Ground Base'!G$154)+GroundResidentialFee)*(1+GroundFuelSurcharge),2),ROUND((((1-GroundResDiscount31Up-GroundResIncentive)*'Grou"&amp;"nd Base'!G141)+GroundResidentialFee)*(1+GroundFuelSurcharge),2)))*(1+FedEx_Markup),2)"),99.25)</f>
        <v>99.25</v>
      </c>
      <c r="H146" s="218">
        <f ca="1">IFERROR(__xludf.DUMMYFUNCTION("ROUND((IF(SINGLE('Ground Base'!H$154)&gt;ROUND(((1-GroundResDiscount31Up-GroundResIncentive)*'Ground Base'!H141),2),ROUND((SINGLE('Ground Base'!H$154)+GroundResidentialFee)*(1+GroundFuelSurcharge),2),ROUND((((1-GroundResDiscount31Up-GroundResIncentive)*'Grou"&amp;"nd Base'!H141)+GroundResidentialFee)*(1+GroundFuelSurcharge),2)))*(1+FedEx_Markup),2)"),110.18)</f>
        <v>110.18</v>
      </c>
      <c r="I146" s="218">
        <f>ROUND((IF('Ground Base'!I$154&gt;ROUND(((1-GroundAKHIDiscount)*'Ground Base'!I141),2),ROUND(('Ground Base'!I$154+GroundResidentialFee)*(1+GroundFuelSurcharge),2),ROUND((((1-GroundAKHIDiscount)*'Ground Base'!I141)+GroundResidentialFee)*(1+GroundFuelSurcharge),2)))*(1+FedEx_Markup),2)</f>
        <v>668.27</v>
      </c>
      <c r="J146" s="218">
        <f>ROUND((IF('Ground Base'!J$154&gt;ROUND(((1-GroundAKHIDiscount)*'Ground Base'!J141),2),ROUND(('Ground Base'!J$154+GroundResidentialFee)*(1+GroundFuelSurcharge),2),ROUND((((1-GroundAKHIDiscount)*'Ground Base'!J141)+GroundResidentialFee)*(1+GroundFuelSurcharge),2)))*(1+FedEx_Markup),2)</f>
        <v>668.27</v>
      </c>
      <c r="K146" s="218">
        <f>ROUND((IF('Ground Base'!K$154&gt;ROUND(((1-GroundZone51Discount)*'Ground Base'!K141),2),ROUND(('Ground Base'!K$154+GroundResidentialFee)*(1+GroundFuelSurcharge),2),ROUND((((1-GroundZone51Discount)*'Ground Base'!K141)+GroundResidentialFee)*(1+GroundFuelSurcharge),2)))*(1+FedEx_Markup),2)</f>
        <v>137.29</v>
      </c>
      <c r="L146" s="218">
        <f>ROUND((IF('Ground Base'!L$154&gt;ROUND(((1-GroundZone54Discount)*'Ground Base'!L141),2),ROUND(('Ground Base'!L$154+GroundResidentialFee)*(1+GroundFuelSurcharge),2),ROUND((((1-GroundZone54Discount)*'Ground Base'!L141)+GroundResidentialFee)*(1+GroundFuelSurcharge),2)))*(1+FedEx_Markup),2)</f>
        <v>193.52</v>
      </c>
    </row>
    <row r="147" spans="1:12" ht="12.75" customHeight="1">
      <c r="A147" s="217">
        <v>140</v>
      </c>
      <c r="B147" s="218">
        <f ca="1">IFERROR(__xludf.DUMMYFUNCTION("ROUND((IF(SINGLE('Ground Base'!B$154)&gt;ROUND(((1-GroundResDiscount31Up-GroundResIncentive)*'Ground Base'!B142),2),ROUND((SINGLE('Ground Base'!B$154)+GroundResidentialFee)*(1+GroundFuelSurcharge),2),ROUND((((1-GroundResDiscount31Up-GroundResIncentive)*'Grou"&amp;"nd Base'!B142)+GroundResidentialFee)*(1+GroundFuelSurcharge),2)))*(1+FedEx_Markup),2)"),73.95)</f>
        <v>73.95</v>
      </c>
      <c r="C147" s="218">
        <f ca="1">IFERROR(__xludf.DUMMYFUNCTION("ROUND((IF(SINGLE('Ground Base'!C$154)&gt;ROUND(((1-GroundResDiscount31Up-GroundResIncentive)*'Ground Base'!C142),2),ROUND((SINGLE('Ground Base'!C$154)+GroundResidentialFee)*(1+GroundFuelSurcharge),2),ROUND((((1-GroundResDiscount31Up-GroundResIncentive)*'Grou"&amp;"nd Base'!C142)+GroundResidentialFee)*(1+GroundFuelSurcharge),2)))*(1+FedEx_Markup),2)"),74.5)</f>
        <v>74.5</v>
      </c>
      <c r="D147" s="218">
        <f ca="1">IFERROR(__xludf.DUMMYFUNCTION("ROUND((IF(SINGLE('Ground Base'!D$154)&gt;ROUND(((1-GroundResDiscount31Up-GroundResIncentive)*'Ground Base'!D142),2),ROUND((SINGLE('Ground Base'!D$154)+GroundResidentialFee)*(1+GroundFuelSurcharge),2),ROUND((((1-GroundResDiscount31Up-GroundResIncentive)*'Grou"&amp;"nd Base'!D142)+GroundResidentialFee)*(1+GroundFuelSurcharge),2)))*(1+FedEx_Markup),2)"),79.7)</f>
        <v>79.7</v>
      </c>
      <c r="E147" s="218">
        <f ca="1">IFERROR(__xludf.DUMMYFUNCTION("ROUND((IF(SINGLE('Ground Base'!E$154)&gt;ROUND(((1-GroundResDiscount31Up-GroundResIncentive)*'Ground Base'!E142),2),ROUND((SINGLE('Ground Base'!E$154)+GroundResidentialFee)*(1+GroundFuelSurcharge),2),ROUND((((1-GroundResDiscount31Up-GroundResIncentive)*'Grou"&amp;"nd Base'!E142)+GroundResidentialFee)*(1+GroundFuelSurcharge),2)))*(1+FedEx_Markup),2)"),81.13)</f>
        <v>81.13</v>
      </c>
      <c r="F147" s="218">
        <f ca="1">IFERROR(__xludf.DUMMYFUNCTION("ROUND((IF(SINGLE('Ground Base'!F$154)&gt;ROUND(((1-GroundResDiscount31Up-GroundResIncentive)*'Ground Base'!F142),2),ROUND((SINGLE('Ground Base'!F$154)+GroundResidentialFee)*(1+GroundFuelSurcharge),2),ROUND((((1-GroundResDiscount31Up-GroundResIncentive)*'Grou"&amp;"nd Base'!F142)+GroundResidentialFee)*(1+GroundFuelSurcharge),2)))*(1+FedEx_Markup),2)"),90.63)</f>
        <v>90.63</v>
      </c>
      <c r="G147" s="218">
        <f ca="1">IFERROR(__xludf.DUMMYFUNCTION("ROUND((IF(SINGLE('Ground Base'!G$154)&gt;ROUND(((1-GroundResDiscount31Up-GroundResIncentive)*'Ground Base'!G142),2),ROUND((SINGLE('Ground Base'!G$154)+GroundResidentialFee)*(1+GroundFuelSurcharge),2),ROUND((((1-GroundResDiscount31Up-GroundResIncentive)*'Grou"&amp;"nd Base'!G142)+GroundResidentialFee)*(1+GroundFuelSurcharge),2)))*(1+FedEx_Markup),2)"),99.26)</f>
        <v>99.26</v>
      </c>
      <c r="H147" s="218">
        <f ca="1">IFERROR(__xludf.DUMMYFUNCTION("ROUND((IF(SINGLE('Ground Base'!H$154)&gt;ROUND(((1-GroundResDiscount31Up-GroundResIncentive)*'Ground Base'!H142),2),ROUND((SINGLE('Ground Base'!H$154)+GroundResidentialFee)*(1+GroundFuelSurcharge),2),ROUND((((1-GroundResDiscount31Up-GroundResIncentive)*'Grou"&amp;"nd Base'!H142)+GroundResidentialFee)*(1+GroundFuelSurcharge),2)))*(1+FedEx_Markup),2)"),110.18)</f>
        <v>110.18</v>
      </c>
      <c r="I147" s="218">
        <f>ROUND((IF('Ground Base'!I$154&gt;ROUND(((1-GroundAKHIDiscount)*'Ground Base'!I142),2),ROUND(('Ground Base'!I$154+GroundResidentialFee)*(1+GroundFuelSurcharge),2),ROUND((((1-GroundAKHIDiscount)*'Ground Base'!I142)+GroundResidentialFee)*(1+GroundFuelSurcharge),2)))*(1+FedEx_Markup),2)</f>
        <v>668.28</v>
      </c>
      <c r="J147" s="218">
        <f>ROUND((IF('Ground Base'!J$154&gt;ROUND(((1-GroundAKHIDiscount)*'Ground Base'!J142),2),ROUND(('Ground Base'!J$154+GroundResidentialFee)*(1+GroundFuelSurcharge),2),ROUND((((1-GroundAKHIDiscount)*'Ground Base'!J142)+GroundResidentialFee)*(1+GroundFuelSurcharge),2)))*(1+FedEx_Markup),2)</f>
        <v>668.28</v>
      </c>
      <c r="K147" s="218">
        <f>ROUND((IF('Ground Base'!K$154&gt;ROUND(((1-GroundZone51Discount)*'Ground Base'!K142),2),ROUND(('Ground Base'!K$154+GroundResidentialFee)*(1+GroundFuelSurcharge),2),ROUND((((1-GroundZone51Discount)*'Ground Base'!K142)+GroundResidentialFee)*(1+GroundFuelSurcharge),2)))*(1+FedEx_Markup),2)</f>
        <v>137.30000000000001</v>
      </c>
      <c r="L147" s="218">
        <f>ROUND((IF('Ground Base'!L$154&gt;ROUND(((1-GroundZone54Discount)*'Ground Base'!L142),2),ROUND(('Ground Base'!L$154+GroundResidentialFee)*(1+GroundFuelSurcharge),2),ROUND((((1-GroundZone54Discount)*'Ground Base'!L142)+GroundResidentialFee)*(1+GroundFuelSurcharge),2)))*(1+FedEx_Markup),2)</f>
        <v>193.53</v>
      </c>
    </row>
    <row r="148" spans="1:12" ht="12.75" customHeight="1">
      <c r="A148" s="217">
        <v>141</v>
      </c>
      <c r="B148" s="218">
        <f ca="1">IFERROR(__xludf.DUMMYFUNCTION("ROUND((IF(SINGLE('Ground Base'!B$154)&gt;ROUND(((1-GroundResDiscount31Up-GroundResIncentive)*'Ground Base'!B143),2),ROUND((SINGLE('Ground Base'!B$154)+GroundResidentialFee)*(1+GroundFuelSurcharge),2),ROUND((((1-GroundResDiscount31Up-GroundResIncentive)*'Grou"&amp;"nd Base'!B143)+GroundResidentialFee)*(1+GroundFuelSurcharge),2)))*(1+FedEx_Markup),2)"),73.96)</f>
        <v>73.959999999999994</v>
      </c>
      <c r="C148" s="218">
        <f ca="1">IFERROR(__xludf.DUMMYFUNCTION("ROUND((IF(SINGLE('Ground Base'!C$154)&gt;ROUND(((1-GroundResDiscount31Up-GroundResIncentive)*'Ground Base'!C143),2),ROUND((SINGLE('Ground Base'!C$154)+GroundResidentialFee)*(1+GroundFuelSurcharge),2),ROUND((((1-GroundResDiscount31Up-GroundResIncentive)*'Grou"&amp;"nd Base'!C143)+GroundResidentialFee)*(1+GroundFuelSurcharge),2)))*(1+FedEx_Markup),2)"),74.5)</f>
        <v>74.5</v>
      </c>
      <c r="D148" s="218">
        <f ca="1">IFERROR(__xludf.DUMMYFUNCTION("ROUND((IF(SINGLE('Ground Base'!D$154)&gt;ROUND(((1-GroundResDiscount31Up-GroundResIncentive)*'Ground Base'!D143),2),ROUND((SINGLE('Ground Base'!D$154)+GroundResidentialFee)*(1+GroundFuelSurcharge),2),ROUND((((1-GroundResDiscount31Up-GroundResIncentive)*'Grou"&amp;"nd Base'!D143)+GroundResidentialFee)*(1+GroundFuelSurcharge),2)))*(1+FedEx_Markup),2)"),80.37)</f>
        <v>80.37</v>
      </c>
      <c r="E148" s="218">
        <f ca="1">IFERROR(__xludf.DUMMYFUNCTION("ROUND((IF(SINGLE('Ground Base'!E$154)&gt;ROUND(((1-GroundResDiscount31Up-GroundResIncentive)*'Ground Base'!E143),2),ROUND((SINGLE('Ground Base'!E$154)+GroundResidentialFee)*(1+GroundFuelSurcharge),2),ROUND((((1-GroundResDiscount31Up-GroundResIncentive)*'Grou"&amp;"nd Base'!E143)+GroundResidentialFee)*(1+GroundFuelSurcharge),2)))*(1+FedEx_Markup),2)"),81.14)</f>
        <v>81.14</v>
      </c>
      <c r="F148" s="218">
        <f ca="1">IFERROR(__xludf.DUMMYFUNCTION("ROUND((IF(SINGLE('Ground Base'!F$154)&gt;ROUND(((1-GroundResDiscount31Up-GroundResIncentive)*'Ground Base'!F143),2),ROUND((SINGLE('Ground Base'!F$154)+GroundResidentialFee)*(1+GroundFuelSurcharge),2),ROUND((((1-GroundResDiscount31Up-GroundResIncentive)*'Grou"&amp;"nd Base'!F143)+GroundResidentialFee)*(1+GroundFuelSurcharge),2)))*(1+FedEx_Markup),2)"),90.63)</f>
        <v>90.63</v>
      </c>
      <c r="G148" s="218">
        <f ca="1">IFERROR(__xludf.DUMMYFUNCTION("ROUND((IF(SINGLE('Ground Base'!G$154)&gt;ROUND(((1-GroundResDiscount31Up-GroundResIncentive)*'Ground Base'!G143),2),ROUND((SINGLE('Ground Base'!G$154)+GroundResidentialFee)*(1+GroundFuelSurcharge),2),ROUND((((1-GroundResDiscount31Up-GroundResIncentive)*'Grou"&amp;"nd Base'!G143)+GroundResidentialFee)*(1+GroundFuelSurcharge),2)))*(1+FedEx_Markup),2)"),99.26)</f>
        <v>99.26</v>
      </c>
      <c r="H148" s="218">
        <f ca="1">IFERROR(__xludf.DUMMYFUNCTION("ROUND((IF(SINGLE('Ground Base'!H$154)&gt;ROUND(((1-GroundResDiscount31Up-GroundResIncentive)*'Ground Base'!H143),2),ROUND((SINGLE('Ground Base'!H$154)+GroundResidentialFee)*(1+GroundFuelSurcharge),2),ROUND((((1-GroundResDiscount31Up-GroundResIncentive)*'Grou"&amp;"nd Base'!H143)+GroundResidentialFee)*(1+GroundFuelSurcharge),2)))*(1+FedEx_Markup),2)"),111.19)</f>
        <v>111.19</v>
      </c>
      <c r="I148" s="218">
        <f>ROUND((IF('Ground Base'!I$154&gt;ROUND(((1-GroundAKHIDiscount)*'Ground Base'!I143),2),ROUND(('Ground Base'!I$154+GroundResidentialFee)*(1+GroundFuelSurcharge),2),ROUND((((1-GroundAKHIDiscount)*'Ground Base'!I143)+GroundResidentialFee)*(1+GroundFuelSurcharge),2)))*(1+FedEx_Markup),2)</f>
        <v>668.29</v>
      </c>
      <c r="J148" s="218">
        <f>ROUND((IF('Ground Base'!J$154&gt;ROUND(((1-GroundAKHIDiscount)*'Ground Base'!J143),2),ROUND(('Ground Base'!J$154+GroundResidentialFee)*(1+GroundFuelSurcharge),2),ROUND((((1-GroundAKHIDiscount)*'Ground Base'!J143)+GroundResidentialFee)*(1+GroundFuelSurcharge),2)))*(1+FedEx_Markup),2)</f>
        <v>668.29</v>
      </c>
      <c r="K148" s="218">
        <f>ROUND((IF('Ground Base'!K$154&gt;ROUND(((1-GroundZone51Discount)*'Ground Base'!K143),2),ROUND(('Ground Base'!K$154+GroundResidentialFee)*(1+GroundFuelSurcharge),2),ROUND((((1-GroundZone51Discount)*'Ground Base'!K143)+GroundResidentialFee)*(1+GroundFuelSurcharge),2)))*(1+FedEx_Markup),2)</f>
        <v>139.81</v>
      </c>
      <c r="L148" s="218">
        <f>ROUND((IF('Ground Base'!L$154&gt;ROUND(((1-GroundZone54Discount)*'Ground Base'!L143),2),ROUND(('Ground Base'!L$154+GroundResidentialFee)*(1+GroundFuelSurcharge),2),ROUND((((1-GroundZone54Discount)*'Ground Base'!L143)+GroundResidentialFee)*(1+GroundFuelSurcharge),2)))*(1+FedEx_Markup),2)</f>
        <v>199.9</v>
      </c>
    </row>
    <row r="149" spans="1:12" ht="12.75" customHeight="1">
      <c r="A149" s="217">
        <v>142</v>
      </c>
      <c r="B149" s="218">
        <f ca="1">IFERROR(__xludf.DUMMYFUNCTION("ROUND((IF(SINGLE('Ground Base'!B$154)&gt;ROUND(((1-GroundResDiscount31Up-GroundResIncentive)*'Ground Base'!B144),2),ROUND((SINGLE('Ground Base'!B$154)+GroundResidentialFee)*(1+GroundFuelSurcharge),2),ROUND((((1-GroundResDiscount31Up-GroundResIncentive)*'Grou"&amp;"nd Base'!B144)+GroundResidentialFee)*(1+GroundFuelSurcharge),2)))*(1+FedEx_Markup),2)"),74.85)</f>
        <v>74.849999999999994</v>
      </c>
      <c r="C149" s="218">
        <f ca="1">IFERROR(__xludf.DUMMYFUNCTION("ROUND((IF(SINGLE('Ground Base'!C$154)&gt;ROUND(((1-GroundResDiscount31Up-GroundResIncentive)*'Ground Base'!C144),2),ROUND((SINGLE('Ground Base'!C$154)+GroundResidentialFee)*(1+GroundFuelSurcharge),2),ROUND((((1-GroundResDiscount31Up-GroundResIncentive)*'Grou"&amp;"nd Base'!C144)+GroundResidentialFee)*(1+GroundFuelSurcharge),2)))*(1+FedEx_Markup),2)"),74.87)</f>
        <v>74.87</v>
      </c>
      <c r="D149" s="218">
        <f ca="1">IFERROR(__xludf.DUMMYFUNCTION("ROUND((IF(SINGLE('Ground Base'!D$154)&gt;ROUND(((1-GroundResDiscount31Up-GroundResIncentive)*'Ground Base'!D144),2),ROUND((SINGLE('Ground Base'!D$154)+GroundResidentialFee)*(1+GroundFuelSurcharge),2),ROUND((((1-GroundResDiscount31Up-GroundResIncentive)*'Grou"&amp;"nd Base'!D144)+GroundResidentialFee)*(1+GroundFuelSurcharge),2)))*(1+FedEx_Markup),2)"),81.05)</f>
        <v>81.05</v>
      </c>
      <c r="E149" s="218">
        <f ca="1">IFERROR(__xludf.DUMMYFUNCTION("ROUND((IF(SINGLE('Ground Base'!E$154)&gt;ROUND(((1-GroundResDiscount31Up-GroundResIncentive)*'Ground Base'!E144),2),ROUND((SINGLE('Ground Base'!E$154)+GroundResidentialFee)*(1+GroundFuelSurcharge),2),ROUND((((1-GroundResDiscount31Up-GroundResIncentive)*'Grou"&amp;"nd Base'!E144)+GroundResidentialFee)*(1+GroundFuelSurcharge),2)))*(1+FedEx_Markup),2)"),82.39)</f>
        <v>82.39</v>
      </c>
      <c r="F149" s="218">
        <f ca="1">IFERROR(__xludf.DUMMYFUNCTION("ROUND((IF(SINGLE('Ground Base'!F$154)&gt;ROUND(((1-GroundResDiscount31Up-GroundResIncentive)*'Ground Base'!F144),2),ROUND((SINGLE('Ground Base'!F$154)+GroundResidentialFee)*(1+GroundFuelSurcharge),2),ROUND((((1-GroundResDiscount31Up-GroundResIncentive)*'Grou"&amp;"nd Base'!F144)+GroundResidentialFee)*(1+GroundFuelSurcharge),2)))*(1+FedEx_Markup),2)"),91.93)</f>
        <v>91.93</v>
      </c>
      <c r="G149" s="218">
        <f ca="1">IFERROR(__xludf.DUMMYFUNCTION("ROUND((IF(SINGLE('Ground Base'!G$154)&gt;ROUND(((1-GroundResDiscount31Up-GroundResIncentive)*'Ground Base'!G144),2),ROUND((SINGLE('Ground Base'!G$154)+GroundResidentialFee)*(1+GroundFuelSurcharge),2),ROUND((((1-GroundResDiscount31Up-GroundResIncentive)*'Grou"&amp;"nd Base'!G144)+GroundResidentialFee)*(1+GroundFuelSurcharge),2)))*(1+FedEx_Markup),2)"),99.69)</f>
        <v>99.69</v>
      </c>
      <c r="H149" s="218">
        <f ca="1">IFERROR(__xludf.DUMMYFUNCTION("ROUND((IF(SINGLE('Ground Base'!H$154)&gt;ROUND(((1-GroundResDiscount31Up-GroundResIncentive)*'Ground Base'!H144),2),ROUND((SINGLE('Ground Base'!H$154)+GroundResidentialFee)*(1+GroundFuelSurcharge),2),ROUND((((1-GroundResDiscount31Up-GroundResIncentive)*'Grou"&amp;"nd Base'!H144)+GroundResidentialFee)*(1+GroundFuelSurcharge),2)))*(1+FedEx_Markup),2)"),111.21)</f>
        <v>111.21</v>
      </c>
      <c r="I149" s="218">
        <f>ROUND((IF('Ground Base'!I$154&gt;ROUND(((1-GroundAKHIDiscount)*'Ground Base'!I144),2),ROUND(('Ground Base'!I$154+GroundResidentialFee)*(1+GroundFuelSurcharge),2),ROUND((((1-GroundAKHIDiscount)*'Ground Base'!I144)+GroundResidentialFee)*(1+GroundFuelSurcharge),2)))*(1+FedEx_Markup),2)</f>
        <v>674.79</v>
      </c>
      <c r="J149" s="218">
        <f>ROUND((IF('Ground Base'!J$154&gt;ROUND(((1-GroundAKHIDiscount)*'Ground Base'!J144),2),ROUND(('Ground Base'!J$154+GroundResidentialFee)*(1+GroundFuelSurcharge),2),ROUND((((1-GroundAKHIDiscount)*'Ground Base'!J144)+GroundResidentialFee)*(1+GroundFuelSurcharge),2)))*(1+FedEx_Markup),2)</f>
        <v>674.79</v>
      </c>
      <c r="K149" s="218">
        <f>ROUND((IF('Ground Base'!K$154&gt;ROUND(((1-GroundZone51Discount)*'Ground Base'!K144),2),ROUND(('Ground Base'!K$154+GroundResidentialFee)*(1+GroundFuelSurcharge),2),ROUND((((1-GroundZone51Discount)*'Ground Base'!K144)+GroundResidentialFee)*(1+GroundFuelSurcharge),2)))*(1+FedEx_Markup),2)</f>
        <v>139.81</v>
      </c>
      <c r="L149" s="218">
        <f>ROUND((IF('Ground Base'!L$154&gt;ROUND(((1-GroundZone54Discount)*'Ground Base'!L144),2),ROUND(('Ground Base'!L$154+GroundResidentialFee)*(1+GroundFuelSurcharge),2),ROUND((((1-GroundZone54Discount)*'Ground Base'!L144)+GroundResidentialFee)*(1+GroundFuelSurcharge),2)))*(1+FedEx_Markup),2)</f>
        <v>199.92</v>
      </c>
    </row>
    <row r="150" spans="1:12" ht="12.75" customHeight="1">
      <c r="A150" s="217">
        <v>143</v>
      </c>
      <c r="B150" s="218">
        <f ca="1">IFERROR(__xludf.DUMMYFUNCTION("ROUND((IF(SINGLE('Ground Base'!B$154)&gt;ROUND(((1-GroundResDiscount31Up-GroundResIncentive)*'Ground Base'!B145),2),ROUND((SINGLE('Ground Base'!B$154)+GroundResidentialFee)*(1+GroundFuelSurcharge),2),ROUND((((1-GroundResDiscount31Up-GroundResIncentive)*'Grou"&amp;"nd Base'!B145)+GroundResidentialFee)*(1+GroundFuelSurcharge),2)))*(1+FedEx_Markup),2)"),74.87)</f>
        <v>74.87</v>
      </c>
      <c r="C150" s="218">
        <f ca="1">IFERROR(__xludf.DUMMYFUNCTION("ROUND((IF(SINGLE('Ground Base'!C$154)&gt;ROUND(((1-GroundResDiscount31Up-GroundResIncentive)*'Ground Base'!C145),2),ROUND((SINGLE('Ground Base'!C$154)+GroundResidentialFee)*(1+GroundFuelSurcharge),2),ROUND((((1-GroundResDiscount31Up-GroundResIncentive)*'Grou"&amp;"nd Base'!C145)+GroundResidentialFee)*(1+GroundFuelSurcharge),2)))*(1+FedEx_Markup),2)"),74.87)</f>
        <v>74.87</v>
      </c>
      <c r="D150" s="218">
        <f ca="1">IFERROR(__xludf.DUMMYFUNCTION("ROUND((IF(SINGLE('Ground Base'!D$154)&gt;ROUND(((1-GroundResDiscount31Up-GroundResIncentive)*'Ground Base'!D145),2),ROUND((SINGLE('Ground Base'!D$154)+GroundResidentialFee)*(1+GroundFuelSurcharge),2),ROUND((((1-GroundResDiscount31Up-GroundResIncentive)*'Grou"&amp;"nd Base'!D145)+GroundResidentialFee)*(1+GroundFuelSurcharge),2)))*(1+FedEx_Markup),2)"),81.05)</f>
        <v>81.05</v>
      </c>
      <c r="E150" s="218">
        <f ca="1">IFERROR(__xludf.DUMMYFUNCTION("ROUND((IF(SINGLE('Ground Base'!E$154)&gt;ROUND(((1-GroundResDiscount31Up-GroundResIncentive)*'Ground Base'!E145),2),ROUND((SINGLE('Ground Base'!E$154)+GroundResidentialFee)*(1+GroundFuelSurcharge),2),ROUND((((1-GroundResDiscount31Up-GroundResIncentive)*'Grou"&amp;"nd Base'!E145)+GroundResidentialFee)*(1+GroundFuelSurcharge),2)))*(1+FedEx_Markup),2)"),82.39)</f>
        <v>82.39</v>
      </c>
      <c r="F150" s="218">
        <f ca="1">IFERROR(__xludf.DUMMYFUNCTION("ROUND((IF(SINGLE('Ground Base'!F$154)&gt;ROUND(((1-GroundResDiscount31Up-GroundResIncentive)*'Ground Base'!F145),2),ROUND((SINGLE('Ground Base'!F$154)+GroundResidentialFee)*(1+GroundFuelSurcharge),2),ROUND((((1-GroundResDiscount31Up-GroundResIncentive)*'Grou"&amp;"nd Base'!F145)+GroundResidentialFee)*(1+GroundFuelSurcharge),2)))*(1+FedEx_Markup),2)"),91.94)</f>
        <v>91.94</v>
      </c>
      <c r="G150" s="218">
        <f ca="1">IFERROR(__xludf.DUMMYFUNCTION("ROUND((IF(SINGLE('Ground Base'!G$154)&gt;ROUND(((1-GroundResDiscount31Up-GroundResIncentive)*'Ground Base'!G145),2),ROUND((SINGLE('Ground Base'!G$154)+GroundResidentialFee)*(1+GroundFuelSurcharge),2),ROUND((((1-GroundResDiscount31Up-GroundResIncentive)*'Grou"&amp;"nd Base'!G145)+GroundResidentialFee)*(1+GroundFuelSurcharge),2)))*(1+FedEx_Markup),2)"),99.71)</f>
        <v>99.71</v>
      </c>
      <c r="H150" s="218">
        <f ca="1">IFERROR(__xludf.DUMMYFUNCTION("ROUND((IF(SINGLE('Ground Base'!H$154)&gt;ROUND(((1-GroundResDiscount31Up-GroundResIncentive)*'Ground Base'!H145),2),ROUND((SINGLE('Ground Base'!H$154)+GroundResidentialFee)*(1+GroundFuelSurcharge),2),ROUND((((1-GroundResDiscount31Up-GroundResIncentive)*'Grou"&amp;"nd Base'!H145)+GroundResidentialFee)*(1+GroundFuelSurcharge),2)))*(1+FedEx_Markup),2)"),111.21)</f>
        <v>111.21</v>
      </c>
      <c r="I150" s="218">
        <f>ROUND((IF('Ground Base'!I$154&gt;ROUND(((1-GroundAKHIDiscount)*'Ground Base'!I145),2),ROUND(('Ground Base'!I$154+GroundResidentialFee)*(1+GroundFuelSurcharge),2),ROUND((((1-GroundAKHIDiscount)*'Ground Base'!I145)+GroundResidentialFee)*(1+GroundFuelSurcharge),2)))*(1+FedEx_Markup),2)</f>
        <v>685.7</v>
      </c>
      <c r="J150" s="218">
        <f>ROUND((IF('Ground Base'!J$154&gt;ROUND(((1-GroundAKHIDiscount)*'Ground Base'!J145),2),ROUND(('Ground Base'!J$154+GroundResidentialFee)*(1+GroundFuelSurcharge),2),ROUND((((1-GroundAKHIDiscount)*'Ground Base'!J145)+GroundResidentialFee)*(1+GroundFuelSurcharge),2)))*(1+FedEx_Markup),2)</f>
        <v>685.7</v>
      </c>
      <c r="K150" s="218">
        <f>ROUND((IF('Ground Base'!K$154&gt;ROUND(((1-GroundZone51Discount)*'Ground Base'!K145),2),ROUND(('Ground Base'!K$154+GroundResidentialFee)*(1+GroundFuelSurcharge),2),ROUND((((1-GroundZone51Discount)*'Ground Base'!K145)+GroundResidentialFee)*(1+GroundFuelSurcharge),2)))*(1+FedEx_Markup),2)</f>
        <v>139.82</v>
      </c>
      <c r="L150" s="218">
        <f>ROUND((IF('Ground Base'!L$154&gt;ROUND(((1-GroundZone54Discount)*'Ground Base'!L145),2),ROUND(('Ground Base'!L$154+GroundResidentialFee)*(1+GroundFuelSurcharge),2),ROUND((((1-GroundZone54Discount)*'Ground Base'!L145)+GroundResidentialFee)*(1+GroundFuelSurcharge),2)))*(1+FedEx_Markup),2)</f>
        <v>199.93</v>
      </c>
    </row>
    <row r="151" spans="1:12" ht="12.75" customHeight="1">
      <c r="A151" s="217">
        <v>144</v>
      </c>
      <c r="B151" s="218">
        <f ca="1">IFERROR(__xludf.DUMMYFUNCTION("ROUND((IF(SINGLE('Ground Base'!B$154)&gt;ROUND(((1-GroundResDiscount31Up-GroundResIncentive)*'Ground Base'!B146),2),ROUND((SINGLE('Ground Base'!B$154)+GroundResidentialFee)*(1+GroundFuelSurcharge),2),ROUND((((1-GroundResDiscount31Up-GroundResIncentive)*'Grou"&amp;"nd Base'!B146)+GroundResidentialFee)*(1+GroundFuelSurcharge),2)))*(1+FedEx_Markup),2)"),76.88)</f>
        <v>76.88</v>
      </c>
      <c r="C151" s="218">
        <f ca="1">IFERROR(__xludf.DUMMYFUNCTION("ROUND((IF(SINGLE('Ground Base'!C$154)&gt;ROUND(((1-GroundResDiscount31Up-GroundResIncentive)*'Ground Base'!C146),2),ROUND((SINGLE('Ground Base'!C$154)+GroundResidentialFee)*(1+GroundFuelSurcharge),2),ROUND((((1-GroundResDiscount31Up-GroundResIncentive)*'Grou"&amp;"nd Base'!C146)+GroundResidentialFee)*(1+GroundFuelSurcharge),2)))*(1+FedEx_Markup),2)"),77.88)</f>
        <v>77.88</v>
      </c>
      <c r="D151" s="218">
        <f ca="1">IFERROR(__xludf.DUMMYFUNCTION("ROUND((IF(SINGLE('Ground Base'!D$154)&gt;ROUND(((1-GroundResDiscount31Up-GroundResIncentive)*'Ground Base'!D146),2),ROUND((SINGLE('Ground Base'!D$154)+GroundResidentialFee)*(1+GroundFuelSurcharge),2),ROUND((((1-GroundResDiscount31Up-GroundResIncentive)*'Grou"&amp;"nd Base'!D146)+GroundResidentialFee)*(1+GroundFuelSurcharge),2)))*(1+FedEx_Markup),2)"),83.33)</f>
        <v>83.33</v>
      </c>
      <c r="E151" s="218">
        <f ca="1">IFERROR(__xludf.DUMMYFUNCTION("ROUND((IF(SINGLE('Ground Base'!E$154)&gt;ROUND(((1-GroundResDiscount31Up-GroundResIncentive)*'Ground Base'!E146),2),ROUND((SINGLE('Ground Base'!E$154)+GroundResidentialFee)*(1+GroundFuelSurcharge),2),ROUND((((1-GroundResDiscount31Up-GroundResIncentive)*'Grou"&amp;"nd Base'!E146)+GroundResidentialFee)*(1+GroundFuelSurcharge),2)))*(1+FedEx_Markup),2)"),84.87)</f>
        <v>84.87</v>
      </c>
      <c r="F151" s="218">
        <f ca="1">IFERROR(__xludf.DUMMYFUNCTION("ROUND((IF(SINGLE('Ground Base'!F$154)&gt;ROUND(((1-GroundResDiscount31Up-GroundResIncentive)*'Ground Base'!F146),2),ROUND((SINGLE('Ground Base'!F$154)+GroundResidentialFee)*(1+GroundFuelSurcharge),2),ROUND((((1-GroundResDiscount31Up-GroundResIncentive)*'Grou"&amp;"nd Base'!F146)+GroundResidentialFee)*(1+GroundFuelSurcharge),2)))*(1+FedEx_Markup),2)"),94.3)</f>
        <v>94.3</v>
      </c>
      <c r="G151" s="218">
        <f ca="1">IFERROR(__xludf.DUMMYFUNCTION("ROUND((IF(SINGLE('Ground Base'!G$154)&gt;ROUND(((1-GroundResDiscount31Up-GroundResIncentive)*'Ground Base'!G146),2),ROUND((SINGLE('Ground Base'!G$154)+GroundResidentialFee)*(1+GroundFuelSurcharge),2),ROUND((((1-GroundResDiscount31Up-GroundResIncentive)*'Grou"&amp;"nd Base'!G146)+GroundResidentialFee)*(1+GroundFuelSurcharge),2)))*(1+FedEx_Markup),2)"),103.13)</f>
        <v>103.13</v>
      </c>
      <c r="H151" s="218">
        <f ca="1">IFERROR(__xludf.DUMMYFUNCTION("ROUND((IF(SINGLE('Ground Base'!H$154)&gt;ROUND(((1-GroundResDiscount31Up-GroundResIncentive)*'Ground Base'!H146),2),ROUND((SINGLE('Ground Base'!H$154)+GroundResidentialFee)*(1+GroundFuelSurcharge),2),ROUND((((1-GroundResDiscount31Up-GroundResIncentive)*'Grou"&amp;"nd Base'!H146)+GroundResidentialFee)*(1+GroundFuelSurcharge),2)))*(1+FedEx_Markup),2)"),114.98)</f>
        <v>114.98</v>
      </c>
      <c r="I151" s="218">
        <f>ROUND((IF('Ground Base'!I$154&gt;ROUND(((1-GroundAKHIDiscount)*'Ground Base'!I146),2),ROUND(('Ground Base'!I$154+GroundResidentialFee)*(1+GroundFuelSurcharge),2),ROUND((((1-GroundAKHIDiscount)*'Ground Base'!I146)+GroundResidentialFee)*(1+GroundFuelSurcharge),2)))*(1+FedEx_Markup),2)</f>
        <v>690.38</v>
      </c>
      <c r="J151" s="218">
        <f>ROUND((IF('Ground Base'!J$154&gt;ROUND(((1-GroundAKHIDiscount)*'Ground Base'!J146),2),ROUND(('Ground Base'!J$154+GroundResidentialFee)*(1+GroundFuelSurcharge),2),ROUND((((1-GroundAKHIDiscount)*'Ground Base'!J146)+GroundResidentialFee)*(1+GroundFuelSurcharge),2)))*(1+FedEx_Markup),2)</f>
        <v>690.38</v>
      </c>
      <c r="K151" s="218">
        <f>ROUND((IF('Ground Base'!K$154&gt;ROUND(((1-GroundZone51Discount)*'Ground Base'!K146),2),ROUND(('Ground Base'!K$154+GroundResidentialFee)*(1+GroundFuelSurcharge),2),ROUND((((1-GroundZone51Discount)*'Ground Base'!K146)+GroundResidentialFee)*(1+GroundFuelSurcharge),2)))*(1+FedEx_Markup),2)</f>
        <v>139.84</v>
      </c>
      <c r="L151" s="218">
        <f>ROUND((IF('Ground Base'!L$154&gt;ROUND(((1-GroundZone54Discount)*'Ground Base'!L146),2),ROUND(('Ground Base'!L$154+GroundResidentialFee)*(1+GroundFuelSurcharge),2),ROUND((((1-GroundZone54Discount)*'Ground Base'!L146)+GroundResidentialFee)*(1+GroundFuelSurcharge),2)))*(1+FedEx_Markup),2)</f>
        <v>199.93</v>
      </c>
    </row>
    <row r="152" spans="1:12" ht="12.75" customHeight="1">
      <c r="A152" s="217">
        <v>145</v>
      </c>
      <c r="B152" s="218">
        <f ca="1">IFERROR(__xludf.DUMMYFUNCTION("ROUND((IF(SINGLE('Ground Base'!B$154)&gt;ROUND(((1-GroundResDiscount31Up-GroundResIncentive)*'Ground Base'!B147),2),ROUND((SINGLE('Ground Base'!B$154)+GroundResidentialFee)*(1+GroundFuelSurcharge),2),ROUND((((1-GroundResDiscount31Up-GroundResIncentive)*'Grou"&amp;"nd Base'!B147)+GroundResidentialFee)*(1+GroundFuelSurcharge),2)))*(1+FedEx_Markup),2)"),76.89)</f>
        <v>76.89</v>
      </c>
      <c r="C152" s="218">
        <f ca="1">IFERROR(__xludf.DUMMYFUNCTION("ROUND((IF(SINGLE('Ground Base'!C$154)&gt;ROUND(((1-GroundResDiscount31Up-GroundResIncentive)*'Ground Base'!C147),2),ROUND((SINGLE('Ground Base'!C$154)+GroundResidentialFee)*(1+GroundFuelSurcharge),2),ROUND((((1-GroundResDiscount31Up-GroundResIncentive)*'Grou"&amp;"nd Base'!C147)+GroundResidentialFee)*(1+GroundFuelSurcharge),2)))*(1+FedEx_Markup),2)"),78.63)</f>
        <v>78.63</v>
      </c>
      <c r="D152" s="218">
        <f ca="1">IFERROR(__xludf.DUMMYFUNCTION("ROUND((IF(SINGLE('Ground Base'!D$154)&gt;ROUND(((1-GroundResDiscount31Up-GroundResIncentive)*'Ground Base'!D147),2),ROUND((SINGLE('Ground Base'!D$154)+GroundResidentialFee)*(1+GroundFuelSurcharge),2),ROUND((((1-GroundResDiscount31Up-GroundResIncentive)*'Grou"&amp;"nd Base'!D147)+GroundResidentialFee)*(1+GroundFuelSurcharge),2)))*(1+FedEx_Markup),2)"),83.34)</f>
        <v>83.34</v>
      </c>
      <c r="E152" s="218">
        <f ca="1">IFERROR(__xludf.DUMMYFUNCTION("ROUND((IF(SINGLE('Ground Base'!E$154)&gt;ROUND(((1-GroundResDiscount31Up-GroundResIncentive)*'Ground Base'!E147),2),ROUND((SINGLE('Ground Base'!E$154)+GroundResidentialFee)*(1+GroundFuelSurcharge),2),ROUND((((1-GroundResDiscount31Up-GroundResIncentive)*'Grou"&amp;"nd Base'!E147)+GroundResidentialFee)*(1+GroundFuelSurcharge),2)))*(1+FedEx_Markup),2)"),84.87)</f>
        <v>84.87</v>
      </c>
      <c r="F152" s="218">
        <f ca="1">IFERROR(__xludf.DUMMYFUNCTION("ROUND((IF(SINGLE('Ground Base'!F$154)&gt;ROUND(((1-GroundResDiscount31Up-GroundResIncentive)*'Ground Base'!F147),2),ROUND((SINGLE('Ground Base'!F$154)+GroundResidentialFee)*(1+GroundFuelSurcharge),2),ROUND((((1-GroundResDiscount31Up-GroundResIncentive)*'Grou"&amp;"nd Base'!F147)+GroundResidentialFee)*(1+GroundFuelSurcharge),2)))*(1+FedEx_Markup),2)"),95.66)</f>
        <v>95.66</v>
      </c>
      <c r="G152" s="218">
        <f ca="1">IFERROR(__xludf.DUMMYFUNCTION("ROUND((IF(SINGLE('Ground Base'!G$154)&gt;ROUND(((1-GroundResDiscount31Up-GroundResIncentive)*'Ground Base'!G147),2),ROUND((SINGLE('Ground Base'!G$154)+GroundResidentialFee)*(1+GroundFuelSurcharge),2),ROUND((((1-GroundResDiscount31Up-GroundResIncentive)*'Grou"&amp;"nd Base'!G147)+GroundResidentialFee)*(1+GroundFuelSurcharge),2)))*(1+FedEx_Markup),2)"),103.35)</f>
        <v>103.35</v>
      </c>
      <c r="H152" s="218">
        <f ca="1">IFERROR(__xludf.DUMMYFUNCTION("ROUND((IF(SINGLE('Ground Base'!H$154)&gt;ROUND(((1-GroundResDiscount31Up-GroundResIncentive)*'Ground Base'!H147),2),ROUND((SINGLE('Ground Base'!H$154)+GroundResidentialFee)*(1+GroundFuelSurcharge),2),ROUND((((1-GroundResDiscount31Up-GroundResIncentive)*'Grou"&amp;"nd Base'!H147)+GroundResidentialFee)*(1+GroundFuelSurcharge),2)))*(1+FedEx_Markup),2)"),114.99)</f>
        <v>114.99</v>
      </c>
      <c r="I152" s="218">
        <f>ROUND((IF('Ground Base'!I$154&gt;ROUND(((1-GroundAKHIDiscount)*'Ground Base'!I147),2),ROUND(('Ground Base'!I$154+GroundResidentialFee)*(1+GroundFuelSurcharge),2),ROUND((((1-GroundAKHIDiscount)*'Ground Base'!I147)+GroundResidentialFee)*(1+GroundFuelSurcharge),2)))*(1+FedEx_Markup),2)</f>
        <v>690.39</v>
      </c>
      <c r="J152" s="218">
        <f>ROUND((IF('Ground Base'!J$154&gt;ROUND(((1-GroundAKHIDiscount)*'Ground Base'!J147),2),ROUND(('Ground Base'!J$154+GroundResidentialFee)*(1+GroundFuelSurcharge),2),ROUND((((1-GroundAKHIDiscount)*'Ground Base'!J147)+GroundResidentialFee)*(1+GroundFuelSurcharge),2)))*(1+FedEx_Markup),2)</f>
        <v>690.39</v>
      </c>
      <c r="K152" s="218">
        <f>ROUND((IF('Ground Base'!K$154&gt;ROUND(((1-GroundZone51Discount)*'Ground Base'!K147),2),ROUND(('Ground Base'!K$154+GroundResidentialFee)*(1+GroundFuelSurcharge),2),ROUND((((1-GroundZone51Discount)*'Ground Base'!K147)+GroundResidentialFee)*(1+GroundFuelSurcharge),2)))*(1+FedEx_Markup),2)</f>
        <v>139.86000000000001</v>
      </c>
      <c r="L152" s="218">
        <f>ROUND((IF('Ground Base'!L$154&gt;ROUND(((1-GroundZone54Discount)*'Ground Base'!L147),2),ROUND(('Ground Base'!L$154+GroundResidentialFee)*(1+GroundFuelSurcharge),2),ROUND((((1-GroundZone54Discount)*'Ground Base'!L147)+GroundResidentialFee)*(1+GroundFuelSurcharge),2)))*(1+FedEx_Markup),2)</f>
        <v>201.85</v>
      </c>
    </row>
    <row r="153" spans="1:12" ht="12.75" customHeight="1">
      <c r="A153" s="217">
        <v>146</v>
      </c>
      <c r="B153" s="218">
        <f ca="1">IFERROR(__xludf.DUMMYFUNCTION("ROUND((IF(SINGLE('Ground Base'!B$154)&gt;ROUND(((1-GroundResDiscount31Up-GroundResIncentive)*'Ground Base'!B148),2),ROUND((SINGLE('Ground Base'!B$154)+GroundResidentialFee)*(1+GroundFuelSurcharge),2),ROUND((((1-GroundResDiscount31Up-GroundResIncentive)*'Grou"&amp;"nd Base'!B148)+GroundResidentialFee)*(1+GroundFuelSurcharge),2)))*(1+FedEx_Markup),2)"),76.9)</f>
        <v>76.900000000000006</v>
      </c>
      <c r="C153" s="218">
        <f ca="1">IFERROR(__xludf.DUMMYFUNCTION("ROUND((IF(SINGLE('Ground Base'!C$154)&gt;ROUND(((1-GroundResDiscount31Up-GroundResIncentive)*'Ground Base'!C148),2),ROUND((SINGLE('Ground Base'!C$154)+GroundResidentialFee)*(1+GroundFuelSurcharge),2),ROUND((((1-GroundResDiscount31Up-GroundResIncentive)*'Grou"&amp;"nd Base'!C148)+GroundResidentialFee)*(1+GroundFuelSurcharge),2)))*(1+FedEx_Markup),2)"),78.63)</f>
        <v>78.63</v>
      </c>
      <c r="D153" s="218">
        <f ca="1">IFERROR(__xludf.DUMMYFUNCTION("ROUND((IF(SINGLE('Ground Base'!D$154)&gt;ROUND(((1-GroundResDiscount31Up-GroundResIncentive)*'Ground Base'!D148),2),ROUND((SINGLE('Ground Base'!D$154)+GroundResidentialFee)*(1+GroundFuelSurcharge),2),ROUND((((1-GroundResDiscount31Up-GroundResIncentive)*'Grou"&amp;"nd Base'!D148)+GroundResidentialFee)*(1+GroundFuelSurcharge),2)))*(1+FedEx_Markup),2)"),83.34)</f>
        <v>83.34</v>
      </c>
      <c r="E153" s="218">
        <f ca="1">IFERROR(__xludf.DUMMYFUNCTION("ROUND((IF(SINGLE('Ground Base'!E$154)&gt;ROUND(((1-GroundResDiscount31Up-GroundResIncentive)*'Ground Base'!E148),2),ROUND((SINGLE('Ground Base'!E$154)+GroundResidentialFee)*(1+GroundFuelSurcharge),2),ROUND((((1-GroundResDiscount31Up-GroundResIncentive)*'Grou"&amp;"nd Base'!E148)+GroundResidentialFee)*(1+GroundFuelSurcharge),2)))*(1+FedEx_Markup),2)"),84.88)</f>
        <v>84.88</v>
      </c>
      <c r="F153" s="218">
        <f ca="1">IFERROR(__xludf.DUMMYFUNCTION("ROUND((IF(SINGLE('Ground Base'!F$154)&gt;ROUND(((1-GroundResDiscount31Up-GroundResIncentive)*'Ground Base'!F148),2),ROUND((SINGLE('Ground Base'!F$154)+GroundResidentialFee)*(1+GroundFuelSurcharge),2),ROUND((((1-GroundResDiscount31Up-GroundResIncentive)*'Grou"&amp;"nd Base'!F148)+GroundResidentialFee)*(1+GroundFuelSurcharge),2)))*(1+FedEx_Markup),2)"),95.67)</f>
        <v>95.67</v>
      </c>
      <c r="G153" s="218">
        <f ca="1">IFERROR(__xludf.DUMMYFUNCTION("ROUND((IF(SINGLE('Ground Base'!G$154)&gt;ROUND(((1-GroundResDiscount31Up-GroundResIncentive)*'Ground Base'!G148),2),ROUND((SINGLE('Ground Base'!G$154)+GroundResidentialFee)*(1+GroundFuelSurcharge),2),ROUND((((1-GroundResDiscount31Up-GroundResIncentive)*'Grou"&amp;"nd Base'!G148)+GroundResidentialFee)*(1+GroundFuelSurcharge),2)))*(1+FedEx_Markup),2)"),103.35)</f>
        <v>103.35</v>
      </c>
      <c r="H153" s="218">
        <f ca="1">IFERROR(__xludf.DUMMYFUNCTION("ROUND((IF(SINGLE('Ground Base'!H$154)&gt;ROUND(((1-GroundResDiscount31Up-GroundResIncentive)*'Ground Base'!H148),2),ROUND((SINGLE('Ground Base'!H$154)+GroundResidentialFee)*(1+GroundFuelSurcharge),2),ROUND((((1-GroundResDiscount31Up-GroundResIncentive)*'Grou"&amp;"nd Base'!H148)+GroundResidentialFee)*(1+GroundFuelSurcharge),2)))*(1+FedEx_Markup),2)"),114.99)</f>
        <v>114.99</v>
      </c>
      <c r="I153" s="218">
        <f>ROUND((IF('Ground Base'!I$154&gt;ROUND(((1-GroundAKHIDiscount)*'Ground Base'!I148),2),ROUND(('Ground Base'!I$154+GroundResidentialFee)*(1+GroundFuelSurcharge),2),ROUND((((1-GroundAKHIDiscount)*'Ground Base'!I148)+GroundResidentialFee)*(1+GroundFuelSurcharge),2)))*(1+FedEx_Markup),2)</f>
        <v>693.58</v>
      </c>
      <c r="J153" s="218">
        <f>ROUND((IF('Ground Base'!J$154&gt;ROUND(((1-GroundAKHIDiscount)*'Ground Base'!J148),2),ROUND(('Ground Base'!J$154+GroundResidentialFee)*(1+GroundFuelSurcharge),2),ROUND((((1-GroundAKHIDiscount)*'Ground Base'!J148)+GroundResidentialFee)*(1+GroundFuelSurcharge),2)))*(1+FedEx_Markup),2)</f>
        <v>693.58</v>
      </c>
      <c r="K153" s="218">
        <f>ROUND((IF('Ground Base'!K$154&gt;ROUND(((1-GroundZone51Discount)*'Ground Base'!K148),2),ROUND(('Ground Base'!K$154+GroundResidentialFee)*(1+GroundFuelSurcharge),2),ROUND((((1-GroundZone51Discount)*'Ground Base'!K148)+GroundResidentialFee)*(1+GroundFuelSurcharge),2)))*(1+FedEx_Markup),2)</f>
        <v>142.65</v>
      </c>
      <c r="L153" s="218">
        <f>ROUND((IF('Ground Base'!L$154&gt;ROUND(((1-GroundZone54Discount)*'Ground Base'!L148),2),ROUND(('Ground Base'!L$154+GroundResidentialFee)*(1+GroundFuelSurcharge),2),ROUND((((1-GroundZone54Discount)*'Ground Base'!L148)+GroundResidentialFee)*(1+GroundFuelSurcharge),2)))*(1+FedEx_Markup),2)</f>
        <v>205.88</v>
      </c>
    </row>
    <row r="154" spans="1:12" ht="12.75" customHeight="1">
      <c r="A154" s="217">
        <v>147</v>
      </c>
      <c r="B154" s="218">
        <f ca="1">IFERROR(__xludf.DUMMYFUNCTION("ROUND((IF(SINGLE('Ground Base'!B$154)&gt;ROUND(((1-GroundResDiscount31Up-GroundResIncentive)*'Ground Base'!B149),2),ROUND((SINGLE('Ground Base'!B$154)+GroundResidentialFee)*(1+GroundFuelSurcharge),2),ROUND((((1-GroundResDiscount31Up-GroundResIncentive)*'Grou"&amp;"nd Base'!B149)+GroundResidentialFee)*(1+GroundFuelSurcharge),2)))*(1+FedEx_Markup),2)"),77.79)</f>
        <v>77.790000000000006</v>
      </c>
      <c r="C154" s="218">
        <f ca="1">IFERROR(__xludf.DUMMYFUNCTION("ROUND((IF(SINGLE('Ground Base'!C$154)&gt;ROUND(((1-GroundResDiscount31Up-GroundResIncentive)*'Ground Base'!C149),2),ROUND((SINGLE('Ground Base'!C$154)+GroundResidentialFee)*(1+GroundFuelSurcharge),2),ROUND((((1-GroundResDiscount31Up-GroundResIncentive)*'Grou"&amp;"nd Base'!C149)+GroundResidentialFee)*(1+GroundFuelSurcharge),2)))*(1+FedEx_Markup),2)"),79.37)</f>
        <v>79.37</v>
      </c>
      <c r="D154" s="218">
        <f ca="1">IFERROR(__xludf.DUMMYFUNCTION("ROUND((IF(SINGLE('Ground Base'!D$154)&gt;ROUND(((1-GroundResDiscount31Up-GroundResIncentive)*'Ground Base'!D149),2),ROUND((SINGLE('Ground Base'!D$154)+GroundResidentialFee)*(1+GroundFuelSurcharge),2),ROUND((((1-GroundResDiscount31Up-GroundResIncentive)*'Grou"&amp;"nd Base'!D149)+GroundResidentialFee)*(1+GroundFuelSurcharge),2)))*(1+FedEx_Markup),2)"),84.76)</f>
        <v>84.76</v>
      </c>
      <c r="E154" s="218">
        <f ca="1">IFERROR(__xludf.DUMMYFUNCTION("ROUND((IF(SINGLE('Ground Base'!E$154)&gt;ROUND(((1-GroundResDiscount31Up-GroundResIncentive)*'Ground Base'!E149),2),ROUND((SINGLE('Ground Base'!E$154)+GroundResidentialFee)*(1+GroundFuelSurcharge),2),ROUND((((1-GroundResDiscount31Up-GroundResIncentive)*'Grou"&amp;"nd Base'!E149)+GroundResidentialFee)*(1+GroundFuelSurcharge),2)))*(1+FedEx_Markup),2)"),85.7)</f>
        <v>85.7</v>
      </c>
      <c r="F154" s="218">
        <f ca="1">IFERROR(__xludf.DUMMYFUNCTION("ROUND((IF(SINGLE('Ground Base'!F$154)&gt;ROUND(((1-GroundResDiscount31Up-GroundResIncentive)*'Ground Base'!F149),2),ROUND((SINGLE('Ground Base'!F$154)+GroundResidentialFee)*(1+GroundFuelSurcharge),2),ROUND((((1-GroundResDiscount31Up-GroundResIncentive)*'Grou"&amp;"nd Base'!F149)+GroundResidentialFee)*(1+GroundFuelSurcharge),2)))*(1+FedEx_Markup),2)"),96.32)</f>
        <v>96.32</v>
      </c>
      <c r="G154" s="218">
        <f ca="1">IFERROR(__xludf.DUMMYFUNCTION("ROUND((IF(SINGLE('Ground Base'!G$154)&gt;ROUND(((1-GroundResDiscount31Up-GroundResIncentive)*'Ground Base'!G149),2),ROUND((SINGLE('Ground Base'!G$154)+GroundResidentialFee)*(1+GroundFuelSurcharge),2),ROUND((((1-GroundResDiscount31Up-GroundResIncentive)*'Grou"&amp;"nd Base'!G149)+GroundResidentialFee)*(1+GroundFuelSurcharge),2)))*(1+FedEx_Markup),2)"),103.36)</f>
        <v>103.36</v>
      </c>
      <c r="H154" s="218">
        <f ca="1">IFERROR(__xludf.DUMMYFUNCTION("ROUND((IF(SINGLE('Ground Base'!H$154)&gt;ROUND(((1-GroundResDiscount31Up-GroundResIncentive)*'Ground Base'!H149),2),ROUND((SINGLE('Ground Base'!H$154)+GroundResidentialFee)*(1+GroundFuelSurcharge),2),ROUND((((1-GroundResDiscount31Up-GroundResIncentive)*'Grou"&amp;"nd Base'!H149)+GroundResidentialFee)*(1+GroundFuelSurcharge),2)))*(1+FedEx_Markup),2)"),116.02)</f>
        <v>116.02</v>
      </c>
      <c r="I154" s="218">
        <f>ROUND((IF('Ground Base'!I$154&gt;ROUND(((1-GroundAKHIDiscount)*'Ground Base'!I149),2),ROUND(('Ground Base'!I$154+GroundResidentialFee)*(1+GroundFuelSurcharge),2),ROUND((((1-GroundAKHIDiscount)*'Ground Base'!I149)+GroundResidentialFee)*(1+GroundFuelSurcharge),2)))*(1+FedEx_Markup),2)</f>
        <v>710.03</v>
      </c>
      <c r="J154" s="218">
        <f>ROUND((IF('Ground Base'!J$154&gt;ROUND(((1-GroundAKHIDiscount)*'Ground Base'!J149),2),ROUND(('Ground Base'!J$154+GroundResidentialFee)*(1+GroundFuelSurcharge),2),ROUND((((1-GroundAKHIDiscount)*'Ground Base'!J149)+GroundResidentialFee)*(1+GroundFuelSurcharge),2)))*(1+FedEx_Markup),2)</f>
        <v>710.03</v>
      </c>
      <c r="K154" s="218">
        <f>ROUND((IF('Ground Base'!K$154&gt;ROUND(((1-GroundZone51Discount)*'Ground Base'!K149),2),ROUND(('Ground Base'!K$154+GroundResidentialFee)*(1+GroundFuelSurcharge),2),ROUND((((1-GroundZone51Discount)*'Ground Base'!K149)+GroundResidentialFee)*(1+GroundFuelSurcharge),2)))*(1+FedEx_Markup),2)</f>
        <v>142.65</v>
      </c>
      <c r="L154" s="218">
        <f>ROUND((IF('Ground Base'!L$154&gt;ROUND(((1-GroundZone54Discount)*'Ground Base'!L149),2),ROUND(('Ground Base'!L$154+GroundResidentialFee)*(1+GroundFuelSurcharge),2),ROUND((((1-GroundZone54Discount)*'Ground Base'!L149)+GroundResidentialFee)*(1+GroundFuelSurcharge),2)))*(1+FedEx_Markup),2)</f>
        <v>205.92</v>
      </c>
    </row>
    <row r="155" spans="1:12" ht="12.75" customHeight="1">
      <c r="A155" s="217">
        <v>148</v>
      </c>
      <c r="B155" s="218">
        <f ca="1">IFERROR(__xludf.DUMMYFUNCTION("ROUND((IF(SINGLE('Ground Base'!B$154)&gt;ROUND(((1-GroundResDiscount31Up-GroundResIncentive)*'Ground Base'!B150),2),ROUND((SINGLE('Ground Base'!B$154)+GroundResidentialFee)*(1+GroundFuelSurcharge),2),ROUND((((1-GroundResDiscount31Up-GroundResIncentive)*'Grou"&amp;"nd Base'!B150)+GroundResidentialFee)*(1+GroundFuelSurcharge),2)))*(1+FedEx_Markup),2)"),77.8)</f>
        <v>77.8</v>
      </c>
      <c r="C155" s="218">
        <f ca="1">IFERROR(__xludf.DUMMYFUNCTION("ROUND((IF(SINGLE('Ground Base'!C$154)&gt;ROUND(((1-GroundResDiscount31Up-GroundResIncentive)*'Ground Base'!C150),2),ROUND((SINGLE('Ground Base'!C$154)+GroundResidentialFee)*(1+GroundFuelSurcharge),2),ROUND((((1-GroundResDiscount31Up-GroundResIncentive)*'Grou"&amp;"nd Base'!C150)+GroundResidentialFee)*(1+GroundFuelSurcharge),2)))*(1+FedEx_Markup),2)"),79.82)</f>
        <v>79.819999999999993</v>
      </c>
      <c r="D155" s="218">
        <f ca="1">IFERROR(__xludf.DUMMYFUNCTION("ROUND((IF(SINGLE('Ground Base'!D$154)&gt;ROUND(((1-GroundResDiscount31Up-GroundResIncentive)*'Ground Base'!D150),2),ROUND((SINGLE('Ground Base'!D$154)+GroundResidentialFee)*(1+GroundFuelSurcharge),2),ROUND((((1-GroundResDiscount31Up-GroundResIncentive)*'Grou"&amp;"nd Base'!D150)+GroundResidentialFee)*(1+GroundFuelSurcharge),2)))*(1+FedEx_Markup),2)"),84.85)</f>
        <v>84.85</v>
      </c>
      <c r="E155" s="218">
        <f ca="1">IFERROR(__xludf.DUMMYFUNCTION("ROUND((IF(SINGLE('Ground Base'!E$154)&gt;ROUND(((1-GroundResDiscount31Up-GroundResIncentive)*'Ground Base'!E150),2),ROUND((SINGLE('Ground Base'!E$154)+GroundResidentialFee)*(1+GroundFuelSurcharge),2),ROUND((((1-GroundResDiscount31Up-GroundResIncentive)*'Grou"&amp;"nd Base'!E150)+GroundResidentialFee)*(1+GroundFuelSurcharge),2)))*(1+FedEx_Markup),2)"),85.71)</f>
        <v>85.71</v>
      </c>
      <c r="F155" s="218">
        <f ca="1">IFERROR(__xludf.DUMMYFUNCTION("ROUND((IF(SINGLE('Ground Base'!F$154)&gt;ROUND(((1-GroundResDiscount31Up-GroundResIncentive)*'Ground Base'!F150),2),ROUND((SINGLE('Ground Base'!F$154)+GroundResidentialFee)*(1+GroundFuelSurcharge),2),ROUND((((1-GroundResDiscount31Up-GroundResIncentive)*'Grou"&amp;"nd Base'!F150)+GroundResidentialFee)*(1+GroundFuelSurcharge),2)))*(1+FedEx_Markup),2)"),96.34)</f>
        <v>96.34</v>
      </c>
      <c r="G155" s="218">
        <f ca="1">IFERROR(__xludf.DUMMYFUNCTION("ROUND((IF(SINGLE('Ground Base'!G$154)&gt;ROUND(((1-GroundResDiscount31Up-GroundResIncentive)*'Ground Base'!G150),2),ROUND((SINGLE('Ground Base'!G$154)+GroundResidentialFee)*(1+GroundFuelSurcharge),2),ROUND((((1-GroundResDiscount31Up-GroundResIncentive)*'Grou"&amp;"nd Base'!G150)+GroundResidentialFee)*(1+GroundFuelSurcharge),2)))*(1+FedEx_Markup),2)"),103.36)</f>
        <v>103.36</v>
      </c>
      <c r="H155" s="218">
        <f ca="1">IFERROR(__xludf.DUMMYFUNCTION("ROUND((IF(SINGLE('Ground Base'!H$154)&gt;ROUND(((1-GroundResDiscount31Up-GroundResIncentive)*'Ground Base'!H150),2),ROUND((SINGLE('Ground Base'!H$154)+GroundResidentialFee)*(1+GroundFuelSurcharge),2),ROUND((((1-GroundResDiscount31Up-GroundResIncentive)*'Grou"&amp;"nd Base'!H150)+GroundResidentialFee)*(1+GroundFuelSurcharge),2)))*(1+FedEx_Markup),2)"),116.02)</f>
        <v>116.02</v>
      </c>
      <c r="I155" s="218">
        <f>ROUND((IF('Ground Base'!I$154&gt;ROUND(((1-GroundAKHIDiscount)*'Ground Base'!I150),2),ROUND(('Ground Base'!I$154+GroundResidentialFee)*(1+GroundFuelSurcharge),2),ROUND((((1-GroundAKHIDiscount)*'Ground Base'!I150)+GroundResidentialFee)*(1+GroundFuelSurcharge),2)))*(1+FedEx_Markup),2)</f>
        <v>710.04</v>
      </c>
      <c r="J155" s="218">
        <f>ROUND((IF('Ground Base'!J$154&gt;ROUND(((1-GroundAKHIDiscount)*'Ground Base'!J150),2),ROUND(('Ground Base'!J$154+GroundResidentialFee)*(1+GroundFuelSurcharge),2),ROUND((((1-GroundAKHIDiscount)*'Ground Base'!J150)+GroundResidentialFee)*(1+GroundFuelSurcharge),2)))*(1+FedEx_Markup),2)</f>
        <v>710.04</v>
      </c>
      <c r="K155" s="218">
        <f>ROUND((IF('Ground Base'!K$154&gt;ROUND(((1-GroundZone51Discount)*'Ground Base'!K150),2),ROUND(('Ground Base'!K$154+GroundResidentialFee)*(1+GroundFuelSurcharge),2),ROUND((((1-GroundZone51Discount)*'Ground Base'!K150)+GroundResidentialFee)*(1+GroundFuelSurcharge),2)))*(1+FedEx_Markup),2)</f>
        <v>142.66</v>
      </c>
      <c r="L155" s="218">
        <f>ROUND((IF('Ground Base'!L$154&gt;ROUND(((1-GroundZone54Discount)*'Ground Base'!L150),2),ROUND(('Ground Base'!L$154+GroundResidentialFee)*(1+GroundFuelSurcharge),2),ROUND((((1-GroundZone54Discount)*'Ground Base'!L150)+GroundResidentialFee)*(1+GroundFuelSurcharge),2)))*(1+FedEx_Markup),2)</f>
        <v>205.92</v>
      </c>
    </row>
    <row r="156" spans="1:12" ht="12.75" customHeight="1">
      <c r="A156" s="217">
        <v>149</v>
      </c>
      <c r="B156" s="218">
        <f ca="1">IFERROR(__xludf.DUMMYFUNCTION("ROUND((IF(SINGLE('Ground Base'!B$154)&gt;ROUND(((1-GroundResDiscount31Up-GroundResIncentive)*'Ground Base'!B151),2),ROUND((SINGLE('Ground Base'!B$154)+GroundResidentialFee)*(1+GroundFuelSurcharge),2),ROUND((((1-GroundResDiscount31Up-GroundResIncentive)*'Grou"&amp;"nd Base'!B151)+GroundResidentialFee)*(1+GroundFuelSurcharge),2)))*(1+FedEx_Markup),2)"),77.8)</f>
        <v>77.8</v>
      </c>
      <c r="C156" s="218">
        <f ca="1">IFERROR(__xludf.DUMMYFUNCTION("ROUND((IF(SINGLE('Ground Base'!C$154)&gt;ROUND(((1-GroundResDiscount31Up-GroundResIncentive)*'Ground Base'!C151),2),ROUND((SINGLE('Ground Base'!C$154)+GroundResidentialFee)*(1+GroundFuelSurcharge),2),ROUND((((1-GroundResDiscount31Up-GroundResIncentive)*'Grou"&amp;"nd Base'!C151)+GroundResidentialFee)*(1+GroundFuelSurcharge),2)))*(1+FedEx_Markup),2)"),79.82)</f>
        <v>79.819999999999993</v>
      </c>
      <c r="D156" s="218">
        <f ca="1">IFERROR(__xludf.DUMMYFUNCTION("ROUND((IF(SINGLE('Ground Base'!D$154)&gt;ROUND(((1-GroundResDiscount31Up-GroundResIncentive)*'Ground Base'!D151),2),ROUND((SINGLE('Ground Base'!D$154)+GroundResidentialFee)*(1+GroundFuelSurcharge),2),ROUND((((1-GroundResDiscount31Up-GroundResIncentive)*'Grou"&amp;"nd Base'!D151)+GroundResidentialFee)*(1+GroundFuelSurcharge),2)))*(1+FedEx_Markup),2)"),85.96)</f>
        <v>85.96</v>
      </c>
      <c r="E156" s="218">
        <f ca="1">IFERROR(__xludf.DUMMYFUNCTION("ROUND((IF(SINGLE('Ground Base'!E$154)&gt;ROUND(((1-GroundResDiscount31Up-GroundResIncentive)*'Ground Base'!E151),2),ROUND((SINGLE('Ground Base'!E$154)+GroundResidentialFee)*(1+GroundFuelSurcharge),2),ROUND((((1-GroundResDiscount31Up-GroundResIncentive)*'Grou"&amp;"nd Base'!E151)+GroundResidentialFee)*(1+GroundFuelSurcharge),2)))*(1+FedEx_Markup),2)"),87)</f>
        <v>87</v>
      </c>
      <c r="F156" s="218">
        <f ca="1">IFERROR(__xludf.DUMMYFUNCTION("ROUND((IF(SINGLE('Ground Base'!F$154)&gt;ROUND(((1-GroundResDiscount31Up-GroundResIncentive)*'Ground Base'!F151),2),ROUND((SINGLE('Ground Base'!F$154)+GroundResidentialFee)*(1+GroundFuelSurcharge),2),ROUND((((1-GroundResDiscount31Up-GroundResIncentive)*'Grou"&amp;"nd Base'!F151)+GroundResidentialFee)*(1+GroundFuelSurcharge),2)))*(1+FedEx_Markup),2)"),96.65)</f>
        <v>96.65</v>
      </c>
      <c r="G156" s="218">
        <f ca="1">IFERROR(__xludf.DUMMYFUNCTION("ROUND((IF(SINGLE('Ground Base'!G$154)&gt;ROUND(((1-GroundResDiscount31Up-GroundResIncentive)*'Ground Base'!G151),2),ROUND((SINGLE('Ground Base'!G$154)+GroundResidentialFee)*(1+GroundFuelSurcharge),2),ROUND((((1-GroundResDiscount31Up-GroundResIncentive)*'Grou"&amp;"nd Base'!G151)+GroundResidentialFee)*(1+GroundFuelSurcharge),2)))*(1+FedEx_Markup),2)"),104.32)</f>
        <v>104.32</v>
      </c>
      <c r="H156" s="218">
        <f ca="1">IFERROR(__xludf.DUMMYFUNCTION("ROUND((IF(SINGLE('Ground Base'!H$154)&gt;ROUND(((1-GroundResDiscount31Up-GroundResIncentive)*'Ground Base'!H151),2),ROUND((SINGLE('Ground Base'!H$154)+GroundResidentialFee)*(1+GroundFuelSurcharge),2),ROUND((((1-GroundResDiscount31Up-GroundResIncentive)*'Grou"&amp;"nd Base'!H151)+GroundResidentialFee)*(1+GroundFuelSurcharge),2)))*(1+FedEx_Markup),2)"),117.09)</f>
        <v>117.09</v>
      </c>
      <c r="I156" s="218">
        <f>ROUND((IF('Ground Base'!I$154&gt;ROUND(((1-GroundAKHIDiscount)*'Ground Base'!I151),2),ROUND(('Ground Base'!I$154+GroundResidentialFee)*(1+GroundFuelSurcharge),2),ROUND((((1-GroundAKHIDiscount)*'Ground Base'!I151)+GroundResidentialFee)*(1+GroundFuelSurcharge),2)))*(1+FedEx_Markup),2)</f>
        <v>711.54</v>
      </c>
      <c r="J156" s="218">
        <f>ROUND((IF('Ground Base'!J$154&gt;ROUND(((1-GroundAKHIDiscount)*'Ground Base'!J151),2),ROUND(('Ground Base'!J$154+GroundResidentialFee)*(1+GroundFuelSurcharge),2),ROUND((((1-GroundAKHIDiscount)*'Ground Base'!J151)+GroundResidentialFee)*(1+GroundFuelSurcharge),2)))*(1+FedEx_Markup),2)</f>
        <v>711.54</v>
      </c>
      <c r="K156" s="218">
        <f>ROUND((IF('Ground Base'!K$154&gt;ROUND(((1-GroundZone51Discount)*'Ground Base'!K151),2),ROUND(('Ground Base'!K$154+GroundResidentialFee)*(1+GroundFuelSurcharge),2),ROUND((((1-GroundZone51Discount)*'Ground Base'!K151)+GroundResidentialFee)*(1+GroundFuelSurcharge),2)))*(1+FedEx_Markup),2)</f>
        <v>142.66999999999999</v>
      </c>
      <c r="L156" s="218">
        <f>ROUND((IF('Ground Base'!L$154&gt;ROUND(((1-GroundZone54Discount)*'Ground Base'!L151),2),ROUND(('Ground Base'!L$154+GroundResidentialFee)*(1+GroundFuelSurcharge),2),ROUND((((1-GroundZone54Discount)*'Ground Base'!L151)+GroundResidentialFee)*(1+GroundFuelSurcharge),2)))*(1+FedEx_Markup),2)</f>
        <v>205.93</v>
      </c>
    </row>
    <row r="157" spans="1:12" ht="12.75" customHeight="1">
      <c r="A157" s="217">
        <v>150</v>
      </c>
      <c r="B157" s="218">
        <f ca="1">IFERROR(__xludf.DUMMYFUNCTION("ROUND((IF(SINGLE('Ground Base'!B$154)&gt;ROUND(((1-GroundResDiscount31Up-GroundResIncentive)*'Ground Base'!B152),2),ROUND((SINGLE('Ground Base'!B$154)+GroundResidentialFee)*(1+GroundFuelSurcharge),2),ROUND((((1-GroundResDiscount31Up-GroundResIncentive)*'Grou"&amp;"nd Base'!B152)+GroundResidentialFee)*(1+GroundFuelSurcharge),2)))*(1+FedEx_Markup),2)"),77.81)</f>
        <v>77.81</v>
      </c>
      <c r="C157" s="218">
        <f ca="1">IFERROR(__xludf.DUMMYFUNCTION("ROUND((IF(SINGLE('Ground Base'!C$154)&gt;ROUND(((1-GroundResDiscount31Up-GroundResIncentive)*'Ground Base'!C152),2),ROUND((SINGLE('Ground Base'!C$154)+GroundResidentialFee)*(1+GroundFuelSurcharge),2),ROUND((((1-GroundResDiscount31Up-GroundResIncentive)*'Grou"&amp;"nd Base'!C152)+GroundResidentialFee)*(1+GroundFuelSurcharge),2)))*(1+FedEx_Markup),2)"),79.83)</f>
        <v>79.83</v>
      </c>
      <c r="D157" s="218">
        <f ca="1">IFERROR(__xludf.DUMMYFUNCTION("ROUND((IF(SINGLE('Ground Base'!D$154)&gt;ROUND(((1-GroundResDiscount31Up-GroundResIncentive)*'Ground Base'!D152),2),ROUND((SINGLE('Ground Base'!D$154)+GroundResidentialFee)*(1+GroundFuelSurcharge),2),ROUND((((1-GroundResDiscount31Up-GroundResIncentive)*'Grou"&amp;"nd Base'!D152)+GroundResidentialFee)*(1+GroundFuelSurcharge),2)))*(1+FedEx_Markup),2)"),85.97)</f>
        <v>85.97</v>
      </c>
      <c r="E157" s="218">
        <f ca="1">IFERROR(__xludf.DUMMYFUNCTION("ROUND((IF(SINGLE('Ground Base'!E$154)&gt;ROUND(((1-GroundResDiscount31Up-GroundResIncentive)*'Ground Base'!E152),2),ROUND((SINGLE('Ground Base'!E$154)+GroundResidentialFee)*(1+GroundFuelSurcharge),2),ROUND((((1-GroundResDiscount31Up-GroundResIncentive)*'Grou"&amp;"nd Base'!E152)+GroundResidentialFee)*(1+GroundFuelSurcharge),2)))*(1+FedEx_Markup),2)"),88.19)</f>
        <v>88.19</v>
      </c>
      <c r="F157" s="218">
        <f ca="1">IFERROR(__xludf.DUMMYFUNCTION("ROUND((IF(SINGLE('Ground Base'!F$154)&gt;ROUND(((1-GroundResDiscount31Up-GroundResIncentive)*'Ground Base'!F152),2),ROUND((SINGLE('Ground Base'!F$154)+GroundResidentialFee)*(1+GroundFuelSurcharge),2),ROUND((((1-GroundResDiscount31Up-GroundResIncentive)*'Grou"&amp;"nd Base'!F152)+GroundResidentialFee)*(1+GroundFuelSurcharge),2)))*(1+FedEx_Markup),2)"),96.65)</f>
        <v>96.65</v>
      </c>
      <c r="G157" s="218">
        <f ca="1">IFERROR(__xludf.DUMMYFUNCTION("ROUND((IF(SINGLE('Ground Base'!G$154)&gt;ROUND(((1-GroundResDiscount31Up-GroundResIncentive)*'Ground Base'!G152),2),ROUND((SINGLE('Ground Base'!G$154)+GroundResidentialFee)*(1+GroundFuelSurcharge),2),ROUND((((1-GroundResDiscount31Up-GroundResIncentive)*'Grou"&amp;"nd Base'!G152)+GroundResidentialFee)*(1+GroundFuelSurcharge),2)))*(1+FedEx_Markup),2)"),104.33)</f>
        <v>104.33</v>
      </c>
      <c r="H157" s="218">
        <f ca="1">IFERROR(__xludf.DUMMYFUNCTION("ROUND((IF(SINGLE('Ground Base'!H$154)&gt;ROUND(((1-GroundResDiscount31Up-GroundResIncentive)*'Ground Base'!H152),2),ROUND((SINGLE('Ground Base'!H$154)+GroundResidentialFee)*(1+GroundFuelSurcharge),2),ROUND((((1-GroundResDiscount31Up-GroundResIncentive)*'Grou"&amp;"nd Base'!H152)+GroundResidentialFee)*(1+GroundFuelSurcharge),2)))*(1+FedEx_Markup),2)"),117.1)</f>
        <v>117.1</v>
      </c>
      <c r="I157" s="218">
        <f>ROUND((IF('Ground Base'!I$154&gt;ROUND(((1-GroundAKHIDiscount)*'Ground Base'!I152),2),ROUND(('Ground Base'!I$154+GroundResidentialFee)*(1+GroundFuelSurcharge),2),ROUND((((1-GroundAKHIDiscount)*'Ground Base'!I152)+GroundResidentialFee)*(1+GroundFuelSurcharge),2)))*(1+FedEx_Markup),2)</f>
        <v>716.4</v>
      </c>
      <c r="J157" s="218">
        <f>ROUND((IF('Ground Base'!J$154&gt;ROUND(((1-GroundAKHIDiscount)*'Ground Base'!J152),2),ROUND(('Ground Base'!J$154+GroundResidentialFee)*(1+GroundFuelSurcharge),2),ROUND((((1-GroundAKHIDiscount)*'Ground Base'!J152)+GroundResidentialFee)*(1+GroundFuelSurcharge),2)))*(1+FedEx_Markup),2)</f>
        <v>716.4</v>
      </c>
      <c r="K157" s="218">
        <f>ROUND((IF('Ground Base'!K$154&gt;ROUND(((1-GroundZone51Discount)*'Ground Base'!K152),2),ROUND(('Ground Base'!K$154+GroundResidentialFee)*(1+GroundFuelSurcharge),2),ROUND((((1-GroundZone51Discount)*'Ground Base'!K152)+GroundResidentialFee)*(1+GroundFuelSurcharge),2)))*(1+FedEx_Markup),2)</f>
        <v>142.66999999999999</v>
      </c>
      <c r="L157" s="218">
        <f>ROUND((IF('Ground Base'!L$154&gt;ROUND(((1-GroundZone54Discount)*'Ground Base'!L152),2),ROUND(('Ground Base'!L$154+GroundResidentialFee)*(1+GroundFuelSurcharge),2),ROUND((((1-GroundZone54Discount)*'Ground Base'!L152)+GroundResidentialFee)*(1+GroundFuelSurcharge),2)))*(1+FedEx_Markup),2)</f>
        <v>205.94</v>
      </c>
    </row>
    <row r="158" spans="1:12" ht="12.75" customHeight="1"/>
    <row r="159" spans="1:12" ht="12.75" customHeight="1"/>
    <row r="160" spans="1:12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8:L157">
    <cfRule type="expression" dxfId="12" priority="1">
      <formula>MOD(ROW(),2)=0</formula>
    </cfRule>
  </conditionalFormatting>
  <pageMargins left="0.75" right="0.75" top="0.51" bottom="0.56999999999999995" header="0" footer="0"/>
  <pageSetup scale="92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/>
  </sheetViews>
  <sheetFormatPr defaultColWidth="12.5703125" defaultRowHeight="15" customHeight="1"/>
  <cols>
    <col min="1" max="1" width="13.28515625" customWidth="1"/>
    <col min="2" max="2" width="10.140625" customWidth="1"/>
    <col min="3" max="5" width="8.5703125" customWidth="1"/>
    <col min="6" max="6" width="14.5703125" customWidth="1"/>
    <col min="7" max="9" width="8.5703125" customWidth="1"/>
    <col min="10" max="10" width="14.28515625" customWidth="1"/>
    <col min="11" max="16" width="8.5703125" customWidth="1"/>
    <col min="17" max="17" width="9" customWidth="1"/>
    <col min="18" max="26" width="8.5703125" customWidth="1"/>
  </cols>
  <sheetData>
    <row r="1" spans="1:26" ht="12.75" customHeight="1">
      <c r="A1" s="237"/>
      <c r="B1" s="238" t="s">
        <v>0</v>
      </c>
      <c r="C1" s="238" t="s">
        <v>0</v>
      </c>
      <c r="D1" s="239" t="s">
        <v>0</v>
      </c>
      <c r="E1" s="240" t="s">
        <v>0</v>
      </c>
      <c r="F1" s="238" t="s">
        <v>0</v>
      </c>
      <c r="G1" s="238" t="s">
        <v>0</v>
      </c>
      <c r="H1" s="239" t="s">
        <v>0</v>
      </c>
      <c r="I1" s="240"/>
      <c r="J1" s="238"/>
      <c r="K1" s="238"/>
      <c r="L1" s="241"/>
      <c r="M1" s="240"/>
      <c r="P1" s="242" t="s">
        <v>102</v>
      </c>
      <c r="Q1" s="101" t="s">
        <v>5</v>
      </c>
      <c r="R1" s="243">
        <v>1</v>
      </c>
      <c r="S1" s="243">
        <v>2</v>
      </c>
      <c r="T1" s="244" t="s">
        <v>103</v>
      </c>
      <c r="U1" s="244" t="s">
        <v>104</v>
      </c>
      <c r="V1" s="244" t="s">
        <v>105</v>
      </c>
      <c r="W1" s="244" t="s">
        <v>106</v>
      </c>
      <c r="X1" s="244" t="s">
        <v>107</v>
      </c>
      <c r="Y1" s="244" t="s">
        <v>108</v>
      </c>
      <c r="Z1" s="60">
        <v>9</v>
      </c>
    </row>
    <row r="2" spans="1:26" ht="12.75" customHeight="1">
      <c r="A2" s="245" t="s">
        <v>5</v>
      </c>
      <c r="B2" s="246">
        <v>2</v>
      </c>
      <c r="C2" s="246">
        <v>3</v>
      </c>
      <c r="D2" s="247">
        <v>4</v>
      </c>
      <c r="E2" s="248">
        <v>5</v>
      </c>
      <c r="F2" s="246">
        <v>6</v>
      </c>
      <c r="G2" s="246">
        <v>7</v>
      </c>
      <c r="H2" s="247">
        <v>8</v>
      </c>
      <c r="I2" s="248"/>
      <c r="J2" s="246"/>
      <c r="K2" s="246"/>
      <c r="L2" s="247"/>
      <c r="M2" s="248"/>
      <c r="Q2" s="249">
        <v>6.25E-2</v>
      </c>
      <c r="R2" s="250">
        <v>3.41</v>
      </c>
      <c r="S2" s="250">
        <v>3.41</v>
      </c>
      <c r="T2" s="250">
        <v>3.43</v>
      </c>
      <c r="U2" s="250">
        <v>3.45</v>
      </c>
      <c r="V2" s="250">
        <v>3.52</v>
      </c>
      <c r="W2" s="250">
        <v>3.62</v>
      </c>
      <c r="X2" s="250">
        <v>3.72</v>
      </c>
      <c r="Y2" s="250">
        <v>3.78</v>
      </c>
      <c r="Z2" s="250">
        <v>4.01</v>
      </c>
    </row>
    <row r="3" spans="1:26" ht="12.75" customHeight="1">
      <c r="A3" s="251" t="s">
        <v>109</v>
      </c>
      <c r="B3" s="252">
        <v>11.99</v>
      </c>
      <c r="C3" s="252">
        <v>12.21</v>
      </c>
      <c r="D3" s="252">
        <v>13.26</v>
      </c>
      <c r="E3" s="252">
        <v>14</v>
      </c>
      <c r="F3" s="252">
        <v>14.47</v>
      </c>
      <c r="G3" s="252">
        <v>14.75</v>
      </c>
      <c r="H3" s="252">
        <v>15.01</v>
      </c>
      <c r="I3" s="252"/>
      <c r="J3" s="252"/>
      <c r="K3" s="252"/>
      <c r="L3" s="252"/>
      <c r="M3" s="253"/>
      <c r="Q3" s="249">
        <v>0.125</v>
      </c>
      <c r="R3" s="250">
        <v>3.41</v>
      </c>
      <c r="S3" s="250">
        <v>3.41</v>
      </c>
      <c r="T3" s="250">
        <v>3.43</v>
      </c>
      <c r="U3" s="250">
        <v>3.45</v>
      </c>
      <c r="V3" s="250">
        <v>3.52</v>
      </c>
      <c r="W3" s="250">
        <v>3.62</v>
      </c>
      <c r="X3" s="250">
        <v>3.72</v>
      </c>
      <c r="Y3" s="250">
        <v>3.81</v>
      </c>
      <c r="Z3" s="250">
        <v>4.01</v>
      </c>
    </row>
    <row r="4" spans="1:26" ht="12.75" customHeight="1">
      <c r="A4" s="254">
        <v>2</v>
      </c>
      <c r="B4" s="255">
        <v>12.78</v>
      </c>
      <c r="C4" s="255">
        <v>14.09</v>
      </c>
      <c r="D4" s="255">
        <v>15.33</v>
      </c>
      <c r="E4" s="255">
        <v>15.66</v>
      </c>
      <c r="F4" s="255">
        <v>16.34</v>
      </c>
      <c r="G4" s="255">
        <v>17.079999999999998</v>
      </c>
      <c r="H4" s="255">
        <v>17.37</v>
      </c>
      <c r="I4" s="255"/>
      <c r="J4" s="255"/>
      <c r="K4" s="255"/>
      <c r="L4" s="255"/>
      <c r="M4" s="256"/>
      <c r="Q4" s="249">
        <v>0.1875</v>
      </c>
      <c r="R4" s="250">
        <v>3.41</v>
      </c>
      <c r="S4" s="250">
        <v>3.41</v>
      </c>
      <c r="T4" s="250">
        <v>3.43</v>
      </c>
      <c r="U4" s="250">
        <v>3.45</v>
      </c>
      <c r="V4" s="250">
        <v>3.52</v>
      </c>
      <c r="W4" s="250">
        <v>3.62</v>
      </c>
      <c r="X4" s="250">
        <v>3.72</v>
      </c>
      <c r="Y4" s="250">
        <v>3.85</v>
      </c>
      <c r="Z4" s="250">
        <v>4.01</v>
      </c>
    </row>
    <row r="5" spans="1:26" ht="12.75" customHeight="1">
      <c r="A5" s="257">
        <v>3</v>
      </c>
      <c r="B5" s="258">
        <v>13.3</v>
      </c>
      <c r="C5" s="258">
        <v>14.84</v>
      </c>
      <c r="D5" s="258">
        <v>15.99</v>
      </c>
      <c r="E5" s="258">
        <v>16.809999999999999</v>
      </c>
      <c r="F5" s="258">
        <v>17.489999999999998</v>
      </c>
      <c r="G5" s="258">
        <v>18.21</v>
      </c>
      <c r="H5" s="258">
        <v>19.11</v>
      </c>
      <c r="I5" s="258"/>
      <c r="J5" s="258"/>
      <c r="K5" s="258"/>
      <c r="L5" s="258"/>
      <c r="M5" s="259"/>
      <c r="Q5" s="249">
        <v>0.25</v>
      </c>
      <c r="R5" s="250">
        <v>3.41</v>
      </c>
      <c r="S5" s="250">
        <v>3.41</v>
      </c>
      <c r="T5" s="250">
        <v>3.43</v>
      </c>
      <c r="U5" s="250">
        <v>3.45</v>
      </c>
      <c r="V5" s="250">
        <v>3.52</v>
      </c>
      <c r="W5" s="250">
        <v>3.62</v>
      </c>
      <c r="X5" s="250">
        <v>3.72</v>
      </c>
      <c r="Y5" s="250">
        <v>3.88</v>
      </c>
      <c r="Z5" s="250">
        <v>4.01</v>
      </c>
    </row>
    <row r="6" spans="1:26" ht="12.75" customHeight="1">
      <c r="A6" s="257">
        <v>4</v>
      </c>
      <c r="B6" s="258">
        <v>13.69</v>
      </c>
      <c r="C6" s="258">
        <v>14.93</v>
      </c>
      <c r="D6" s="258">
        <v>16.649999999999999</v>
      </c>
      <c r="E6" s="258">
        <v>17.73</v>
      </c>
      <c r="F6" s="258">
        <v>18.22</v>
      </c>
      <c r="G6" s="258">
        <v>19.559999999999999</v>
      </c>
      <c r="H6" s="258">
        <v>20.48</v>
      </c>
      <c r="I6" s="258"/>
      <c r="J6" s="258"/>
      <c r="K6" s="258"/>
      <c r="L6" s="258"/>
      <c r="M6" s="259"/>
      <c r="Q6" s="249">
        <v>0.3125</v>
      </c>
      <c r="R6" s="250">
        <v>3.64</v>
      </c>
      <c r="S6" s="250">
        <v>3.64</v>
      </c>
      <c r="T6" s="250">
        <v>3.72</v>
      </c>
      <c r="U6" s="250">
        <v>3.77</v>
      </c>
      <c r="V6" s="250">
        <v>3.82</v>
      </c>
      <c r="W6" s="250">
        <v>3.84</v>
      </c>
      <c r="X6" s="250">
        <v>3.96</v>
      </c>
      <c r="Y6" s="250">
        <v>4.08</v>
      </c>
      <c r="Z6" s="250">
        <v>4.3099999999999996</v>
      </c>
    </row>
    <row r="7" spans="1:26" ht="12.75" customHeight="1">
      <c r="A7" s="260">
        <v>5</v>
      </c>
      <c r="B7" s="261">
        <v>14.06</v>
      </c>
      <c r="C7" s="261">
        <v>15.62</v>
      </c>
      <c r="D7" s="261">
        <v>17.059999999999999</v>
      </c>
      <c r="E7" s="261">
        <v>18.53</v>
      </c>
      <c r="F7" s="261">
        <v>19.260000000000002</v>
      </c>
      <c r="G7" s="261">
        <v>20.47</v>
      </c>
      <c r="H7" s="261">
        <v>21.69</v>
      </c>
      <c r="I7" s="261"/>
      <c r="J7" s="261"/>
      <c r="K7" s="261"/>
      <c r="L7" s="261"/>
      <c r="M7" s="262"/>
      <c r="Q7" s="249">
        <v>0.375</v>
      </c>
      <c r="R7" s="250">
        <v>3.64</v>
      </c>
      <c r="S7" s="250">
        <v>3.64</v>
      </c>
      <c r="T7" s="250">
        <v>3.72</v>
      </c>
      <c r="U7" s="250">
        <v>3.77</v>
      </c>
      <c r="V7" s="250">
        <v>3.82</v>
      </c>
      <c r="W7" s="250">
        <v>3.84</v>
      </c>
      <c r="X7" s="250">
        <v>3.96</v>
      </c>
      <c r="Y7" s="250">
        <v>4.12</v>
      </c>
      <c r="Z7" s="250">
        <v>4.3099999999999996</v>
      </c>
    </row>
    <row r="8" spans="1:26" ht="12.75" customHeight="1">
      <c r="A8" s="263">
        <v>6</v>
      </c>
      <c r="B8" s="264">
        <v>14.17</v>
      </c>
      <c r="C8" s="264">
        <v>15.67</v>
      </c>
      <c r="D8" s="264">
        <v>17.23</v>
      </c>
      <c r="E8" s="264">
        <v>18.600000000000001</v>
      </c>
      <c r="F8" s="264">
        <v>19.29</v>
      </c>
      <c r="G8" s="264">
        <v>20.48</v>
      </c>
      <c r="H8" s="264">
        <v>21.7</v>
      </c>
      <c r="I8" s="264"/>
      <c r="J8" s="264"/>
      <c r="K8" s="264"/>
      <c r="L8" s="264"/>
      <c r="M8" s="265"/>
      <c r="Q8" s="249">
        <v>0.4375</v>
      </c>
      <c r="R8" s="250">
        <v>3.64</v>
      </c>
      <c r="S8" s="250">
        <v>3.64</v>
      </c>
      <c r="T8" s="250">
        <v>3.72</v>
      </c>
      <c r="U8" s="250">
        <v>3.77</v>
      </c>
      <c r="V8" s="250">
        <v>3.82</v>
      </c>
      <c r="W8" s="250">
        <v>3.84</v>
      </c>
      <c r="X8" s="250">
        <v>3.96</v>
      </c>
      <c r="Y8" s="250">
        <v>4.13</v>
      </c>
      <c r="Z8" s="250">
        <v>4.3099999999999996</v>
      </c>
    </row>
    <row r="9" spans="1:26" ht="12.75" customHeight="1">
      <c r="A9" s="266">
        <v>7</v>
      </c>
      <c r="B9" s="267">
        <v>14.97</v>
      </c>
      <c r="C9" s="267">
        <v>16.03</v>
      </c>
      <c r="D9" s="267">
        <v>17.68</v>
      </c>
      <c r="E9" s="267">
        <v>19.190000000000001</v>
      </c>
      <c r="F9" s="267">
        <v>19.63</v>
      </c>
      <c r="G9" s="267">
        <v>21.03</v>
      </c>
      <c r="H9" s="267">
        <v>22.51</v>
      </c>
      <c r="I9" s="267"/>
      <c r="J9" s="267"/>
      <c r="K9" s="267"/>
      <c r="L9" s="267"/>
      <c r="M9" s="268"/>
      <c r="Q9" s="249">
        <v>0.5</v>
      </c>
      <c r="R9" s="250">
        <v>3.64</v>
      </c>
      <c r="S9" s="250">
        <v>3.64</v>
      </c>
      <c r="T9" s="250">
        <v>3.72</v>
      </c>
      <c r="U9" s="250">
        <v>3.77</v>
      </c>
      <c r="V9" s="250">
        <v>3.82</v>
      </c>
      <c r="W9" s="250">
        <v>3.84</v>
      </c>
      <c r="X9" s="250">
        <v>3.96</v>
      </c>
      <c r="Y9" s="250">
        <v>4.13</v>
      </c>
      <c r="Z9" s="250">
        <v>4.3099999999999996</v>
      </c>
    </row>
    <row r="10" spans="1:26" ht="12.75" customHeight="1">
      <c r="A10" s="266">
        <v>8</v>
      </c>
      <c r="B10" s="267">
        <v>15.4</v>
      </c>
      <c r="C10" s="267">
        <v>16.61</v>
      </c>
      <c r="D10" s="267">
        <v>18.29</v>
      </c>
      <c r="E10" s="267">
        <v>19.739999999999998</v>
      </c>
      <c r="F10" s="267">
        <v>20.420000000000002</v>
      </c>
      <c r="G10" s="267">
        <v>21.88</v>
      </c>
      <c r="H10" s="267">
        <v>23.5</v>
      </c>
      <c r="I10" s="267"/>
      <c r="J10" s="267"/>
      <c r="K10" s="267"/>
      <c r="L10" s="267"/>
      <c r="M10" s="268"/>
      <c r="Q10" s="249">
        <v>0.5625</v>
      </c>
      <c r="R10" s="250">
        <v>4.0999999999999996</v>
      </c>
      <c r="S10" s="250">
        <v>4.0999999999999996</v>
      </c>
      <c r="T10" s="250">
        <v>4.1900000000000004</v>
      </c>
      <c r="U10" s="250">
        <v>4.2300000000000004</v>
      </c>
      <c r="V10" s="250">
        <v>4.28</v>
      </c>
      <c r="W10" s="250">
        <v>4.33</v>
      </c>
      <c r="X10" s="250">
        <v>4.41</v>
      </c>
      <c r="Y10" s="250">
        <v>4.5</v>
      </c>
      <c r="Z10" s="250">
        <v>5.17</v>
      </c>
    </row>
    <row r="11" spans="1:26" ht="12.75" customHeight="1">
      <c r="A11" s="266">
        <v>9</v>
      </c>
      <c r="B11" s="267">
        <v>15.64</v>
      </c>
      <c r="C11" s="267">
        <v>16.84</v>
      </c>
      <c r="D11" s="267">
        <v>18.38</v>
      </c>
      <c r="E11" s="267">
        <v>19.91</v>
      </c>
      <c r="F11" s="267">
        <v>20.86</v>
      </c>
      <c r="G11" s="267">
        <v>22.79</v>
      </c>
      <c r="H11" s="267">
        <v>24.75</v>
      </c>
      <c r="I11" s="267"/>
      <c r="J11" s="267"/>
      <c r="K11" s="267"/>
      <c r="L11" s="267"/>
      <c r="M11" s="268"/>
      <c r="Q11" s="249">
        <v>0.625</v>
      </c>
      <c r="R11" s="250">
        <v>4.1100000000000003</v>
      </c>
      <c r="S11" s="250">
        <v>4.1100000000000003</v>
      </c>
      <c r="T11" s="250">
        <v>4.21</v>
      </c>
      <c r="U11" s="250">
        <v>4.26</v>
      </c>
      <c r="V11" s="250">
        <v>4.3099999999999996</v>
      </c>
      <c r="W11" s="250">
        <v>4.3600000000000003</v>
      </c>
      <c r="X11" s="250">
        <v>4.45</v>
      </c>
      <c r="Y11" s="250">
        <v>4.54</v>
      </c>
      <c r="Z11" s="250">
        <v>5.17</v>
      </c>
    </row>
    <row r="12" spans="1:26" ht="12.75" customHeight="1">
      <c r="Q12" s="249">
        <v>0.6875</v>
      </c>
      <c r="R12" s="250">
        <v>4.1100000000000003</v>
      </c>
      <c r="S12" s="250">
        <v>4.1100000000000003</v>
      </c>
      <c r="T12" s="250">
        <v>4.22</v>
      </c>
      <c r="U12" s="250">
        <v>4.28</v>
      </c>
      <c r="V12" s="250">
        <v>4.33</v>
      </c>
      <c r="W12" s="250">
        <v>4.3899999999999997</v>
      </c>
      <c r="X12" s="250">
        <v>4.4800000000000004</v>
      </c>
      <c r="Y12" s="250">
        <v>4.58</v>
      </c>
      <c r="Z12" s="250">
        <v>5.17</v>
      </c>
    </row>
    <row r="13" spans="1:26" ht="12.75" customHeight="1">
      <c r="Q13" s="249">
        <v>0.75</v>
      </c>
      <c r="R13" s="250">
        <v>4.1100000000000003</v>
      </c>
      <c r="S13" s="250">
        <v>4.1100000000000003</v>
      </c>
      <c r="T13" s="250">
        <v>4.24</v>
      </c>
      <c r="U13" s="250">
        <v>4.3</v>
      </c>
      <c r="V13" s="250">
        <v>4.3600000000000003</v>
      </c>
      <c r="W13" s="250">
        <v>4.41</v>
      </c>
      <c r="X13" s="250">
        <v>4.5199999999999996</v>
      </c>
      <c r="Y13" s="250">
        <v>4.62</v>
      </c>
      <c r="Z13" s="250">
        <v>5.17</v>
      </c>
    </row>
    <row r="14" spans="1:26" ht="12.75" customHeight="1">
      <c r="A14" s="324" t="s">
        <v>110</v>
      </c>
      <c r="B14" s="323"/>
      <c r="C14" s="323"/>
      <c r="D14" s="60" t="s">
        <v>5</v>
      </c>
      <c r="Q14" s="249">
        <v>0.8125</v>
      </c>
      <c r="R14" s="250">
        <v>4.62</v>
      </c>
      <c r="S14" s="250">
        <v>4.62</v>
      </c>
      <c r="T14" s="250">
        <v>4.74</v>
      </c>
      <c r="U14" s="250">
        <v>4.8</v>
      </c>
      <c r="V14" s="250">
        <v>4.8600000000000003</v>
      </c>
      <c r="W14" s="250">
        <v>4.92</v>
      </c>
      <c r="X14" s="250">
        <v>5.03</v>
      </c>
      <c r="Y14" s="250">
        <v>5.13</v>
      </c>
      <c r="Z14" s="250">
        <v>6.41</v>
      </c>
    </row>
    <row r="15" spans="1:26" ht="12.75" customHeight="1">
      <c r="A15" s="269" t="s">
        <v>111</v>
      </c>
      <c r="B15" s="269">
        <v>2</v>
      </c>
      <c r="C15" s="269">
        <v>3</v>
      </c>
      <c r="D15" s="269">
        <v>4</v>
      </c>
      <c r="E15" s="269">
        <v>5</v>
      </c>
      <c r="F15" s="269">
        <v>6</v>
      </c>
      <c r="G15" s="269">
        <v>7</v>
      </c>
      <c r="H15" s="269">
        <v>8</v>
      </c>
      <c r="I15" s="269">
        <v>9</v>
      </c>
      <c r="J15" s="269">
        <v>17</v>
      </c>
      <c r="K15" s="269">
        <v>51</v>
      </c>
      <c r="L15" s="269">
        <v>54</v>
      </c>
      <c r="P15" s="249">
        <v>0.875</v>
      </c>
      <c r="Q15" s="250">
        <v>4.63</v>
      </c>
      <c r="R15" s="250">
        <v>4.63</v>
      </c>
      <c r="S15" s="250">
        <v>4.75</v>
      </c>
      <c r="T15" s="250">
        <v>4.82</v>
      </c>
      <c r="U15" s="250">
        <v>4.88</v>
      </c>
      <c r="V15" s="250">
        <v>4.9400000000000004</v>
      </c>
      <c r="W15" s="250">
        <v>5.0599999999999996</v>
      </c>
      <c r="X15" s="250">
        <v>5.17</v>
      </c>
      <c r="Y15" s="250">
        <v>6.45</v>
      </c>
    </row>
    <row r="16" spans="1:26" ht="12.75" customHeight="1">
      <c r="A16" s="270">
        <v>1</v>
      </c>
      <c r="B16" s="271">
        <v>0.5</v>
      </c>
      <c r="C16" s="271">
        <v>0.5</v>
      </c>
      <c r="D16" s="271">
        <v>0.5</v>
      </c>
      <c r="E16" s="271">
        <v>0.5</v>
      </c>
      <c r="F16" s="271">
        <v>0.5</v>
      </c>
      <c r="G16" s="271">
        <v>0.52</v>
      </c>
      <c r="H16" s="271">
        <v>0.52</v>
      </c>
      <c r="I16" s="272">
        <v>0.25</v>
      </c>
      <c r="J16" s="272">
        <v>0.25</v>
      </c>
      <c r="K16" s="272">
        <v>0.25</v>
      </c>
      <c r="L16" s="272">
        <v>0.25</v>
      </c>
      <c r="P16" s="249">
        <v>0.9375</v>
      </c>
      <c r="Q16" s="250">
        <v>4.6500000000000004</v>
      </c>
      <c r="R16" s="250">
        <v>4.6500000000000004</v>
      </c>
      <c r="S16" s="250">
        <v>4.7699999999999996</v>
      </c>
      <c r="T16" s="250">
        <v>4.84</v>
      </c>
      <c r="U16" s="250">
        <v>4.91</v>
      </c>
      <c r="V16" s="250">
        <v>4.97</v>
      </c>
      <c r="W16" s="250">
        <v>5.0999999999999996</v>
      </c>
      <c r="X16" s="250">
        <v>5.21</v>
      </c>
      <c r="Y16" s="250">
        <v>6.49</v>
      </c>
    </row>
    <row r="17" spans="1:25" ht="12.75" customHeight="1">
      <c r="A17" s="273">
        <v>2</v>
      </c>
      <c r="B17" s="272">
        <v>0.5</v>
      </c>
      <c r="C17" s="272">
        <v>0.5</v>
      </c>
      <c r="D17" s="272">
        <v>0.5</v>
      </c>
      <c r="E17" s="272">
        <v>0.5</v>
      </c>
      <c r="F17" s="272">
        <v>0.5</v>
      </c>
      <c r="G17" s="272">
        <v>0.52</v>
      </c>
      <c r="H17" s="272">
        <v>0.52</v>
      </c>
      <c r="I17" s="272">
        <v>0.25</v>
      </c>
      <c r="J17" s="272">
        <v>0.25</v>
      </c>
      <c r="K17" s="272">
        <v>0.25</v>
      </c>
      <c r="L17" s="272">
        <v>0.25</v>
      </c>
      <c r="P17" s="249">
        <v>1</v>
      </c>
      <c r="Q17" s="250">
        <v>4.66</v>
      </c>
      <c r="R17" s="250">
        <v>4.66</v>
      </c>
      <c r="S17" s="250">
        <v>4.79</v>
      </c>
      <c r="T17" s="250">
        <v>4.8600000000000003</v>
      </c>
      <c r="U17" s="250">
        <v>4.93</v>
      </c>
      <c r="V17" s="250">
        <v>5</v>
      </c>
      <c r="W17" s="250">
        <v>5.13</v>
      </c>
      <c r="X17" s="250">
        <v>5.25</v>
      </c>
      <c r="Y17" s="250">
        <v>6.53</v>
      </c>
    </row>
    <row r="18" spans="1:25" ht="12.75" customHeight="1">
      <c r="A18" s="273">
        <v>3</v>
      </c>
      <c r="B18" s="272">
        <v>0.55000000000000004</v>
      </c>
      <c r="C18" s="272">
        <v>0.55000000000000004</v>
      </c>
      <c r="D18" s="272">
        <v>0.55000000000000004</v>
      </c>
      <c r="E18" s="272">
        <v>0.57999999999999996</v>
      </c>
      <c r="F18" s="272">
        <v>0.6</v>
      </c>
      <c r="G18" s="272">
        <v>0.61</v>
      </c>
      <c r="H18" s="272">
        <v>0.61</v>
      </c>
      <c r="I18" s="272">
        <v>0.25</v>
      </c>
      <c r="J18" s="272">
        <v>0.25</v>
      </c>
      <c r="K18" s="272">
        <v>0.25</v>
      </c>
      <c r="L18" s="272">
        <v>0.25</v>
      </c>
      <c r="P18" s="101">
        <v>1</v>
      </c>
      <c r="Q18" s="243">
        <v>5.48</v>
      </c>
      <c r="R18" s="243">
        <v>5.48</v>
      </c>
      <c r="S18" s="243">
        <v>6.07</v>
      </c>
      <c r="T18" s="243">
        <v>6.26</v>
      </c>
      <c r="U18" s="243">
        <v>6.61</v>
      </c>
      <c r="V18" s="243">
        <v>6.74</v>
      </c>
      <c r="W18" s="243">
        <v>6.85</v>
      </c>
      <c r="X18" s="243">
        <v>6.99</v>
      </c>
      <c r="Y18" s="243">
        <v>12.26</v>
      </c>
    </row>
    <row r="19" spans="1:25" ht="12.75" customHeight="1">
      <c r="A19" s="273">
        <v>4</v>
      </c>
      <c r="B19" s="272">
        <v>0.55000000000000004</v>
      </c>
      <c r="C19" s="272">
        <v>0.55000000000000004</v>
      </c>
      <c r="D19" s="272">
        <v>0.55000000000000004</v>
      </c>
      <c r="E19" s="272">
        <v>0.57999999999999996</v>
      </c>
      <c r="F19" s="272">
        <v>0.6</v>
      </c>
      <c r="G19" s="272">
        <v>0.61</v>
      </c>
      <c r="H19" s="272">
        <v>0.61</v>
      </c>
      <c r="I19" s="272">
        <v>0.25</v>
      </c>
      <c r="J19" s="272">
        <v>0.25</v>
      </c>
      <c r="K19" s="272">
        <v>0.25</v>
      </c>
      <c r="L19" s="272">
        <v>0.25</v>
      </c>
      <c r="P19" s="243">
        <v>2</v>
      </c>
      <c r="Q19" s="243">
        <v>6.01</v>
      </c>
      <c r="R19" s="243">
        <v>6.01</v>
      </c>
      <c r="S19" s="243">
        <v>6.77</v>
      </c>
      <c r="T19" s="243">
        <v>7.04</v>
      </c>
      <c r="U19" s="243">
        <v>7.47</v>
      </c>
      <c r="V19" s="243">
        <v>7.7</v>
      </c>
      <c r="W19" s="243">
        <v>7.95</v>
      </c>
      <c r="X19" s="243">
        <v>8.1999999999999993</v>
      </c>
      <c r="Y19" s="243">
        <v>17.28</v>
      </c>
    </row>
    <row r="20" spans="1:25" ht="12.75" customHeight="1">
      <c r="A20" s="273">
        <v>5</v>
      </c>
      <c r="B20" s="272">
        <v>0.55000000000000004</v>
      </c>
      <c r="C20" s="272">
        <v>0.55000000000000004</v>
      </c>
      <c r="D20" s="272">
        <v>0.55000000000000004</v>
      </c>
      <c r="E20" s="272">
        <v>0.57999999999999996</v>
      </c>
      <c r="F20" s="272">
        <v>0.6</v>
      </c>
      <c r="G20" s="272">
        <v>0.61</v>
      </c>
      <c r="H20" s="272">
        <v>0.61</v>
      </c>
      <c r="I20" s="272">
        <v>0.25</v>
      </c>
      <c r="J20" s="272">
        <v>0.25</v>
      </c>
      <c r="K20" s="272">
        <v>0.25</v>
      </c>
      <c r="L20" s="272">
        <v>0.25</v>
      </c>
      <c r="P20" s="243">
        <v>3</v>
      </c>
      <c r="Q20" s="243">
        <v>6.4</v>
      </c>
      <c r="R20" s="243">
        <v>6.4</v>
      </c>
      <c r="S20" s="243">
        <v>7.34</v>
      </c>
      <c r="T20" s="243">
        <v>7.69</v>
      </c>
      <c r="U20" s="243">
        <v>8.1999999999999993</v>
      </c>
      <c r="V20" s="243">
        <v>8.5</v>
      </c>
      <c r="W20" s="243">
        <v>8.89</v>
      </c>
      <c r="X20" s="243">
        <v>9.26</v>
      </c>
      <c r="Y20" s="243">
        <v>21.17</v>
      </c>
    </row>
    <row r="21" spans="1:25" ht="12.75" customHeight="1">
      <c r="A21" s="273">
        <v>6</v>
      </c>
      <c r="B21" s="272">
        <v>0.55000000000000004</v>
      </c>
      <c r="C21" s="272">
        <v>0.55000000000000004</v>
      </c>
      <c r="D21" s="272">
        <v>0.55000000000000004</v>
      </c>
      <c r="E21" s="272">
        <v>0.57999999999999996</v>
      </c>
      <c r="F21" s="272">
        <v>0.6</v>
      </c>
      <c r="G21" s="272">
        <v>0.61</v>
      </c>
      <c r="H21" s="272">
        <v>0.61</v>
      </c>
      <c r="I21" s="272">
        <v>0.25</v>
      </c>
      <c r="J21" s="272">
        <v>0.25</v>
      </c>
      <c r="K21" s="272">
        <v>0.25</v>
      </c>
      <c r="L21" s="272">
        <v>0.25</v>
      </c>
      <c r="P21" s="243">
        <v>4</v>
      </c>
      <c r="Q21" s="243">
        <v>6.81</v>
      </c>
      <c r="R21" s="243">
        <v>6.81</v>
      </c>
      <c r="S21" s="243">
        <v>7.92</v>
      </c>
      <c r="T21" s="243">
        <v>8.35</v>
      </c>
      <c r="U21" s="243">
        <v>8.94</v>
      </c>
      <c r="V21" s="243">
        <v>9.32</v>
      </c>
      <c r="W21" s="243">
        <v>9.85</v>
      </c>
      <c r="X21" s="243">
        <v>10.32</v>
      </c>
      <c r="Y21" s="243">
        <v>26.68</v>
      </c>
    </row>
    <row r="22" spans="1:25" ht="12.75" customHeight="1">
      <c r="A22" s="273">
        <v>7</v>
      </c>
      <c r="B22" s="272">
        <v>0.55000000000000004</v>
      </c>
      <c r="C22" s="272">
        <v>0.55000000000000004</v>
      </c>
      <c r="D22" s="272">
        <v>0.5</v>
      </c>
      <c r="E22" s="272">
        <v>0.57999999999999996</v>
      </c>
      <c r="F22" s="272">
        <v>0.61</v>
      </c>
      <c r="G22" s="272">
        <v>0.63</v>
      </c>
      <c r="H22" s="272">
        <v>0.64</v>
      </c>
      <c r="I22" s="272">
        <v>0.25</v>
      </c>
      <c r="J22" s="272">
        <v>0.25</v>
      </c>
      <c r="K22" s="272">
        <v>0.25</v>
      </c>
      <c r="L22" s="272">
        <v>0.25</v>
      </c>
      <c r="P22" s="243">
        <v>5</v>
      </c>
      <c r="Q22" s="243">
        <v>7.21</v>
      </c>
      <c r="R22" s="243">
        <v>7.21</v>
      </c>
      <c r="S22" s="243">
        <v>8.5</v>
      </c>
      <c r="T22" s="243">
        <v>9.01</v>
      </c>
      <c r="U22" s="243">
        <v>9.68</v>
      </c>
      <c r="V22" s="243">
        <v>10.130000000000001</v>
      </c>
      <c r="W22" s="243">
        <v>10.8</v>
      </c>
      <c r="X22" s="243">
        <v>11.38</v>
      </c>
      <c r="Y22" s="243">
        <v>30.47</v>
      </c>
    </row>
    <row r="23" spans="1:25" ht="12.75" customHeight="1">
      <c r="A23" s="273">
        <v>8</v>
      </c>
      <c r="B23" s="272">
        <v>0.55000000000000004</v>
      </c>
      <c r="C23" s="272">
        <v>0.55000000000000004</v>
      </c>
      <c r="D23" s="272">
        <v>0.5</v>
      </c>
      <c r="E23" s="272">
        <v>0.57999999999999996</v>
      </c>
      <c r="F23" s="272">
        <v>0.61</v>
      </c>
      <c r="G23" s="272">
        <v>0.63</v>
      </c>
      <c r="H23" s="272">
        <v>0.64</v>
      </c>
      <c r="I23" s="272">
        <v>0.25</v>
      </c>
      <c r="J23" s="272">
        <v>0.25</v>
      </c>
      <c r="K23" s="272">
        <v>0.25</v>
      </c>
      <c r="L23" s="272">
        <v>0.25</v>
      </c>
      <c r="S23" s="243"/>
    </row>
    <row r="24" spans="1:25" ht="12.75" customHeight="1">
      <c r="A24" s="273">
        <v>9</v>
      </c>
      <c r="B24" s="272">
        <v>0.55000000000000004</v>
      </c>
      <c r="C24" s="272">
        <v>0.55000000000000004</v>
      </c>
      <c r="D24" s="272">
        <v>0.5</v>
      </c>
      <c r="E24" s="272">
        <v>0.57999999999999996</v>
      </c>
      <c r="F24" s="272">
        <v>0.61</v>
      </c>
      <c r="G24" s="272">
        <v>0.63</v>
      </c>
      <c r="H24" s="272">
        <v>0.64</v>
      </c>
      <c r="I24" s="272">
        <v>0.25</v>
      </c>
      <c r="J24" s="272">
        <v>0.25</v>
      </c>
      <c r="K24" s="272">
        <v>0.25</v>
      </c>
      <c r="L24" s="272">
        <v>0.25</v>
      </c>
      <c r="O24" s="60" t="s">
        <v>112</v>
      </c>
      <c r="P24" s="243">
        <f>Mail_Innovations_Fuel_Surcharge</f>
        <v>0.04</v>
      </c>
      <c r="Q24" s="243"/>
    </row>
    <row r="25" spans="1:25" ht="12.75" customHeight="1">
      <c r="A25" s="274" t="s">
        <v>113</v>
      </c>
      <c r="B25" s="275">
        <v>0.2</v>
      </c>
      <c r="C25" s="275">
        <v>0.2</v>
      </c>
      <c r="D25" s="275">
        <v>0.2</v>
      </c>
      <c r="E25" s="275">
        <v>0.2</v>
      </c>
      <c r="F25" s="275">
        <v>0.2</v>
      </c>
      <c r="G25" s="275">
        <v>0.2</v>
      </c>
      <c r="H25" s="275">
        <v>0.2</v>
      </c>
      <c r="I25" s="275">
        <v>0.2</v>
      </c>
      <c r="J25" s="275">
        <v>0.2</v>
      </c>
      <c r="K25" s="275">
        <v>0.2</v>
      </c>
      <c r="L25" s="275">
        <v>0.2</v>
      </c>
      <c r="O25" s="242" t="s">
        <v>114</v>
      </c>
      <c r="P25" s="101" t="s">
        <v>5</v>
      </c>
      <c r="Q25" s="243">
        <v>1</v>
      </c>
      <c r="R25" s="243">
        <v>2</v>
      </c>
      <c r="S25" s="244" t="s">
        <v>103</v>
      </c>
      <c r="T25" s="244" t="s">
        <v>104</v>
      </c>
      <c r="U25" s="244" t="s">
        <v>105</v>
      </c>
      <c r="V25" s="244" t="s">
        <v>106</v>
      </c>
      <c r="W25" s="244" t="s">
        <v>107</v>
      </c>
      <c r="X25" s="244" t="s">
        <v>108</v>
      </c>
    </row>
    <row r="26" spans="1:25" ht="12.75" customHeight="1">
      <c r="Q26" s="249">
        <v>6.25E-2</v>
      </c>
      <c r="R26" s="276">
        <f t="shared" ref="R26:Y26" si="0">ROUND(R2*(1+$P$24),2)</f>
        <v>3.55</v>
      </c>
      <c r="S26" s="276">
        <f t="shared" si="0"/>
        <v>3.55</v>
      </c>
      <c r="T26" s="276">
        <f t="shared" si="0"/>
        <v>3.57</v>
      </c>
      <c r="U26" s="276">
        <f t="shared" si="0"/>
        <v>3.59</v>
      </c>
      <c r="V26" s="276">
        <f t="shared" si="0"/>
        <v>3.66</v>
      </c>
      <c r="W26" s="276">
        <f t="shared" si="0"/>
        <v>3.76</v>
      </c>
      <c r="X26" s="276">
        <f t="shared" si="0"/>
        <v>3.87</v>
      </c>
      <c r="Y26" s="276">
        <f t="shared" si="0"/>
        <v>3.93</v>
      </c>
    </row>
    <row r="27" spans="1:25" ht="12.75" customHeight="1">
      <c r="Q27" s="249">
        <v>0.125</v>
      </c>
      <c r="R27" s="276">
        <f t="shared" ref="R27:Y27" si="1">ROUND(R3*(1+$P$24),2)</f>
        <v>3.55</v>
      </c>
      <c r="S27" s="276">
        <f t="shared" si="1"/>
        <v>3.55</v>
      </c>
      <c r="T27" s="276">
        <f t="shared" si="1"/>
        <v>3.57</v>
      </c>
      <c r="U27" s="276">
        <f t="shared" si="1"/>
        <v>3.59</v>
      </c>
      <c r="V27" s="276">
        <f t="shared" si="1"/>
        <v>3.66</v>
      </c>
      <c r="W27" s="276">
        <f t="shared" si="1"/>
        <v>3.76</v>
      </c>
      <c r="X27" s="276">
        <f t="shared" si="1"/>
        <v>3.87</v>
      </c>
      <c r="Y27" s="276">
        <f t="shared" si="1"/>
        <v>3.96</v>
      </c>
    </row>
    <row r="28" spans="1:25" ht="12.75" customHeight="1">
      <c r="A28" s="60" t="s">
        <v>66</v>
      </c>
      <c r="B28" s="277">
        <v>8.74</v>
      </c>
      <c r="C28" s="60" t="s">
        <v>115</v>
      </c>
      <c r="Q28" s="249">
        <v>0.1875</v>
      </c>
      <c r="R28" s="276">
        <f t="shared" ref="R28:Y28" si="2">ROUND(R4*(1+$P$24),2)</f>
        <v>3.55</v>
      </c>
      <c r="S28" s="276">
        <f t="shared" si="2"/>
        <v>3.55</v>
      </c>
      <c r="T28" s="276">
        <f t="shared" si="2"/>
        <v>3.57</v>
      </c>
      <c r="U28" s="276">
        <f t="shared" si="2"/>
        <v>3.59</v>
      </c>
      <c r="V28" s="276">
        <f t="shared" si="2"/>
        <v>3.66</v>
      </c>
      <c r="W28" s="276">
        <f t="shared" si="2"/>
        <v>3.76</v>
      </c>
      <c r="X28" s="276">
        <f t="shared" si="2"/>
        <v>3.87</v>
      </c>
      <c r="Y28" s="276">
        <f t="shared" si="2"/>
        <v>4</v>
      </c>
    </row>
    <row r="29" spans="1:25" ht="12.75" customHeight="1">
      <c r="A29" s="245" t="s">
        <v>5</v>
      </c>
      <c r="B29" s="246">
        <v>2</v>
      </c>
      <c r="C29" s="246">
        <v>3</v>
      </c>
      <c r="D29" s="247">
        <v>4</v>
      </c>
      <c r="E29" s="248">
        <v>5</v>
      </c>
      <c r="F29" s="246">
        <v>6</v>
      </c>
      <c r="G29" s="246">
        <v>7</v>
      </c>
      <c r="H29" s="247">
        <v>8</v>
      </c>
      <c r="Q29" s="249">
        <v>0.25</v>
      </c>
      <c r="R29" s="276">
        <f t="shared" ref="R29:Y29" si="3">ROUND(R5*(1+$P$24),2)</f>
        <v>3.55</v>
      </c>
      <c r="S29" s="276">
        <f t="shared" si="3"/>
        <v>3.55</v>
      </c>
      <c r="T29" s="276">
        <f t="shared" si="3"/>
        <v>3.57</v>
      </c>
      <c r="U29" s="276">
        <f t="shared" si="3"/>
        <v>3.59</v>
      </c>
      <c r="V29" s="276">
        <f t="shared" si="3"/>
        <v>3.66</v>
      </c>
      <c r="W29" s="276">
        <f t="shared" si="3"/>
        <v>3.76</v>
      </c>
      <c r="X29" s="276">
        <f t="shared" si="3"/>
        <v>3.87</v>
      </c>
      <c r="Y29" s="276">
        <f t="shared" si="3"/>
        <v>4.04</v>
      </c>
    </row>
    <row r="30" spans="1:25" ht="12.75" customHeight="1">
      <c r="A30" s="251" t="s">
        <v>109</v>
      </c>
      <c r="B30" s="278">
        <f t="shared" ref="B30:H30" si="4">(B3-$B$28)/B3</f>
        <v>0.27105921601334443</v>
      </c>
      <c r="C30" s="278">
        <f t="shared" si="4"/>
        <v>0.28419328419328421</v>
      </c>
      <c r="D30" s="278">
        <f t="shared" si="4"/>
        <v>0.34087481146304671</v>
      </c>
      <c r="E30" s="278">
        <f t="shared" si="4"/>
        <v>0.37571428571428572</v>
      </c>
      <c r="F30" s="278">
        <f t="shared" si="4"/>
        <v>0.39599170697995856</v>
      </c>
      <c r="G30" s="278">
        <f t="shared" si="4"/>
        <v>0.40745762711864403</v>
      </c>
      <c r="H30" s="278">
        <f t="shared" si="4"/>
        <v>0.41772151898734172</v>
      </c>
      <c r="Q30" s="249">
        <v>0.3125</v>
      </c>
      <c r="R30" s="276">
        <f t="shared" ref="R30:Y30" si="5">ROUND(R6*(1+$P$24),2)</f>
        <v>3.79</v>
      </c>
      <c r="S30" s="276">
        <f t="shared" si="5"/>
        <v>3.79</v>
      </c>
      <c r="T30" s="276">
        <f t="shared" si="5"/>
        <v>3.87</v>
      </c>
      <c r="U30" s="276">
        <f t="shared" si="5"/>
        <v>3.92</v>
      </c>
      <c r="V30" s="276">
        <f t="shared" si="5"/>
        <v>3.97</v>
      </c>
      <c r="W30" s="276">
        <f t="shared" si="5"/>
        <v>3.99</v>
      </c>
      <c r="X30" s="276">
        <f t="shared" si="5"/>
        <v>4.12</v>
      </c>
      <c r="Y30" s="276">
        <f t="shared" si="5"/>
        <v>4.24</v>
      </c>
    </row>
    <row r="31" spans="1:25" ht="12.75" customHeight="1">
      <c r="A31" s="254">
        <v>2</v>
      </c>
      <c r="B31" s="278">
        <f t="shared" ref="B31:H31" si="6">(B4-$B$28)/B4</f>
        <v>0.31611893583724565</v>
      </c>
      <c r="C31" s="278">
        <f t="shared" si="6"/>
        <v>0.37970191625266142</v>
      </c>
      <c r="D31" s="278">
        <f t="shared" si="6"/>
        <v>0.42987606001304629</v>
      </c>
      <c r="E31" s="278">
        <f t="shared" si="6"/>
        <v>0.44189016602809705</v>
      </c>
      <c r="F31" s="278">
        <f t="shared" si="6"/>
        <v>0.46511627906976744</v>
      </c>
      <c r="G31" s="278">
        <f t="shared" si="6"/>
        <v>0.48829039812646363</v>
      </c>
      <c r="H31" s="278">
        <f t="shared" si="6"/>
        <v>0.49683362118595281</v>
      </c>
      <c r="Q31" s="249">
        <v>0.375</v>
      </c>
      <c r="R31" s="276">
        <f t="shared" ref="R31:Y31" si="7">ROUND(R7*(1+$P$24),2)</f>
        <v>3.79</v>
      </c>
      <c r="S31" s="276">
        <f t="shared" si="7"/>
        <v>3.79</v>
      </c>
      <c r="T31" s="276">
        <f t="shared" si="7"/>
        <v>3.87</v>
      </c>
      <c r="U31" s="276">
        <f t="shared" si="7"/>
        <v>3.92</v>
      </c>
      <c r="V31" s="276">
        <f t="shared" si="7"/>
        <v>3.97</v>
      </c>
      <c r="W31" s="276">
        <f t="shared" si="7"/>
        <v>3.99</v>
      </c>
      <c r="X31" s="276">
        <f t="shared" si="7"/>
        <v>4.12</v>
      </c>
      <c r="Y31" s="276">
        <f t="shared" si="7"/>
        <v>4.28</v>
      </c>
    </row>
    <row r="32" spans="1:25" ht="12.75" customHeight="1">
      <c r="A32" s="257">
        <v>3</v>
      </c>
      <c r="B32" s="278">
        <f t="shared" ref="B32:H32" si="8">(B5-$B$28)/B5</f>
        <v>0.34285714285714286</v>
      </c>
      <c r="C32" s="278">
        <f t="shared" si="8"/>
        <v>0.41105121293800539</v>
      </c>
      <c r="D32" s="278">
        <f t="shared" si="8"/>
        <v>0.45340838023764851</v>
      </c>
      <c r="E32" s="278">
        <f t="shared" si="8"/>
        <v>0.48007138607971439</v>
      </c>
      <c r="F32" s="278">
        <f t="shared" si="8"/>
        <v>0.50028587764436816</v>
      </c>
      <c r="G32" s="278">
        <f t="shared" si="8"/>
        <v>0.52004393190554643</v>
      </c>
      <c r="H32" s="278">
        <f t="shared" si="8"/>
        <v>0.542647828362114</v>
      </c>
      <c r="Q32" s="249">
        <v>0.4375</v>
      </c>
      <c r="R32" s="276">
        <f t="shared" ref="R32:Y32" si="9">ROUND(R8*(1+$P$24),2)</f>
        <v>3.79</v>
      </c>
      <c r="S32" s="276">
        <f t="shared" si="9"/>
        <v>3.79</v>
      </c>
      <c r="T32" s="276">
        <f t="shared" si="9"/>
        <v>3.87</v>
      </c>
      <c r="U32" s="276">
        <f t="shared" si="9"/>
        <v>3.92</v>
      </c>
      <c r="V32" s="276">
        <f t="shared" si="9"/>
        <v>3.97</v>
      </c>
      <c r="W32" s="276">
        <f t="shared" si="9"/>
        <v>3.99</v>
      </c>
      <c r="X32" s="276">
        <f t="shared" si="9"/>
        <v>4.12</v>
      </c>
      <c r="Y32" s="276">
        <f t="shared" si="9"/>
        <v>4.3</v>
      </c>
    </row>
    <row r="33" spans="1:25" ht="12.75" customHeight="1">
      <c r="A33" s="257">
        <v>4</v>
      </c>
      <c r="B33" s="278">
        <f t="shared" ref="B33:H33" si="10">(B6-$B$28)/B6</f>
        <v>0.36157779401022638</v>
      </c>
      <c r="C33" s="278">
        <f t="shared" si="10"/>
        <v>0.41460147354320159</v>
      </c>
      <c r="D33" s="278">
        <f t="shared" si="10"/>
        <v>0.47507507507507502</v>
      </c>
      <c r="E33" s="278">
        <f t="shared" si="10"/>
        <v>0.50705019740552737</v>
      </c>
      <c r="F33" s="278">
        <f t="shared" si="10"/>
        <v>0.52030735455543353</v>
      </c>
      <c r="G33" s="278">
        <f t="shared" si="10"/>
        <v>0.5531697341513292</v>
      </c>
      <c r="H33" s="278">
        <f t="shared" si="10"/>
        <v>0.5732421875</v>
      </c>
      <c r="Q33" s="249">
        <v>0.5</v>
      </c>
      <c r="R33" s="276">
        <f t="shared" ref="R33:Y33" si="11">ROUND(R9*(1+$P$24),2)</f>
        <v>3.79</v>
      </c>
      <c r="S33" s="276">
        <f t="shared" si="11"/>
        <v>3.79</v>
      </c>
      <c r="T33" s="276">
        <f t="shared" si="11"/>
        <v>3.87</v>
      </c>
      <c r="U33" s="276">
        <f t="shared" si="11"/>
        <v>3.92</v>
      </c>
      <c r="V33" s="276">
        <f t="shared" si="11"/>
        <v>3.97</v>
      </c>
      <c r="W33" s="276">
        <f t="shared" si="11"/>
        <v>3.99</v>
      </c>
      <c r="X33" s="276">
        <f t="shared" si="11"/>
        <v>4.12</v>
      </c>
      <c r="Y33" s="276">
        <f t="shared" si="11"/>
        <v>4.3</v>
      </c>
    </row>
    <row r="34" spans="1:25" ht="12.75" customHeight="1">
      <c r="A34" s="260">
        <v>5</v>
      </c>
      <c r="B34" s="278">
        <f t="shared" ref="B34:H34" si="12">(B7-$B$28)/B7</f>
        <v>0.3783783783783784</v>
      </c>
      <c r="C34" s="278">
        <f t="shared" si="12"/>
        <v>0.44046094750320097</v>
      </c>
      <c r="D34" s="278">
        <f t="shared" si="12"/>
        <v>0.48769050410316522</v>
      </c>
      <c r="E34" s="278">
        <f t="shared" si="12"/>
        <v>0.52833243389098761</v>
      </c>
      <c r="F34" s="278">
        <f t="shared" si="12"/>
        <v>0.54620976116303221</v>
      </c>
      <c r="G34" s="278">
        <f t="shared" si="12"/>
        <v>0.5730337078651685</v>
      </c>
      <c r="H34" s="278">
        <f t="shared" si="12"/>
        <v>0.5970493314891655</v>
      </c>
      <c r="Q34" s="249">
        <v>0.5625</v>
      </c>
      <c r="R34" s="276">
        <f t="shared" ref="R34:Y34" si="13">ROUND(R10*(1+$P$24),2)</f>
        <v>4.26</v>
      </c>
      <c r="S34" s="276">
        <f t="shared" si="13"/>
        <v>4.26</v>
      </c>
      <c r="T34" s="276">
        <f t="shared" si="13"/>
        <v>4.3600000000000003</v>
      </c>
      <c r="U34" s="276">
        <f t="shared" si="13"/>
        <v>4.4000000000000004</v>
      </c>
      <c r="V34" s="276">
        <f t="shared" si="13"/>
        <v>4.45</v>
      </c>
      <c r="W34" s="276">
        <f t="shared" si="13"/>
        <v>4.5</v>
      </c>
      <c r="X34" s="276">
        <f t="shared" si="13"/>
        <v>4.59</v>
      </c>
      <c r="Y34" s="276">
        <f t="shared" si="13"/>
        <v>4.68</v>
      </c>
    </row>
    <row r="35" spans="1:25" ht="12.75" customHeight="1">
      <c r="A35" s="263">
        <v>6</v>
      </c>
      <c r="B35" s="278">
        <f t="shared" ref="B35:H35" si="14">(B8-$B$28)/B8</f>
        <v>0.38320395201129143</v>
      </c>
      <c r="C35" s="278">
        <f t="shared" si="14"/>
        <v>0.44224633056796425</v>
      </c>
      <c r="D35" s="278">
        <f t="shared" si="14"/>
        <v>0.49274521183981429</v>
      </c>
      <c r="E35" s="278">
        <f t="shared" si="14"/>
        <v>0.53010752688172047</v>
      </c>
      <c r="F35" s="278">
        <f t="shared" si="14"/>
        <v>0.54691550025920166</v>
      </c>
      <c r="G35" s="278">
        <f t="shared" si="14"/>
        <v>0.5732421875</v>
      </c>
      <c r="H35" s="278">
        <f t="shared" si="14"/>
        <v>0.59723502304147458</v>
      </c>
      <c r="Q35" s="249">
        <v>0.625</v>
      </c>
      <c r="R35" s="276">
        <f t="shared" ref="R35:Y35" si="15">ROUND(R11*(1+$P$24),2)</f>
        <v>4.2699999999999996</v>
      </c>
      <c r="S35" s="276">
        <f t="shared" si="15"/>
        <v>4.2699999999999996</v>
      </c>
      <c r="T35" s="276">
        <f t="shared" si="15"/>
        <v>4.38</v>
      </c>
      <c r="U35" s="276">
        <f t="shared" si="15"/>
        <v>4.43</v>
      </c>
      <c r="V35" s="276">
        <f t="shared" si="15"/>
        <v>4.4800000000000004</v>
      </c>
      <c r="W35" s="276">
        <f t="shared" si="15"/>
        <v>4.53</v>
      </c>
      <c r="X35" s="276">
        <f t="shared" si="15"/>
        <v>4.63</v>
      </c>
      <c r="Y35" s="276">
        <f t="shared" si="15"/>
        <v>4.72</v>
      </c>
    </row>
    <row r="36" spans="1:25" ht="12.75" customHeight="1">
      <c r="A36" s="266">
        <v>7</v>
      </c>
      <c r="B36" s="278">
        <f t="shared" ref="B36:H36" si="16">(B9-$B$28)/B9</f>
        <v>0.41616566466265864</v>
      </c>
      <c r="C36" s="278">
        <f t="shared" si="16"/>
        <v>0.45477230193387402</v>
      </c>
      <c r="D36" s="278">
        <f t="shared" si="16"/>
        <v>0.50565610859728505</v>
      </c>
      <c r="E36" s="278">
        <f t="shared" si="16"/>
        <v>0.54455445544554459</v>
      </c>
      <c r="F36" s="278">
        <f t="shared" si="16"/>
        <v>0.55476311767702491</v>
      </c>
      <c r="G36" s="278">
        <f t="shared" si="16"/>
        <v>0.58440323347598666</v>
      </c>
      <c r="H36" s="278">
        <f t="shared" si="16"/>
        <v>0.61172812083518435</v>
      </c>
      <c r="Q36" s="249">
        <v>0.6875</v>
      </c>
      <c r="R36" s="276">
        <f t="shared" ref="R36:Y36" si="17">ROUND(R12*(1+$P$24),2)</f>
        <v>4.2699999999999996</v>
      </c>
      <c r="S36" s="276">
        <f t="shared" si="17"/>
        <v>4.2699999999999996</v>
      </c>
      <c r="T36" s="276">
        <f t="shared" si="17"/>
        <v>4.3899999999999997</v>
      </c>
      <c r="U36" s="276">
        <f t="shared" si="17"/>
        <v>4.45</v>
      </c>
      <c r="V36" s="276">
        <f t="shared" si="17"/>
        <v>4.5</v>
      </c>
      <c r="W36" s="276">
        <f t="shared" si="17"/>
        <v>4.57</v>
      </c>
      <c r="X36" s="276">
        <f t="shared" si="17"/>
        <v>4.66</v>
      </c>
      <c r="Y36" s="276">
        <f t="shared" si="17"/>
        <v>4.76</v>
      </c>
    </row>
    <row r="37" spans="1:25" ht="12.75" customHeight="1">
      <c r="A37" s="266">
        <v>8</v>
      </c>
      <c r="B37" s="278">
        <f t="shared" ref="B37:H37" si="18">(B10-$B$28)/B10</f>
        <v>0.43246753246753245</v>
      </c>
      <c r="C37" s="278">
        <f t="shared" si="18"/>
        <v>0.47381095725466582</v>
      </c>
      <c r="D37" s="278">
        <f t="shared" si="18"/>
        <v>0.52214324767632581</v>
      </c>
      <c r="E37" s="278">
        <f t="shared" si="18"/>
        <v>0.55724417426545081</v>
      </c>
      <c r="F37" s="278">
        <f t="shared" si="18"/>
        <v>0.57198824681684624</v>
      </c>
      <c r="G37" s="278">
        <f t="shared" si="18"/>
        <v>0.60054844606946978</v>
      </c>
      <c r="H37" s="278">
        <f t="shared" si="18"/>
        <v>0.62808510638297876</v>
      </c>
      <c r="Q37" s="249">
        <v>0.75</v>
      </c>
      <c r="R37" s="276">
        <f t="shared" ref="R37:Y37" si="19">ROUND(R13*(1+$P$24),2)</f>
        <v>4.2699999999999996</v>
      </c>
      <c r="S37" s="276">
        <f t="shared" si="19"/>
        <v>4.2699999999999996</v>
      </c>
      <c r="T37" s="276">
        <f t="shared" si="19"/>
        <v>4.41</v>
      </c>
      <c r="U37" s="276">
        <f t="shared" si="19"/>
        <v>4.47</v>
      </c>
      <c r="V37" s="276">
        <f t="shared" si="19"/>
        <v>4.53</v>
      </c>
      <c r="W37" s="276">
        <f t="shared" si="19"/>
        <v>4.59</v>
      </c>
      <c r="X37" s="276">
        <f t="shared" si="19"/>
        <v>4.7</v>
      </c>
      <c r="Y37" s="276">
        <f t="shared" si="19"/>
        <v>4.8</v>
      </c>
    </row>
    <row r="38" spans="1:25" ht="12.75" customHeight="1">
      <c r="A38" s="266">
        <v>9</v>
      </c>
      <c r="B38" s="278">
        <f t="shared" ref="B38:H38" si="20">(B11-$B$28)/B11</f>
        <v>0.44117647058823528</v>
      </c>
      <c r="C38" s="278">
        <f t="shared" si="20"/>
        <v>0.48099762470308788</v>
      </c>
      <c r="D38" s="278">
        <f t="shared" si="20"/>
        <v>0.52448313384113165</v>
      </c>
      <c r="E38" s="278">
        <f t="shared" si="20"/>
        <v>0.56102461074836762</v>
      </c>
      <c r="F38" s="278">
        <f t="shared" si="20"/>
        <v>0.58101629913710451</v>
      </c>
      <c r="G38" s="278">
        <f t="shared" si="20"/>
        <v>0.61649846423870114</v>
      </c>
      <c r="H38" s="278">
        <f t="shared" si="20"/>
        <v>0.64686868686868682</v>
      </c>
      <c r="Q38" s="249">
        <v>0.8125</v>
      </c>
      <c r="R38" s="276">
        <f t="shared" ref="R38:Y38" si="21">ROUND(R14*(1+$P$24),2)</f>
        <v>4.8</v>
      </c>
      <c r="S38" s="276">
        <f t="shared" si="21"/>
        <v>4.8</v>
      </c>
      <c r="T38" s="276">
        <f t="shared" si="21"/>
        <v>4.93</v>
      </c>
      <c r="U38" s="276">
        <f t="shared" si="21"/>
        <v>4.99</v>
      </c>
      <c r="V38" s="276">
        <f t="shared" si="21"/>
        <v>5.05</v>
      </c>
      <c r="W38" s="276">
        <f t="shared" si="21"/>
        <v>5.12</v>
      </c>
      <c r="X38" s="276">
        <f t="shared" si="21"/>
        <v>5.23</v>
      </c>
      <c r="Y38" s="276">
        <f t="shared" si="21"/>
        <v>5.34</v>
      </c>
    </row>
    <row r="39" spans="1:25" ht="12.75" customHeight="1">
      <c r="Q39" s="249">
        <v>0.875</v>
      </c>
      <c r="R39" s="276">
        <f t="shared" ref="R39:Y39" si="22">ROUND(Q15*(1+$P$24),2)</f>
        <v>4.82</v>
      </c>
      <c r="S39" s="276">
        <f t="shared" si="22"/>
        <v>4.82</v>
      </c>
      <c r="T39" s="276">
        <f t="shared" si="22"/>
        <v>4.9400000000000004</v>
      </c>
      <c r="U39" s="276">
        <f t="shared" si="22"/>
        <v>5.01</v>
      </c>
      <c r="V39" s="276">
        <f t="shared" si="22"/>
        <v>5.08</v>
      </c>
      <c r="W39" s="276">
        <f t="shared" si="22"/>
        <v>5.14</v>
      </c>
      <c r="X39" s="276">
        <f t="shared" si="22"/>
        <v>5.26</v>
      </c>
      <c r="Y39" s="276">
        <f t="shared" si="22"/>
        <v>5.38</v>
      </c>
    </row>
    <row r="40" spans="1:25" ht="12.75" customHeight="1">
      <c r="Q40" s="249">
        <v>0.9375</v>
      </c>
      <c r="R40" s="276">
        <f t="shared" ref="R40:Y40" si="23">ROUND(Q16*(1+$P$24),2)</f>
        <v>4.84</v>
      </c>
      <c r="S40" s="276">
        <f t="shared" si="23"/>
        <v>4.84</v>
      </c>
      <c r="T40" s="276">
        <f t="shared" si="23"/>
        <v>4.96</v>
      </c>
      <c r="U40" s="276">
        <f t="shared" si="23"/>
        <v>5.03</v>
      </c>
      <c r="V40" s="276">
        <f t="shared" si="23"/>
        <v>5.1100000000000003</v>
      </c>
      <c r="W40" s="276">
        <f t="shared" si="23"/>
        <v>5.17</v>
      </c>
      <c r="X40" s="276">
        <f t="shared" si="23"/>
        <v>5.3</v>
      </c>
      <c r="Y40" s="276">
        <f t="shared" si="23"/>
        <v>5.42</v>
      </c>
    </row>
    <row r="41" spans="1:25" ht="12.75" customHeight="1">
      <c r="A41" s="60" t="s">
        <v>116</v>
      </c>
      <c r="Q41" s="249">
        <v>1</v>
      </c>
      <c r="R41" s="276">
        <f t="shared" ref="R41:Y41" si="24">ROUND(Q17*(1+$P$24),2)</f>
        <v>4.8499999999999996</v>
      </c>
      <c r="S41" s="276">
        <f t="shared" si="24"/>
        <v>4.8499999999999996</v>
      </c>
      <c r="T41" s="276">
        <f t="shared" si="24"/>
        <v>4.9800000000000004</v>
      </c>
      <c r="U41" s="276">
        <f t="shared" si="24"/>
        <v>5.05</v>
      </c>
      <c r="V41" s="276">
        <f t="shared" si="24"/>
        <v>5.13</v>
      </c>
      <c r="W41" s="276">
        <f t="shared" si="24"/>
        <v>5.2</v>
      </c>
      <c r="X41" s="276">
        <f t="shared" si="24"/>
        <v>5.34</v>
      </c>
      <c r="Y41" s="276">
        <f t="shared" si="24"/>
        <v>5.46</v>
      </c>
    </row>
    <row r="42" spans="1:25" ht="12.75" customHeight="1">
      <c r="A42" s="245" t="s">
        <v>5</v>
      </c>
      <c r="B42" s="246">
        <v>2</v>
      </c>
      <c r="C42" s="246">
        <v>3</v>
      </c>
      <c r="D42" s="247">
        <v>4</v>
      </c>
      <c r="E42" s="248">
        <v>5</v>
      </c>
      <c r="F42" s="246">
        <v>6</v>
      </c>
      <c r="G42" s="246">
        <v>7</v>
      </c>
      <c r="H42" s="247">
        <v>8</v>
      </c>
      <c r="J42" s="279"/>
    </row>
    <row r="43" spans="1:25" ht="12.75" customHeight="1">
      <c r="A43" s="251" t="s">
        <v>109</v>
      </c>
      <c r="B43" s="280">
        <f t="shared" ref="B43:H43" si="25">B16+GroundEconDiscount</f>
        <v>0.64</v>
      </c>
      <c r="C43" s="280">
        <f t="shared" si="25"/>
        <v>0.64</v>
      </c>
      <c r="D43" s="280">
        <f t="shared" si="25"/>
        <v>0.64</v>
      </c>
      <c r="E43" s="280">
        <f t="shared" si="25"/>
        <v>0.64</v>
      </c>
      <c r="F43" s="280">
        <f t="shared" si="25"/>
        <v>0.64</v>
      </c>
      <c r="G43" s="280">
        <f t="shared" si="25"/>
        <v>0.66</v>
      </c>
      <c r="H43" s="280">
        <f t="shared" si="25"/>
        <v>0.66</v>
      </c>
      <c r="O43" s="137"/>
    </row>
    <row r="44" spans="1:25" ht="12.75" customHeight="1">
      <c r="A44" s="254">
        <v>2</v>
      </c>
      <c r="B44" s="280">
        <f t="shared" ref="B44:H44" si="26">B17+GroundEconDiscount</f>
        <v>0.64</v>
      </c>
      <c r="C44" s="280">
        <f t="shared" si="26"/>
        <v>0.64</v>
      </c>
      <c r="D44" s="280">
        <f t="shared" si="26"/>
        <v>0.64</v>
      </c>
      <c r="E44" s="280">
        <f t="shared" si="26"/>
        <v>0.64</v>
      </c>
      <c r="F44" s="280">
        <f t="shared" si="26"/>
        <v>0.64</v>
      </c>
      <c r="G44" s="280">
        <f t="shared" si="26"/>
        <v>0.66</v>
      </c>
      <c r="H44" s="280">
        <f t="shared" si="26"/>
        <v>0.66</v>
      </c>
    </row>
    <row r="45" spans="1:25" ht="12.75" customHeight="1">
      <c r="A45" s="257">
        <v>3</v>
      </c>
      <c r="B45" s="280">
        <f t="shared" ref="B45:H45" si="27">B18+GroundEconDiscount</f>
        <v>0.69000000000000006</v>
      </c>
      <c r="C45" s="280">
        <f t="shared" si="27"/>
        <v>0.69000000000000006</v>
      </c>
      <c r="D45" s="280">
        <f t="shared" si="27"/>
        <v>0.69000000000000006</v>
      </c>
      <c r="E45" s="280">
        <f t="shared" si="27"/>
        <v>0.72</v>
      </c>
      <c r="F45" s="280">
        <f t="shared" si="27"/>
        <v>0.74</v>
      </c>
      <c r="G45" s="280">
        <f t="shared" si="27"/>
        <v>0.75</v>
      </c>
      <c r="H45" s="280">
        <f t="shared" si="27"/>
        <v>0.75</v>
      </c>
    </row>
    <row r="46" spans="1:25" ht="12.75" customHeight="1">
      <c r="A46" s="257">
        <v>4</v>
      </c>
      <c r="B46" s="280">
        <f t="shared" ref="B46:H46" si="28">B19+GroundEconDiscount</f>
        <v>0.69000000000000006</v>
      </c>
      <c r="C46" s="280">
        <f t="shared" si="28"/>
        <v>0.69000000000000006</v>
      </c>
      <c r="D46" s="280">
        <f t="shared" si="28"/>
        <v>0.69000000000000006</v>
      </c>
      <c r="E46" s="280">
        <f t="shared" si="28"/>
        <v>0.72</v>
      </c>
      <c r="F46" s="280">
        <f t="shared" si="28"/>
        <v>0.74</v>
      </c>
      <c r="G46" s="280">
        <f t="shared" si="28"/>
        <v>0.75</v>
      </c>
      <c r="H46" s="280">
        <f t="shared" si="28"/>
        <v>0.75</v>
      </c>
    </row>
    <row r="47" spans="1:25" ht="12.75" customHeight="1">
      <c r="A47" s="260">
        <v>5</v>
      </c>
      <c r="B47" s="280">
        <f t="shared" ref="B47:H47" si="29">B20+GroundEconDiscount</f>
        <v>0.69000000000000006</v>
      </c>
      <c r="C47" s="280">
        <f t="shared" si="29"/>
        <v>0.69000000000000006</v>
      </c>
      <c r="D47" s="280">
        <f t="shared" si="29"/>
        <v>0.69000000000000006</v>
      </c>
      <c r="E47" s="280">
        <f t="shared" si="29"/>
        <v>0.72</v>
      </c>
      <c r="F47" s="280">
        <f t="shared" si="29"/>
        <v>0.74</v>
      </c>
      <c r="G47" s="280">
        <f t="shared" si="29"/>
        <v>0.75</v>
      </c>
      <c r="H47" s="280">
        <f t="shared" si="29"/>
        <v>0.75</v>
      </c>
    </row>
    <row r="48" spans="1:25" ht="12.75" customHeight="1">
      <c r="A48" s="263">
        <v>6</v>
      </c>
      <c r="B48" s="280">
        <f t="shared" ref="B48:H48" si="30">B21+GroundEconDiscount</f>
        <v>0.69000000000000006</v>
      </c>
      <c r="C48" s="280">
        <f t="shared" si="30"/>
        <v>0.69000000000000006</v>
      </c>
      <c r="D48" s="280">
        <f t="shared" si="30"/>
        <v>0.69000000000000006</v>
      </c>
      <c r="E48" s="280">
        <f t="shared" si="30"/>
        <v>0.72</v>
      </c>
      <c r="F48" s="280">
        <f t="shared" si="30"/>
        <v>0.74</v>
      </c>
      <c r="G48" s="280">
        <f t="shared" si="30"/>
        <v>0.75</v>
      </c>
      <c r="H48" s="280">
        <f t="shared" si="30"/>
        <v>0.75</v>
      </c>
    </row>
    <row r="49" spans="1:8" ht="12.75" customHeight="1">
      <c r="A49" s="266">
        <v>7</v>
      </c>
      <c r="B49" s="280">
        <f t="shared" ref="B49:H49" si="31">B22+GroundEconDiscount</f>
        <v>0.69000000000000006</v>
      </c>
      <c r="C49" s="280">
        <f t="shared" si="31"/>
        <v>0.69000000000000006</v>
      </c>
      <c r="D49" s="280">
        <f t="shared" si="31"/>
        <v>0.64</v>
      </c>
      <c r="E49" s="280">
        <f t="shared" si="31"/>
        <v>0.72</v>
      </c>
      <c r="F49" s="280">
        <f t="shared" si="31"/>
        <v>0.75</v>
      </c>
      <c r="G49" s="280">
        <f t="shared" si="31"/>
        <v>0.77</v>
      </c>
      <c r="H49" s="280">
        <f t="shared" si="31"/>
        <v>0.78</v>
      </c>
    </row>
    <row r="50" spans="1:8" ht="12.75" customHeight="1">
      <c r="A50" s="266">
        <v>8</v>
      </c>
      <c r="B50" s="280">
        <f t="shared" ref="B50:H50" si="32">B23+GroundEconDiscount</f>
        <v>0.69000000000000006</v>
      </c>
      <c r="C50" s="280">
        <f t="shared" si="32"/>
        <v>0.69000000000000006</v>
      </c>
      <c r="D50" s="280">
        <f t="shared" si="32"/>
        <v>0.64</v>
      </c>
      <c r="E50" s="280">
        <f t="shared" si="32"/>
        <v>0.72</v>
      </c>
      <c r="F50" s="280">
        <f t="shared" si="32"/>
        <v>0.75</v>
      </c>
      <c r="G50" s="280">
        <f t="shared" si="32"/>
        <v>0.77</v>
      </c>
      <c r="H50" s="280">
        <f t="shared" si="32"/>
        <v>0.78</v>
      </c>
    </row>
    <row r="51" spans="1:8" ht="12.75" customHeight="1">
      <c r="A51" s="266">
        <v>9</v>
      </c>
      <c r="B51" s="280">
        <f t="shared" ref="B51:H51" si="33">B24+GroundEconDiscount</f>
        <v>0.69000000000000006</v>
      </c>
      <c r="C51" s="280">
        <f t="shared" si="33"/>
        <v>0.69000000000000006</v>
      </c>
      <c r="D51" s="280">
        <f t="shared" si="33"/>
        <v>0.64</v>
      </c>
      <c r="E51" s="280">
        <f t="shared" si="33"/>
        <v>0.72</v>
      </c>
      <c r="F51" s="280">
        <f t="shared" si="33"/>
        <v>0.75</v>
      </c>
      <c r="G51" s="280">
        <f t="shared" si="33"/>
        <v>0.77</v>
      </c>
      <c r="H51" s="280">
        <f t="shared" si="33"/>
        <v>0.78</v>
      </c>
    </row>
    <row r="52" spans="1:8" ht="12.75" customHeight="1"/>
    <row r="53" spans="1:8" ht="12.75" customHeight="1"/>
    <row r="54" spans="1:8" ht="12.75" customHeight="1">
      <c r="A54" s="60" t="s">
        <v>117</v>
      </c>
    </row>
    <row r="55" spans="1:8" ht="12.75" customHeight="1">
      <c r="A55" s="245" t="s">
        <v>5</v>
      </c>
      <c r="B55" s="246">
        <v>2</v>
      </c>
      <c r="C55" s="246">
        <v>3</v>
      </c>
      <c r="D55" s="247">
        <v>4</v>
      </c>
      <c r="E55" s="248">
        <v>5</v>
      </c>
      <c r="F55" s="246">
        <v>6</v>
      </c>
      <c r="G55" s="246">
        <v>7</v>
      </c>
      <c r="H55" s="247">
        <v>8</v>
      </c>
    </row>
    <row r="56" spans="1:8" ht="12.75" customHeight="1">
      <c r="A56" s="251" t="s">
        <v>109</v>
      </c>
      <c r="B56" s="280">
        <f t="shared" ref="B56:H56" si="34">B30-B43</f>
        <v>-0.36894078398665558</v>
      </c>
      <c r="C56" s="280">
        <f t="shared" si="34"/>
        <v>-0.3558067158067158</v>
      </c>
      <c r="D56" s="280">
        <f t="shared" si="34"/>
        <v>-0.2991251885369533</v>
      </c>
      <c r="E56" s="280">
        <f t="shared" si="34"/>
        <v>-0.26428571428571429</v>
      </c>
      <c r="F56" s="280">
        <f t="shared" si="34"/>
        <v>-0.24400829302004146</v>
      </c>
      <c r="G56" s="280">
        <f t="shared" si="34"/>
        <v>-0.252542372881356</v>
      </c>
      <c r="H56" s="280">
        <f t="shared" si="34"/>
        <v>-0.24227848101265831</v>
      </c>
    </row>
    <row r="57" spans="1:8" ht="12.75" customHeight="1">
      <c r="A57" s="254">
        <v>2</v>
      </c>
      <c r="B57" s="280">
        <f t="shared" ref="B57:H57" si="35">B31-B44</f>
        <v>-0.32388106416275436</v>
      </c>
      <c r="C57" s="280">
        <f t="shared" si="35"/>
        <v>-0.26029808374733859</v>
      </c>
      <c r="D57" s="280">
        <f t="shared" si="35"/>
        <v>-0.21012393998695372</v>
      </c>
      <c r="E57" s="280">
        <f t="shared" si="35"/>
        <v>-0.19810983397190296</v>
      </c>
      <c r="F57" s="280">
        <f t="shared" si="35"/>
        <v>-0.17488372093023258</v>
      </c>
      <c r="G57" s="280">
        <f t="shared" si="35"/>
        <v>-0.1717096018735364</v>
      </c>
      <c r="H57" s="280">
        <f t="shared" si="35"/>
        <v>-0.16316637881404722</v>
      </c>
    </row>
    <row r="58" spans="1:8" ht="12.75" customHeight="1">
      <c r="A58" s="257">
        <v>3</v>
      </c>
      <c r="B58" s="280">
        <f t="shared" ref="B58:H58" si="36">B32-B45</f>
        <v>-0.3471428571428572</v>
      </c>
      <c r="C58" s="280">
        <f t="shared" si="36"/>
        <v>-0.27894878706199466</v>
      </c>
      <c r="D58" s="280">
        <f t="shared" si="36"/>
        <v>-0.23659161976235155</v>
      </c>
      <c r="E58" s="280">
        <f t="shared" si="36"/>
        <v>-0.23992861392028558</v>
      </c>
      <c r="F58" s="280">
        <f t="shared" si="36"/>
        <v>-0.23971412235563183</v>
      </c>
      <c r="G58" s="280">
        <f t="shared" si="36"/>
        <v>-0.22995606809445357</v>
      </c>
      <c r="H58" s="280">
        <f t="shared" si="36"/>
        <v>-0.207352171637886</v>
      </c>
    </row>
    <row r="59" spans="1:8" ht="12.75" customHeight="1">
      <c r="A59" s="257">
        <v>4</v>
      </c>
      <c r="B59" s="280">
        <f t="shared" ref="B59:H59" si="37">B33-B46</f>
        <v>-0.32842220598977367</v>
      </c>
      <c r="C59" s="280">
        <f t="shared" si="37"/>
        <v>-0.27539852645679846</v>
      </c>
      <c r="D59" s="280">
        <f t="shared" si="37"/>
        <v>-0.21492492492492504</v>
      </c>
      <c r="E59" s="280">
        <f t="shared" si="37"/>
        <v>-0.2129498025944726</v>
      </c>
      <c r="F59" s="280">
        <f t="shared" si="37"/>
        <v>-0.21969264544456646</v>
      </c>
      <c r="G59" s="280">
        <f t="shared" si="37"/>
        <v>-0.1968302658486708</v>
      </c>
      <c r="H59" s="280">
        <f t="shared" si="37"/>
        <v>-0.1767578125</v>
      </c>
    </row>
    <row r="60" spans="1:8" ht="12.75" customHeight="1">
      <c r="A60" s="260">
        <v>5</v>
      </c>
      <c r="B60" s="280">
        <f t="shared" ref="B60:H60" si="38">B34-B47</f>
        <v>-0.31162162162162166</v>
      </c>
      <c r="C60" s="280">
        <f t="shared" si="38"/>
        <v>-0.24953905249679909</v>
      </c>
      <c r="D60" s="280">
        <f t="shared" si="38"/>
        <v>-0.20230949589683483</v>
      </c>
      <c r="E60" s="280">
        <f t="shared" si="38"/>
        <v>-0.19166756610901237</v>
      </c>
      <c r="F60" s="280">
        <f t="shared" si="38"/>
        <v>-0.19379023883696778</v>
      </c>
      <c r="G60" s="280">
        <f t="shared" si="38"/>
        <v>-0.1769662921348315</v>
      </c>
      <c r="H60" s="280">
        <f t="shared" si="38"/>
        <v>-0.1529506685108345</v>
      </c>
    </row>
    <row r="61" spans="1:8" ht="12.75" customHeight="1">
      <c r="A61" s="263">
        <v>6</v>
      </c>
      <c r="B61" s="280">
        <f t="shared" ref="B61:H61" si="39">B35-B48</f>
        <v>-0.30679604798870863</v>
      </c>
      <c r="C61" s="280">
        <f t="shared" si="39"/>
        <v>-0.24775366943203581</v>
      </c>
      <c r="D61" s="280">
        <f t="shared" si="39"/>
        <v>-0.19725478816018577</v>
      </c>
      <c r="E61" s="280">
        <f t="shared" si="39"/>
        <v>-0.1898924731182795</v>
      </c>
      <c r="F61" s="280">
        <f t="shared" si="39"/>
        <v>-0.19308449974079833</v>
      </c>
      <c r="G61" s="280">
        <f t="shared" si="39"/>
        <v>-0.1767578125</v>
      </c>
      <c r="H61" s="280">
        <f t="shared" si="39"/>
        <v>-0.15276497695852542</v>
      </c>
    </row>
    <row r="62" spans="1:8" ht="12.75" customHeight="1">
      <c r="A62" s="266">
        <v>7</v>
      </c>
      <c r="B62" s="280">
        <f t="shared" ref="B62:H62" si="40">B36-B49</f>
        <v>-0.27383433533734142</v>
      </c>
      <c r="C62" s="280">
        <f t="shared" si="40"/>
        <v>-0.23522769806612603</v>
      </c>
      <c r="D62" s="280">
        <f t="shared" si="40"/>
        <v>-0.13434389140271497</v>
      </c>
      <c r="E62" s="280">
        <f t="shared" si="40"/>
        <v>-0.17544554455445538</v>
      </c>
      <c r="F62" s="280">
        <f t="shared" si="40"/>
        <v>-0.19523688232297509</v>
      </c>
      <c r="G62" s="280">
        <f t="shared" si="40"/>
        <v>-0.18559676652401336</v>
      </c>
      <c r="H62" s="280">
        <f t="shared" si="40"/>
        <v>-0.16827187916481567</v>
      </c>
    </row>
    <row r="63" spans="1:8" ht="12.75" customHeight="1">
      <c r="A63" s="266">
        <v>8</v>
      </c>
      <c r="B63" s="280">
        <f t="shared" ref="B63:H63" si="41">B37-B50</f>
        <v>-0.25753246753246761</v>
      </c>
      <c r="C63" s="280">
        <f t="shared" si="41"/>
        <v>-0.21618904274533424</v>
      </c>
      <c r="D63" s="280">
        <f t="shared" si="41"/>
        <v>-0.11785675232367421</v>
      </c>
      <c r="E63" s="280">
        <f t="shared" si="41"/>
        <v>-0.16275582573454916</v>
      </c>
      <c r="F63" s="280">
        <f t="shared" si="41"/>
        <v>-0.17801175318315376</v>
      </c>
      <c r="G63" s="280">
        <f t="shared" si="41"/>
        <v>-0.16945155393053024</v>
      </c>
      <c r="H63" s="280">
        <f t="shared" si="41"/>
        <v>-0.15191489361702126</v>
      </c>
    </row>
    <row r="64" spans="1:8" ht="12.75" customHeight="1">
      <c r="A64" s="266">
        <v>9</v>
      </c>
      <c r="B64" s="280">
        <f t="shared" ref="B64:H64" si="42">B38-B51</f>
        <v>-0.24882352941176478</v>
      </c>
      <c r="C64" s="280">
        <f t="shared" si="42"/>
        <v>-0.20900237529691218</v>
      </c>
      <c r="D64" s="280">
        <f t="shared" si="42"/>
        <v>-0.11551686615886836</v>
      </c>
      <c r="E64" s="280">
        <f t="shared" si="42"/>
        <v>-0.15897538925163235</v>
      </c>
      <c r="F64" s="280">
        <f t="shared" si="42"/>
        <v>-0.16898370086289549</v>
      </c>
      <c r="G64" s="280">
        <f t="shared" si="42"/>
        <v>-0.15350153576129888</v>
      </c>
      <c r="H64" s="280">
        <f t="shared" si="42"/>
        <v>-0.13313131313131321</v>
      </c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4:C14"/>
  </mergeCell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1000"/>
  <sheetViews>
    <sheetView workbookViewId="0">
      <selection activeCell="A3" sqref="A3"/>
    </sheetView>
  </sheetViews>
  <sheetFormatPr defaultColWidth="12.5703125" defaultRowHeight="15" customHeight="1"/>
  <cols>
    <col min="1" max="1" width="17.28515625" customWidth="1"/>
    <col min="2" max="13" width="8.5703125" customWidth="1"/>
    <col min="14" max="14" width="13.5703125" customWidth="1"/>
    <col min="15" max="38" width="8.5703125" customWidth="1"/>
  </cols>
  <sheetData>
    <row r="1" spans="1:38" ht="12.75" customHeight="1">
      <c r="A1" s="137" t="s">
        <v>118</v>
      </c>
      <c r="B1" s="137" t="s">
        <v>119</v>
      </c>
      <c r="C1" s="86">
        <v>2</v>
      </c>
      <c r="D1" s="86">
        <v>3</v>
      </c>
      <c r="E1" s="86">
        <v>4</v>
      </c>
      <c r="F1" s="86">
        <v>5</v>
      </c>
      <c r="G1" s="86">
        <v>6</v>
      </c>
      <c r="H1" s="86">
        <v>7</v>
      </c>
      <c r="I1" s="86">
        <v>8</v>
      </c>
      <c r="J1" s="86">
        <v>11</v>
      </c>
      <c r="K1" s="86">
        <v>12</v>
      </c>
      <c r="L1" s="86">
        <v>13</v>
      </c>
      <c r="N1" s="137" t="s">
        <v>120</v>
      </c>
      <c r="O1" s="86" t="s">
        <v>121</v>
      </c>
      <c r="P1" s="86">
        <v>2</v>
      </c>
      <c r="Q1" s="86">
        <v>3</v>
      </c>
      <c r="R1" s="86">
        <v>4</v>
      </c>
      <c r="S1" s="86">
        <v>5</v>
      </c>
      <c r="T1" s="86">
        <v>6</v>
      </c>
      <c r="U1" s="86">
        <v>7</v>
      </c>
      <c r="V1" s="86">
        <v>8</v>
      </c>
      <c r="W1" s="86">
        <v>11</v>
      </c>
      <c r="X1" s="86">
        <v>12</v>
      </c>
      <c r="Y1" s="86">
        <v>13</v>
      </c>
      <c r="AA1" s="137" t="s">
        <v>122</v>
      </c>
      <c r="AB1" s="86" t="s">
        <v>121</v>
      </c>
      <c r="AC1" s="86">
        <v>2</v>
      </c>
      <c r="AD1" s="86">
        <v>3</v>
      </c>
      <c r="AE1" s="86">
        <v>4</v>
      </c>
      <c r="AF1" s="86">
        <v>5</v>
      </c>
      <c r="AG1" s="86">
        <v>6</v>
      </c>
      <c r="AH1" s="86">
        <v>7</v>
      </c>
      <c r="AI1" s="86">
        <v>8</v>
      </c>
      <c r="AJ1" s="86">
        <v>11</v>
      </c>
      <c r="AK1" s="86">
        <v>12</v>
      </c>
      <c r="AL1" s="86">
        <v>13</v>
      </c>
    </row>
    <row r="2" spans="1:38" ht="12.75" customHeight="1">
      <c r="A2" s="86">
        <v>0.18</v>
      </c>
      <c r="B2" s="249">
        <v>6.25E-2</v>
      </c>
      <c r="C2" s="86">
        <v>4.16</v>
      </c>
      <c r="D2" s="86">
        <v>4.16</v>
      </c>
      <c r="E2" s="86">
        <v>4.16</v>
      </c>
      <c r="F2" s="86">
        <v>4.16</v>
      </c>
      <c r="G2" s="86">
        <v>4.16</v>
      </c>
      <c r="H2" s="86">
        <v>4.16</v>
      </c>
      <c r="I2" s="86">
        <v>4.16</v>
      </c>
      <c r="J2" s="86">
        <v>6.18</v>
      </c>
      <c r="K2" s="86">
        <v>6.18</v>
      </c>
      <c r="L2" s="86">
        <v>6.18</v>
      </c>
      <c r="O2" s="86">
        <v>6.25E-2</v>
      </c>
      <c r="P2" s="86">
        <v>4.34</v>
      </c>
      <c r="Q2" s="86">
        <v>4.34</v>
      </c>
      <c r="R2" s="86">
        <v>4.34</v>
      </c>
      <c r="S2" s="86">
        <v>4.34</v>
      </c>
      <c r="T2" s="86">
        <v>4.34</v>
      </c>
      <c r="U2" s="86">
        <v>4.34</v>
      </c>
      <c r="V2" s="86">
        <v>4.34</v>
      </c>
      <c r="W2" s="86">
        <v>4.34</v>
      </c>
      <c r="X2" s="86">
        <v>4.34</v>
      </c>
      <c r="Y2" s="86">
        <v>4.34</v>
      </c>
      <c r="AB2" s="86">
        <v>6.25E-2</v>
      </c>
      <c r="AC2" s="86">
        <v>4.25</v>
      </c>
      <c r="AD2" s="86">
        <v>4.25</v>
      </c>
      <c r="AE2" s="86">
        <v>4.25</v>
      </c>
      <c r="AF2" s="86">
        <v>4.25</v>
      </c>
      <c r="AG2" s="86">
        <v>4.25</v>
      </c>
      <c r="AH2" s="86">
        <v>4.25</v>
      </c>
      <c r="AI2" s="86">
        <v>4.25</v>
      </c>
      <c r="AJ2" s="86">
        <v>6.18</v>
      </c>
      <c r="AK2" s="86">
        <v>6.18</v>
      </c>
      <c r="AL2" s="86">
        <v>6.18</v>
      </c>
    </row>
    <row r="3" spans="1:38" ht="12.75" customHeight="1">
      <c r="B3" s="249">
        <v>0.125</v>
      </c>
      <c r="C3" s="86">
        <v>4.17</v>
      </c>
      <c r="D3" s="86">
        <v>4.17</v>
      </c>
      <c r="E3" s="86">
        <v>4.17</v>
      </c>
      <c r="F3" s="86">
        <v>4.17</v>
      </c>
      <c r="G3" s="86">
        <v>4.17</v>
      </c>
      <c r="H3" s="86">
        <v>4.18</v>
      </c>
      <c r="I3" s="86">
        <v>4.18</v>
      </c>
      <c r="J3" s="86">
        <v>6.18</v>
      </c>
      <c r="K3" s="86">
        <v>6.18</v>
      </c>
      <c r="L3" s="86">
        <v>6.18</v>
      </c>
      <c r="O3" s="86">
        <v>0.125</v>
      </c>
      <c r="P3" s="86">
        <v>4.3499999999999996</v>
      </c>
      <c r="Q3" s="86">
        <v>4.3499999999999996</v>
      </c>
      <c r="R3" s="86">
        <v>4.3499999999999996</v>
      </c>
      <c r="S3" s="86">
        <v>4.3499999999999996</v>
      </c>
      <c r="T3" s="86">
        <v>4.3499999999999996</v>
      </c>
      <c r="U3" s="86">
        <v>4.3499999999999996</v>
      </c>
      <c r="V3" s="86">
        <v>4.3499999999999996</v>
      </c>
      <c r="W3" s="86">
        <v>4.3499999999999996</v>
      </c>
      <c r="X3" s="86">
        <v>4.3499999999999996</v>
      </c>
      <c r="Y3" s="86">
        <v>4.3499999999999996</v>
      </c>
      <c r="AB3" s="86">
        <v>0.125</v>
      </c>
      <c r="AC3" s="86">
        <v>4.26</v>
      </c>
      <c r="AD3" s="86">
        <v>4.26</v>
      </c>
      <c r="AE3" s="86">
        <v>4.26</v>
      </c>
      <c r="AF3" s="86">
        <v>4.26</v>
      </c>
      <c r="AG3" s="86">
        <v>4.26</v>
      </c>
      <c r="AH3" s="86">
        <v>4.26</v>
      </c>
      <c r="AI3" s="86">
        <v>4.26</v>
      </c>
      <c r="AJ3" s="86">
        <v>6.18</v>
      </c>
      <c r="AK3" s="86">
        <v>6.18</v>
      </c>
      <c r="AL3" s="86">
        <v>6.18</v>
      </c>
    </row>
    <row r="4" spans="1:38" ht="12.75" customHeight="1">
      <c r="B4" s="249">
        <v>0.1875</v>
      </c>
      <c r="C4" s="86">
        <v>4.18</v>
      </c>
      <c r="D4" s="86">
        <v>4.18</v>
      </c>
      <c r="E4" s="86">
        <v>4.18</v>
      </c>
      <c r="F4" s="86">
        <v>4.18</v>
      </c>
      <c r="G4" s="86">
        <v>4.18</v>
      </c>
      <c r="H4" s="86">
        <v>4.21</v>
      </c>
      <c r="I4" s="86">
        <v>4.21</v>
      </c>
      <c r="J4" s="86">
        <v>6.18</v>
      </c>
      <c r="K4" s="86">
        <v>6.18</v>
      </c>
      <c r="L4" s="86">
        <v>6.18</v>
      </c>
      <c r="O4" s="86">
        <v>0.1875</v>
      </c>
      <c r="P4" s="86">
        <v>4.3600000000000003</v>
      </c>
      <c r="Q4" s="86">
        <v>4.3600000000000003</v>
      </c>
      <c r="R4" s="86">
        <v>4.3600000000000003</v>
      </c>
      <c r="S4" s="86">
        <v>4.3600000000000003</v>
      </c>
      <c r="T4" s="86">
        <v>4.3600000000000003</v>
      </c>
      <c r="U4" s="86">
        <v>4.4000000000000004</v>
      </c>
      <c r="V4" s="86">
        <v>4.4000000000000004</v>
      </c>
      <c r="W4" s="86">
        <v>4.4000000000000004</v>
      </c>
      <c r="X4" s="86">
        <v>4.4000000000000004</v>
      </c>
      <c r="Y4" s="86">
        <v>4.4000000000000004</v>
      </c>
      <c r="AB4" s="86">
        <v>0.1875</v>
      </c>
      <c r="AC4" s="86">
        <v>4.2699999999999996</v>
      </c>
      <c r="AD4" s="86">
        <v>4.2699999999999996</v>
      </c>
      <c r="AE4" s="86">
        <v>4.2699999999999996</v>
      </c>
      <c r="AF4" s="86">
        <v>4.2699999999999996</v>
      </c>
      <c r="AG4" s="86">
        <v>4.2699999999999996</v>
      </c>
      <c r="AH4" s="86">
        <v>4.32</v>
      </c>
      <c r="AI4" s="86">
        <v>4.32</v>
      </c>
      <c r="AJ4" s="86">
        <v>6.18</v>
      </c>
      <c r="AK4" s="86">
        <v>6.18</v>
      </c>
      <c r="AL4" s="86">
        <v>6.18</v>
      </c>
    </row>
    <row r="5" spans="1:38" ht="12.75" customHeight="1">
      <c r="B5" s="249">
        <v>0.25</v>
      </c>
      <c r="C5" s="86">
        <v>4.1900000000000004</v>
      </c>
      <c r="D5" s="86">
        <v>4.1900000000000004</v>
      </c>
      <c r="E5" s="86">
        <v>4.1900000000000004</v>
      </c>
      <c r="F5" s="86">
        <v>4.1900000000000004</v>
      </c>
      <c r="G5" s="86">
        <v>4.1900000000000004</v>
      </c>
      <c r="H5" s="86">
        <v>4.25</v>
      </c>
      <c r="I5" s="86">
        <v>4.25</v>
      </c>
      <c r="J5" s="86">
        <v>6.18</v>
      </c>
      <c r="K5" s="86">
        <v>6.18</v>
      </c>
      <c r="L5" s="86">
        <v>6.18</v>
      </c>
      <c r="O5" s="86">
        <v>0.25</v>
      </c>
      <c r="P5" s="86">
        <v>4.37</v>
      </c>
      <c r="Q5" s="86">
        <v>4.37</v>
      </c>
      <c r="R5" s="86">
        <v>4.37</v>
      </c>
      <c r="S5" s="86">
        <v>4.37</v>
      </c>
      <c r="T5" s="86">
        <v>4.43</v>
      </c>
      <c r="U5" s="86">
        <v>4.49</v>
      </c>
      <c r="V5" s="86">
        <v>4.49</v>
      </c>
      <c r="W5" s="86">
        <v>4.49</v>
      </c>
      <c r="X5" s="86">
        <v>4.49</v>
      </c>
      <c r="Y5" s="86">
        <v>4.49</v>
      </c>
      <c r="AB5" s="86">
        <v>0.25</v>
      </c>
      <c r="AC5" s="86">
        <v>4.28</v>
      </c>
      <c r="AD5" s="86">
        <v>4.28</v>
      </c>
      <c r="AE5" s="86">
        <v>4.28</v>
      </c>
      <c r="AF5" s="86">
        <v>4.28</v>
      </c>
      <c r="AG5" s="86">
        <v>4.28</v>
      </c>
      <c r="AH5" s="86">
        <v>4.3899999999999997</v>
      </c>
      <c r="AI5" s="86">
        <v>4.3899999999999997</v>
      </c>
      <c r="AJ5" s="86">
        <v>6.18</v>
      </c>
      <c r="AK5" s="86">
        <v>6.18</v>
      </c>
      <c r="AL5" s="86">
        <v>6.18</v>
      </c>
    </row>
    <row r="6" spans="1:38" ht="12.75" customHeight="1">
      <c r="A6" s="137"/>
      <c r="B6" s="249">
        <v>0.3125</v>
      </c>
      <c r="C6" s="86">
        <v>4.2300000000000004</v>
      </c>
      <c r="D6" s="86">
        <v>4.2300000000000004</v>
      </c>
      <c r="E6" s="86">
        <v>4.2300000000000004</v>
      </c>
      <c r="F6" s="86">
        <v>4.2300000000000004</v>
      </c>
      <c r="G6" s="86">
        <v>4.2300000000000004</v>
      </c>
      <c r="H6" s="86">
        <v>4.3099999999999996</v>
      </c>
      <c r="I6" s="86">
        <v>4.3099999999999996</v>
      </c>
      <c r="J6" s="86">
        <v>6.53</v>
      </c>
      <c r="K6" s="86">
        <v>6.53</v>
      </c>
      <c r="L6" s="86">
        <v>6.53</v>
      </c>
      <c r="O6" s="86">
        <v>0.3125</v>
      </c>
      <c r="P6" s="86">
        <v>4.41</v>
      </c>
      <c r="Q6" s="86">
        <v>4.41</v>
      </c>
      <c r="R6" s="86">
        <v>4.41</v>
      </c>
      <c r="S6" s="86">
        <v>4.41</v>
      </c>
      <c r="T6" s="86">
        <v>4.54</v>
      </c>
      <c r="U6" s="86">
        <v>4.6100000000000003</v>
      </c>
      <c r="V6" s="86">
        <v>4.6100000000000003</v>
      </c>
      <c r="W6" s="86">
        <v>4.6100000000000003</v>
      </c>
      <c r="X6" s="86">
        <v>4.6100000000000003</v>
      </c>
      <c r="Y6" s="86">
        <v>4.6100000000000003</v>
      </c>
      <c r="AB6" s="86">
        <v>0.3125</v>
      </c>
      <c r="AC6" s="86">
        <v>4.32</v>
      </c>
      <c r="AD6" s="86">
        <v>4.32</v>
      </c>
      <c r="AE6" s="86">
        <v>4.32</v>
      </c>
      <c r="AF6" s="86">
        <v>4.32</v>
      </c>
      <c r="AG6" s="86">
        <v>4.32</v>
      </c>
      <c r="AH6" s="86">
        <v>4.49</v>
      </c>
      <c r="AI6" s="86">
        <v>4.49</v>
      </c>
      <c r="AJ6" s="86">
        <v>6.53</v>
      </c>
      <c r="AK6" s="86">
        <v>6.53</v>
      </c>
      <c r="AL6" s="86">
        <v>6.53</v>
      </c>
    </row>
    <row r="7" spans="1:38" ht="12.75" customHeight="1">
      <c r="A7" s="137"/>
      <c r="B7" s="249">
        <v>0.375</v>
      </c>
      <c r="C7" s="86">
        <v>4.24</v>
      </c>
      <c r="D7" s="86">
        <v>4.24</v>
      </c>
      <c r="E7" s="86">
        <v>4.24</v>
      </c>
      <c r="F7" s="86">
        <v>4.25</v>
      </c>
      <c r="G7" s="86">
        <v>4.25</v>
      </c>
      <c r="H7" s="86">
        <v>4.34</v>
      </c>
      <c r="I7" s="86">
        <v>4.34</v>
      </c>
      <c r="J7" s="86">
        <v>6.53</v>
      </c>
      <c r="K7" s="86">
        <v>6.53</v>
      </c>
      <c r="L7" s="86">
        <v>6.53</v>
      </c>
      <c r="O7" s="86">
        <v>0.375</v>
      </c>
      <c r="P7" s="86">
        <v>4.42</v>
      </c>
      <c r="Q7" s="86">
        <v>4.42</v>
      </c>
      <c r="R7" s="86">
        <v>4.42</v>
      </c>
      <c r="S7" s="86">
        <v>4.42</v>
      </c>
      <c r="T7" s="86">
        <v>4.62</v>
      </c>
      <c r="U7" s="86">
        <v>4.7</v>
      </c>
      <c r="V7" s="86">
        <v>4.7</v>
      </c>
      <c r="W7" s="86">
        <v>4.7</v>
      </c>
      <c r="X7" s="86">
        <v>4.7</v>
      </c>
      <c r="Y7" s="86">
        <v>4.7</v>
      </c>
      <c r="AB7" s="86">
        <v>0.375</v>
      </c>
      <c r="AC7" s="86">
        <v>4.33</v>
      </c>
      <c r="AD7" s="86">
        <v>4.33</v>
      </c>
      <c r="AE7" s="86">
        <v>4.33</v>
      </c>
      <c r="AF7" s="86">
        <v>4.34</v>
      </c>
      <c r="AG7" s="86">
        <v>4.34</v>
      </c>
      <c r="AH7" s="86">
        <v>4.5599999999999996</v>
      </c>
      <c r="AI7" s="86">
        <v>4.5599999999999996</v>
      </c>
      <c r="AJ7" s="86">
        <v>6.53</v>
      </c>
      <c r="AK7" s="86">
        <v>6.53</v>
      </c>
      <c r="AL7" s="86">
        <v>6.53</v>
      </c>
    </row>
    <row r="8" spans="1:38" ht="12.75" customHeight="1">
      <c r="A8" s="137"/>
      <c r="B8" s="249">
        <v>0.4375</v>
      </c>
      <c r="C8" s="86">
        <v>4.25</v>
      </c>
      <c r="D8" s="86">
        <v>4.25</v>
      </c>
      <c r="E8" s="86">
        <v>4.25</v>
      </c>
      <c r="F8" s="86">
        <v>4.2699999999999996</v>
      </c>
      <c r="G8" s="86">
        <v>4.2699999999999996</v>
      </c>
      <c r="H8" s="86">
        <v>4.38</v>
      </c>
      <c r="I8" s="86">
        <v>4.38</v>
      </c>
      <c r="J8" s="86">
        <v>6.53</v>
      </c>
      <c r="K8" s="86">
        <v>6.53</v>
      </c>
      <c r="L8" s="86">
        <v>6.53</v>
      </c>
      <c r="O8" s="86">
        <v>0.4375</v>
      </c>
      <c r="P8" s="86">
        <v>4.43</v>
      </c>
      <c r="Q8" s="86">
        <v>4.43</v>
      </c>
      <c r="R8" s="86">
        <v>4.43</v>
      </c>
      <c r="S8" s="86">
        <v>4.43</v>
      </c>
      <c r="T8" s="86">
        <v>4.7</v>
      </c>
      <c r="U8" s="86">
        <v>4.79</v>
      </c>
      <c r="V8" s="86">
        <v>4.79</v>
      </c>
      <c r="W8" s="86">
        <v>4.79</v>
      </c>
      <c r="X8" s="86">
        <v>4.79</v>
      </c>
      <c r="Y8" s="86">
        <v>4.79</v>
      </c>
      <c r="AB8" s="86">
        <v>0.4375</v>
      </c>
      <c r="AC8" s="86">
        <v>4.34</v>
      </c>
      <c r="AD8" s="86">
        <v>4.34</v>
      </c>
      <c r="AE8" s="86">
        <v>4.34</v>
      </c>
      <c r="AF8" s="86">
        <v>4.3600000000000003</v>
      </c>
      <c r="AG8" s="86">
        <v>4.3600000000000003</v>
      </c>
      <c r="AH8" s="86">
        <v>4.63</v>
      </c>
      <c r="AI8" s="86">
        <v>4.63</v>
      </c>
      <c r="AJ8" s="86">
        <v>6.53</v>
      </c>
      <c r="AK8" s="86">
        <v>6.53</v>
      </c>
      <c r="AL8" s="86">
        <v>6.53</v>
      </c>
    </row>
    <row r="9" spans="1:38" ht="12.75" customHeight="1">
      <c r="A9" s="137"/>
      <c r="B9" s="249">
        <v>0.5</v>
      </c>
      <c r="C9" s="86">
        <v>4.2699999999999996</v>
      </c>
      <c r="D9" s="86">
        <v>4.2699999999999996</v>
      </c>
      <c r="E9" s="86">
        <v>4.2699999999999996</v>
      </c>
      <c r="F9" s="86">
        <v>4.3</v>
      </c>
      <c r="G9" s="86">
        <v>4.3</v>
      </c>
      <c r="H9" s="86">
        <v>4.41</v>
      </c>
      <c r="I9" s="86">
        <v>4.41</v>
      </c>
      <c r="J9" s="86">
        <v>6.53</v>
      </c>
      <c r="K9" s="86">
        <v>6.53</v>
      </c>
      <c r="L9" s="86">
        <v>6.53</v>
      </c>
      <c r="O9" s="86">
        <v>0.5</v>
      </c>
      <c r="P9" s="86">
        <v>4.45</v>
      </c>
      <c r="Q9" s="86">
        <v>4.45</v>
      </c>
      <c r="R9" s="86">
        <v>4.45</v>
      </c>
      <c r="S9" s="86">
        <v>4.45</v>
      </c>
      <c r="T9" s="86">
        <v>4.79</v>
      </c>
      <c r="U9" s="86">
        <v>4.88</v>
      </c>
      <c r="V9" s="86">
        <v>4.88</v>
      </c>
      <c r="W9" s="86">
        <v>4.88</v>
      </c>
      <c r="X9" s="86">
        <v>4.88</v>
      </c>
      <c r="Y9" s="86">
        <v>4.88</v>
      </c>
      <c r="AB9" s="86">
        <v>0.5</v>
      </c>
      <c r="AC9" s="86">
        <v>4.3600000000000003</v>
      </c>
      <c r="AD9" s="86">
        <v>4.3600000000000003</v>
      </c>
      <c r="AE9" s="86">
        <v>4.3600000000000003</v>
      </c>
      <c r="AF9" s="86">
        <v>4.3899999999999997</v>
      </c>
      <c r="AG9" s="86">
        <v>4.3899999999999997</v>
      </c>
      <c r="AH9" s="86">
        <v>4.71</v>
      </c>
      <c r="AI9" s="86">
        <v>4.71</v>
      </c>
      <c r="AJ9" s="86">
        <v>6.53</v>
      </c>
      <c r="AK9" s="86">
        <v>6.53</v>
      </c>
      <c r="AL9" s="86">
        <v>6.53</v>
      </c>
    </row>
    <row r="10" spans="1:38" ht="12.75" customHeight="1">
      <c r="A10" s="137"/>
      <c r="B10" s="249">
        <v>0.5625</v>
      </c>
      <c r="C10" s="86">
        <v>4.28</v>
      </c>
      <c r="D10" s="86">
        <v>4.28</v>
      </c>
      <c r="E10" s="86">
        <v>4.28</v>
      </c>
      <c r="F10" s="86">
        <v>4.32</v>
      </c>
      <c r="G10" s="86">
        <v>4.32</v>
      </c>
      <c r="H10" s="86">
        <v>4.45</v>
      </c>
      <c r="I10" s="86">
        <v>4.45</v>
      </c>
      <c r="J10" s="86">
        <v>7.59</v>
      </c>
      <c r="K10" s="86">
        <v>7.59</v>
      </c>
      <c r="L10" s="86">
        <v>7.59</v>
      </c>
      <c r="O10" s="86">
        <v>0.5625</v>
      </c>
      <c r="P10" s="86">
        <v>4.46</v>
      </c>
      <c r="Q10" s="86">
        <v>4.46</v>
      </c>
      <c r="R10" s="86">
        <v>4.46</v>
      </c>
      <c r="S10" s="86">
        <v>4.47</v>
      </c>
      <c r="T10" s="86">
        <v>4.87</v>
      </c>
      <c r="U10" s="86">
        <v>4.97</v>
      </c>
      <c r="V10" s="86">
        <v>4.97</v>
      </c>
      <c r="W10" s="86">
        <v>4.97</v>
      </c>
      <c r="X10" s="86">
        <v>4.97</v>
      </c>
      <c r="Y10" s="86">
        <v>4.97</v>
      </c>
      <c r="AB10" s="86">
        <v>0.5625</v>
      </c>
      <c r="AC10" s="86">
        <v>4.37</v>
      </c>
      <c r="AD10" s="86">
        <v>4.37</v>
      </c>
      <c r="AE10" s="86">
        <v>4.37</v>
      </c>
      <c r="AF10" s="86">
        <v>4.41</v>
      </c>
      <c r="AG10" s="86">
        <v>4.41</v>
      </c>
      <c r="AH10" s="86">
        <v>4.78</v>
      </c>
      <c r="AI10" s="86">
        <v>4.78</v>
      </c>
      <c r="AJ10" s="86">
        <v>7.59</v>
      </c>
      <c r="AK10" s="86">
        <v>7.59</v>
      </c>
      <c r="AL10" s="86">
        <v>7.59</v>
      </c>
    </row>
    <row r="11" spans="1:38" ht="12.75" customHeight="1">
      <c r="A11" s="137"/>
      <c r="B11" s="249">
        <v>0.625</v>
      </c>
      <c r="C11" s="86">
        <v>4.29</v>
      </c>
      <c r="D11" s="86">
        <v>4.29</v>
      </c>
      <c r="E11" s="86">
        <v>4.29</v>
      </c>
      <c r="F11" s="86">
        <v>4.34</v>
      </c>
      <c r="G11" s="86">
        <v>4.34</v>
      </c>
      <c r="H11" s="86">
        <v>4.4800000000000004</v>
      </c>
      <c r="I11" s="86">
        <v>4.4800000000000004</v>
      </c>
      <c r="J11" s="86">
        <v>7.59</v>
      </c>
      <c r="K11" s="86">
        <v>7.59</v>
      </c>
      <c r="L11" s="86">
        <v>7.59</v>
      </c>
      <c r="O11" s="86">
        <v>0.625</v>
      </c>
      <c r="P11" s="86">
        <v>4.47</v>
      </c>
      <c r="Q11" s="86">
        <v>4.47</v>
      </c>
      <c r="R11" s="86">
        <v>4.47</v>
      </c>
      <c r="S11" s="86">
        <v>4.51</v>
      </c>
      <c r="T11" s="86">
        <v>4.95</v>
      </c>
      <c r="U11" s="86">
        <v>5.07</v>
      </c>
      <c r="V11" s="86">
        <v>5.07</v>
      </c>
      <c r="W11" s="86">
        <v>5.07</v>
      </c>
      <c r="X11" s="86">
        <v>5.07</v>
      </c>
      <c r="Y11" s="86">
        <v>5.07</v>
      </c>
      <c r="AB11" s="86">
        <v>0.625</v>
      </c>
      <c r="AC11" s="86">
        <v>4.38</v>
      </c>
      <c r="AD11" s="86">
        <v>4.38</v>
      </c>
      <c r="AE11" s="86">
        <v>4.38</v>
      </c>
      <c r="AF11" s="86">
        <v>4.43</v>
      </c>
      <c r="AG11" s="86">
        <v>4.43</v>
      </c>
      <c r="AH11" s="86">
        <v>4.8499999999999996</v>
      </c>
      <c r="AI11" s="86">
        <v>4.8499999999999996</v>
      </c>
      <c r="AJ11" s="86">
        <v>7.59</v>
      </c>
      <c r="AK11" s="86">
        <v>7.59</v>
      </c>
      <c r="AL11" s="86">
        <v>7.59</v>
      </c>
    </row>
    <row r="12" spans="1:38" ht="12.75" customHeight="1">
      <c r="A12" s="137"/>
      <c r="B12" s="249">
        <v>0.6875</v>
      </c>
      <c r="C12" s="86">
        <v>4.3</v>
      </c>
      <c r="D12" s="86">
        <v>4.3</v>
      </c>
      <c r="E12" s="86">
        <v>4.3</v>
      </c>
      <c r="F12" s="86">
        <v>4.3600000000000003</v>
      </c>
      <c r="G12" s="86">
        <v>4.3600000000000003</v>
      </c>
      <c r="H12" s="86">
        <v>4.5199999999999996</v>
      </c>
      <c r="I12" s="86">
        <v>4.5199999999999996</v>
      </c>
      <c r="J12" s="86">
        <v>7.59</v>
      </c>
      <c r="K12" s="86">
        <v>7.59</v>
      </c>
      <c r="L12" s="86">
        <v>7.59</v>
      </c>
      <c r="O12" s="86">
        <v>0.6875</v>
      </c>
      <c r="P12" s="86">
        <v>4.4800000000000004</v>
      </c>
      <c r="Q12" s="86">
        <v>4.4800000000000004</v>
      </c>
      <c r="R12" s="86">
        <v>4.4800000000000004</v>
      </c>
      <c r="S12" s="86">
        <v>4.55</v>
      </c>
      <c r="T12" s="86">
        <v>5.04</v>
      </c>
      <c r="U12" s="86">
        <v>5.16</v>
      </c>
      <c r="V12" s="86">
        <v>5.16</v>
      </c>
      <c r="W12" s="86">
        <v>5.16</v>
      </c>
      <c r="X12" s="86">
        <v>5.16</v>
      </c>
      <c r="Y12" s="86">
        <v>5.16</v>
      </c>
      <c r="AB12" s="86">
        <v>0.6875</v>
      </c>
      <c r="AC12" s="86">
        <v>4.3899999999999997</v>
      </c>
      <c r="AD12" s="86">
        <v>4.3899999999999997</v>
      </c>
      <c r="AE12" s="86">
        <v>4.3899999999999997</v>
      </c>
      <c r="AF12" s="86">
        <v>4.45</v>
      </c>
      <c r="AG12" s="86">
        <v>4.45</v>
      </c>
      <c r="AH12" s="86">
        <v>4.92</v>
      </c>
      <c r="AI12" s="86">
        <v>4.93</v>
      </c>
      <c r="AJ12" s="86">
        <v>7.59</v>
      </c>
      <c r="AK12" s="86">
        <v>7.59</v>
      </c>
      <c r="AL12" s="86">
        <v>7.59</v>
      </c>
    </row>
    <row r="13" spans="1:38" ht="12.75" customHeight="1">
      <c r="A13" s="137"/>
      <c r="B13" s="249">
        <v>0.75</v>
      </c>
      <c r="C13" s="86">
        <v>4.3099999999999996</v>
      </c>
      <c r="D13" s="86">
        <v>4.3099999999999996</v>
      </c>
      <c r="E13" s="86">
        <v>4.3099999999999996</v>
      </c>
      <c r="F13" s="86">
        <v>4.38</v>
      </c>
      <c r="G13" s="86">
        <v>4.38</v>
      </c>
      <c r="H13" s="86">
        <v>4.5599999999999996</v>
      </c>
      <c r="I13" s="86">
        <v>4.5599999999999996</v>
      </c>
      <c r="J13" s="86">
        <v>7.59</v>
      </c>
      <c r="K13" s="86">
        <v>7.59</v>
      </c>
      <c r="L13" s="86">
        <v>7.59</v>
      </c>
      <c r="O13" s="86">
        <v>0.75</v>
      </c>
      <c r="P13" s="86">
        <v>4.49</v>
      </c>
      <c r="Q13" s="86">
        <v>4.49</v>
      </c>
      <c r="R13" s="86">
        <v>4.49</v>
      </c>
      <c r="S13" s="86">
        <v>4.58</v>
      </c>
      <c r="T13" s="86">
        <v>5.12</v>
      </c>
      <c r="U13" s="86">
        <v>5.25</v>
      </c>
      <c r="V13" s="86">
        <v>5.25</v>
      </c>
      <c r="W13" s="86">
        <v>5.25</v>
      </c>
      <c r="X13" s="86">
        <v>5.25</v>
      </c>
      <c r="Y13" s="86">
        <v>5.25</v>
      </c>
      <c r="AB13" s="86">
        <v>0.75</v>
      </c>
      <c r="AC13" s="86">
        <v>4.4000000000000004</v>
      </c>
      <c r="AD13" s="86">
        <v>4.4000000000000004</v>
      </c>
      <c r="AE13" s="86">
        <v>4.4000000000000004</v>
      </c>
      <c r="AF13" s="86">
        <v>4.47</v>
      </c>
      <c r="AG13" s="86">
        <v>4.47</v>
      </c>
      <c r="AH13" s="86">
        <v>5</v>
      </c>
      <c r="AI13" s="86">
        <v>5</v>
      </c>
      <c r="AJ13" s="86">
        <v>7.59</v>
      </c>
      <c r="AK13" s="86">
        <v>7.59</v>
      </c>
      <c r="AL13" s="86">
        <v>7.59</v>
      </c>
    </row>
    <row r="14" spans="1:38" ht="12.75" customHeight="1">
      <c r="A14" s="137"/>
      <c r="B14" s="249">
        <v>0.8125</v>
      </c>
      <c r="C14" s="86">
        <v>4.33</v>
      </c>
      <c r="D14" s="86">
        <v>4.33</v>
      </c>
      <c r="E14" s="86">
        <v>4.33</v>
      </c>
      <c r="F14" s="86">
        <v>4.4000000000000004</v>
      </c>
      <c r="G14" s="86">
        <v>4.4000000000000004</v>
      </c>
      <c r="H14" s="86">
        <v>4.59</v>
      </c>
      <c r="I14" s="86">
        <v>4.59</v>
      </c>
      <c r="J14" s="86">
        <v>8.73</v>
      </c>
      <c r="K14" s="86">
        <v>8.73</v>
      </c>
      <c r="L14" s="86">
        <v>8.73</v>
      </c>
      <c r="O14" s="86">
        <v>0.8125</v>
      </c>
      <c r="P14" s="86">
        <v>4.51</v>
      </c>
      <c r="Q14" s="86">
        <v>4.51</v>
      </c>
      <c r="R14" s="86">
        <v>4.51</v>
      </c>
      <c r="S14" s="86">
        <v>4.62</v>
      </c>
      <c r="T14" s="86">
        <v>5.2</v>
      </c>
      <c r="U14" s="86">
        <v>5.34</v>
      </c>
      <c r="V14" s="86">
        <v>5.34</v>
      </c>
      <c r="W14" s="86">
        <v>5.34</v>
      </c>
      <c r="X14" s="86">
        <v>5.34</v>
      </c>
      <c r="Y14" s="86">
        <v>5.34</v>
      </c>
      <c r="AB14" s="86">
        <v>0.8125</v>
      </c>
      <c r="AC14" s="86">
        <v>4.42</v>
      </c>
      <c r="AD14" s="86">
        <v>4.42</v>
      </c>
      <c r="AE14" s="86">
        <v>4.42</v>
      </c>
      <c r="AF14" s="86">
        <v>4.49</v>
      </c>
      <c r="AG14" s="86">
        <v>4.49</v>
      </c>
      <c r="AH14" s="86">
        <v>5.07</v>
      </c>
      <c r="AI14" s="86">
        <v>5.08</v>
      </c>
      <c r="AJ14" s="86">
        <v>8.73</v>
      </c>
      <c r="AK14" s="86">
        <v>8.73</v>
      </c>
      <c r="AL14" s="86">
        <v>8.73</v>
      </c>
    </row>
    <row r="15" spans="1:38" ht="12.75" customHeight="1">
      <c r="A15" s="137"/>
      <c r="B15" s="249">
        <v>0.875</v>
      </c>
      <c r="C15" s="86">
        <v>4.34</v>
      </c>
      <c r="D15" s="86">
        <v>4.34</v>
      </c>
      <c r="E15" s="86">
        <v>4.34</v>
      </c>
      <c r="F15" s="86">
        <v>4.43</v>
      </c>
      <c r="G15" s="86">
        <v>4.43</v>
      </c>
      <c r="H15" s="86">
        <v>4.63</v>
      </c>
      <c r="I15" s="86">
        <v>4.63</v>
      </c>
      <c r="J15" s="86">
        <v>8.73</v>
      </c>
      <c r="K15" s="86">
        <v>8.73</v>
      </c>
      <c r="L15" s="86">
        <v>8.73</v>
      </c>
      <c r="O15" s="86">
        <v>0.875</v>
      </c>
      <c r="P15" s="86">
        <v>4.5199999999999996</v>
      </c>
      <c r="Q15" s="86">
        <v>4.5199999999999996</v>
      </c>
      <c r="R15" s="86">
        <v>4.5199999999999996</v>
      </c>
      <c r="S15" s="86">
        <v>4.66</v>
      </c>
      <c r="T15" s="86">
        <v>5.29</v>
      </c>
      <c r="U15" s="86">
        <v>5.43</v>
      </c>
      <c r="V15" s="86">
        <v>5.43</v>
      </c>
      <c r="W15" s="86">
        <v>5.43</v>
      </c>
      <c r="X15" s="86">
        <v>5.43</v>
      </c>
      <c r="Y15" s="86">
        <v>5.43</v>
      </c>
      <c r="AB15" s="86">
        <v>0.875</v>
      </c>
      <c r="AC15" s="86">
        <v>4.43</v>
      </c>
      <c r="AD15" s="86">
        <v>4.43</v>
      </c>
      <c r="AE15" s="86">
        <v>4.43</v>
      </c>
      <c r="AF15" s="86">
        <v>4.5199999999999996</v>
      </c>
      <c r="AG15" s="86">
        <v>4.5199999999999996</v>
      </c>
      <c r="AH15" s="86">
        <v>5.14</v>
      </c>
      <c r="AI15" s="86">
        <v>5.16</v>
      </c>
      <c r="AJ15" s="86">
        <v>8.73</v>
      </c>
      <c r="AK15" s="86">
        <v>8.73</v>
      </c>
      <c r="AL15" s="86">
        <v>8.73</v>
      </c>
    </row>
    <row r="16" spans="1:38" ht="12.75" customHeight="1">
      <c r="B16" s="249">
        <v>0.9375</v>
      </c>
      <c r="C16" s="86">
        <v>4.3499999999999996</v>
      </c>
      <c r="D16" s="86">
        <v>4.3499999999999996</v>
      </c>
      <c r="E16" s="86">
        <v>4.3600000000000003</v>
      </c>
      <c r="F16" s="86">
        <v>4.45</v>
      </c>
      <c r="G16" s="86">
        <v>4.45</v>
      </c>
      <c r="H16" s="86">
        <v>4.66</v>
      </c>
      <c r="I16" s="86">
        <v>4.66</v>
      </c>
      <c r="J16" s="86">
        <v>8.73</v>
      </c>
      <c r="K16" s="86">
        <v>8.73</v>
      </c>
      <c r="L16" s="86">
        <v>8.73</v>
      </c>
      <c r="O16" s="86">
        <v>0.9375</v>
      </c>
      <c r="P16" s="86">
        <v>4.53</v>
      </c>
      <c r="Q16" s="86">
        <v>4.53</v>
      </c>
      <c r="R16" s="86">
        <v>4.54</v>
      </c>
      <c r="S16" s="86">
        <v>4.6900000000000004</v>
      </c>
      <c r="T16" s="86">
        <v>5.37</v>
      </c>
      <c r="U16" s="86">
        <v>5.52</v>
      </c>
      <c r="V16" s="86">
        <v>5.52</v>
      </c>
      <c r="W16" s="86">
        <v>5.52</v>
      </c>
      <c r="X16" s="86">
        <v>5.52</v>
      </c>
      <c r="Y16" s="86">
        <v>5.52</v>
      </c>
      <c r="AB16" s="86">
        <v>0.9375</v>
      </c>
      <c r="AC16" s="86">
        <v>4.4400000000000004</v>
      </c>
      <c r="AD16" s="86">
        <v>4.4400000000000004</v>
      </c>
      <c r="AE16" s="86">
        <v>4.45</v>
      </c>
      <c r="AF16" s="86">
        <v>4.54</v>
      </c>
      <c r="AG16" s="86">
        <v>4.54</v>
      </c>
      <c r="AH16" s="86">
        <v>5.21</v>
      </c>
      <c r="AI16" s="86">
        <v>5.24</v>
      </c>
      <c r="AJ16" s="86">
        <v>8.73</v>
      </c>
      <c r="AK16" s="86">
        <v>8.73</v>
      </c>
      <c r="AL16" s="86">
        <v>8.73</v>
      </c>
    </row>
    <row r="17" spans="2:38" ht="12.75" customHeight="1">
      <c r="B17" s="249">
        <v>0.99</v>
      </c>
      <c r="C17" s="86">
        <v>4.3600000000000003</v>
      </c>
      <c r="D17" s="86">
        <v>4.3600000000000003</v>
      </c>
      <c r="E17" s="86">
        <v>4.38</v>
      </c>
      <c r="F17" s="86">
        <v>4.47</v>
      </c>
      <c r="G17" s="86">
        <v>4.4800000000000004</v>
      </c>
      <c r="H17" s="86">
        <v>4.7</v>
      </c>
      <c r="I17" s="86">
        <v>4.7</v>
      </c>
      <c r="J17" s="86">
        <v>8.73</v>
      </c>
      <c r="K17" s="86">
        <v>8.73</v>
      </c>
      <c r="L17" s="86">
        <v>8.73</v>
      </c>
      <c r="O17" s="86">
        <v>0.99</v>
      </c>
      <c r="P17" s="86">
        <v>4.54</v>
      </c>
      <c r="Q17" s="86">
        <v>4.54</v>
      </c>
      <c r="R17" s="86">
        <v>4.5599999999999996</v>
      </c>
      <c r="S17" s="86">
        <v>4.7300000000000004</v>
      </c>
      <c r="T17" s="86">
        <v>5.45</v>
      </c>
      <c r="U17" s="86">
        <v>5.62</v>
      </c>
      <c r="V17" s="86">
        <v>5.62</v>
      </c>
      <c r="W17" s="86">
        <v>5.62</v>
      </c>
      <c r="X17" s="86">
        <v>5.62</v>
      </c>
      <c r="Y17" s="86">
        <v>5.62</v>
      </c>
      <c r="AB17" s="86">
        <v>0.99</v>
      </c>
      <c r="AC17" s="86">
        <v>4.45</v>
      </c>
      <c r="AD17" s="86">
        <v>4.45</v>
      </c>
      <c r="AE17" s="86">
        <v>4.47</v>
      </c>
      <c r="AF17" s="86">
        <v>4.5599999999999996</v>
      </c>
      <c r="AG17" s="86">
        <v>4.57</v>
      </c>
      <c r="AH17" s="86">
        <v>5.29</v>
      </c>
      <c r="AI17" s="86">
        <v>5.32</v>
      </c>
      <c r="AJ17" s="86">
        <v>8.73</v>
      </c>
      <c r="AK17" s="86">
        <v>8.73</v>
      </c>
      <c r="AL17" s="86">
        <v>8.73</v>
      </c>
    </row>
    <row r="18" spans="2:38" ht="12.75" customHeight="1">
      <c r="B18" s="249">
        <v>1</v>
      </c>
      <c r="C18" s="86">
        <v>4.5599999999999996</v>
      </c>
      <c r="D18" s="86">
        <v>4.5599999999999996</v>
      </c>
      <c r="E18" s="86">
        <v>4.58</v>
      </c>
      <c r="F18" s="86">
        <v>4.67</v>
      </c>
      <c r="G18" s="86">
        <v>4.68</v>
      </c>
      <c r="H18" s="86">
        <v>4.91</v>
      </c>
      <c r="I18" s="86">
        <v>4.91</v>
      </c>
      <c r="J18" s="86">
        <v>15.69</v>
      </c>
      <c r="K18" s="86">
        <v>15.69</v>
      </c>
      <c r="L18" s="86">
        <v>15.69</v>
      </c>
      <c r="O18" s="86">
        <v>1</v>
      </c>
      <c r="P18" s="86">
        <v>4.54</v>
      </c>
      <c r="Q18" s="86">
        <v>4.54</v>
      </c>
      <c r="R18" s="86">
        <v>4.5599999999999996</v>
      </c>
      <c r="S18" s="86">
        <v>4.7300000000000004</v>
      </c>
      <c r="T18" s="86">
        <v>5.45</v>
      </c>
      <c r="U18" s="86">
        <v>5.62</v>
      </c>
      <c r="V18" s="86">
        <v>5.62</v>
      </c>
      <c r="W18" s="86">
        <v>15.69</v>
      </c>
      <c r="X18" s="86">
        <v>15.69</v>
      </c>
      <c r="Y18" s="86">
        <v>15.69</v>
      </c>
      <c r="AB18" s="86">
        <v>1</v>
      </c>
      <c r="AC18" s="86">
        <v>4.66</v>
      </c>
      <c r="AD18" s="86">
        <v>4.66</v>
      </c>
      <c r="AE18" s="86">
        <v>4.68</v>
      </c>
      <c r="AF18" s="86">
        <v>4.7699999999999996</v>
      </c>
      <c r="AG18" s="86">
        <v>4.78</v>
      </c>
      <c r="AH18" s="86">
        <v>5.52</v>
      </c>
      <c r="AI18" s="86">
        <v>5.55</v>
      </c>
      <c r="AJ18" s="86">
        <v>15.69</v>
      </c>
      <c r="AK18" s="86">
        <v>15.69</v>
      </c>
      <c r="AL18" s="86">
        <v>15.69</v>
      </c>
    </row>
    <row r="19" spans="2:38" ht="12.75" customHeight="1">
      <c r="B19" s="249">
        <v>2</v>
      </c>
      <c r="C19" s="86">
        <v>4.87</v>
      </c>
      <c r="D19" s="86">
        <v>4.87</v>
      </c>
      <c r="E19" s="86">
        <v>4.9800000000000004</v>
      </c>
      <c r="F19" s="86">
        <v>5.12</v>
      </c>
      <c r="G19" s="86">
        <v>5.14</v>
      </c>
      <c r="H19" s="86">
        <v>5.59</v>
      </c>
      <c r="I19" s="86">
        <v>5.59</v>
      </c>
      <c r="J19" s="86">
        <v>20.46</v>
      </c>
      <c r="K19" s="86">
        <v>20.46</v>
      </c>
      <c r="L19" s="86">
        <v>20.46</v>
      </c>
      <c r="O19" s="86">
        <v>2</v>
      </c>
      <c r="P19" s="86">
        <v>5.07</v>
      </c>
      <c r="Q19" s="86">
        <v>5.07</v>
      </c>
      <c r="R19" s="86">
        <v>5.19</v>
      </c>
      <c r="S19" s="86">
        <v>5.63</v>
      </c>
      <c r="T19" s="86">
        <v>7.14</v>
      </c>
      <c r="U19" s="86">
        <v>7.46</v>
      </c>
      <c r="V19" s="86">
        <v>7.47</v>
      </c>
      <c r="W19" s="86">
        <v>20.46</v>
      </c>
      <c r="X19" s="86">
        <v>20.46</v>
      </c>
      <c r="Y19" s="86">
        <v>20.46</v>
      </c>
      <c r="AB19" s="86">
        <v>2</v>
      </c>
      <c r="AC19" s="86">
        <v>4.97</v>
      </c>
      <c r="AD19" s="86">
        <v>4.97</v>
      </c>
      <c r="AE19" s="86">
        <v>5.08</v>
      </c>
      <c r="AF19" s="86">
        <v>5.23</v>
      </c>
      <c r="AG19" s="86">
        <v>5.25</v>
      </c>
      <c r="AH19" s="86">
        <v>6.82</v>
      </c>
      <c r="AI19" s="86">
        <v>6.93</v>
      </c>
      <c r="AJ19" s="86">
        <v>20.46</v>
      </c>
      <c r="AK19" s="86">
        <v>20.46</v>
      </c>
      <c r="AL19" s="86">
        <v>20.46</v>
      </c>
    </row>
    <row r="20" spans="2:38" ht="12.75" customHeight="1">
      <c r="B20" s="249">
        <v>3</v>
      </c>
      <c r="C20" s="86">
        <v>5.39</v>
      </c>
      <c r="D20" s="86">
        <v>5.39</v>
      </c>
      <c r="E20" s="86">
        <v>5.58</v>
      </c>
      <c r="F20" s="86">
        <v>5.78</v>
      </c>
      <c r="G20" s="86">
        <v>5.82</v>
      </c>
      <c r="H20" s="86">
        <v>6.49</v>
      </c>
      <c r="I20" s="86">
        <v>6.49</v>
      </c>
      <c r="J20" s="86">
        <v>25.53</v>
      </c>
      <c r="K20" s="86">
        <v>25.53</v>
      </c>
      <c r="L20" s="86">
        <v>25.53</v>
      </c>
      <c r="O20" s="86">
        <v>3</v>
      </c>
      <c r="P20" s="86">
        <v>5.61</v>
      </c>
      <c r="Q20" s="86">
        <v>5.61</v>
      </c>
      <c r="R20" s="86">
        <v>5.82</v>
      </c>
      <c r="S20" s="86">
        <v>6.53</v>
      </c>
      <c r="T20" s="86">
        <v>8.81</v>
      </c>
      <c r="U20" s="86">
        <v>9.2899999999999991</v>
      </c>
      <c r="V20" s="86">
        <v>9.3000000000000007</v>
      </c>
      <c r="W20" s="86">
        <v>25.53</v>
      </c>
      <c r="X20" s="86">
        <v>25.53</v>
      </c>
      <c r="Y20" s="86">
        <v>25.53</v>
      </c>
      <c r="AB20" s="86">
        <v>3</v>
      </c>
      <c r="AC20" s="86">
        <v>5.5</v>
      </c>
      <c r="AD20" s="86">
        <v>5.5</v>
      </c>
      <c r="AE20" s="86">
        <v>5.7</v>
      </c>
      <c r="AF20" s="86">
        <v>5.9</v>
      </c>
      <c r="AG20" s="86">
        <v>5.94</v>
      </c>
      <c r="AH20" s="86">
        <v>8.32</v>
      </c>
      <c r="AI20" s="86">
        <v>8.51</v>
      </c>
      <c r="AJ20" s="86">
        <v>25.53</v>
      </c>
      <c r="AK20" s="86">
        <v>25.53</v>
      </c>
      <c r="AL20" s="86">
        <v>25.53</v>
      </c>
    </row>
    <row r="21" spans="2:38" ht="12.75" customHeight="1">
      <c r="B21" s="249">
        <v>4</v>
      </c>
      <c r="C21" s="86">
        <v>5.85</v>
      </c>
      <c r="D21" s="86">
        <v>5.85</v>
      </c>
      <c r="E21" s="86">
        <v>6.15</v>
      </c>
      <c r="F21" s="86">
        <v>6.39</v>
      </c>
      <c r="G21" s="86">
        <v>6.45</v>
      </c>
      <c r="H21" s="86">
        <v>7.33</v>
      </c>
      <c r="I21" s="86">
        <v>7.36</v>
      </c>
      <c r="J21" s="86">
        <v>29.9</v>
      </c>
      <c r="K21" s="86">
        <v>29.9</v>
      </c>
      <c r="L21" s="86">
        <v>29.9</v>
      </c>
      <c r="O21" s="86">
        <v>4</v>
      </c>
      <c r="P21" s="86">
        <v>6.09</v>
      </c>
      <c r="Q21" s="86">
        <v>6.09</v>
      </c>
      <c r="R21" s="86">
        <v>6.41</v>
      </c>
      <c r="S21" s="86">
        <v>7.39</v>
      </c>
      <c r="T21" s="86">
        <v>10.43</v>
      </c>
      <c r="U21" s="86">
        <v>11.06</v>
      </c>
      <c r="V21" s="86">
        <v>11.11</v>
      </c>
      <c r="W21" s="86">
        <v>29.9</v>
      </c>
      <c r="X21" s="86">
        <v>29.9</v>
      </c>
      <c r="Y21" s="86">
        <v>29.9</v>
      </c>
      <c r="AB21" s="86">
        <v>4</v>
      </c>
      <c r="AC21" s="86">
        <v>5.97</v>
      </c>
      <c r="AD21" s="86">
        <v>5.97</v>
      </c>
      <c r="AE21" s="86">
        <v>6.28</v>
      </c>
      <c r="AF21" s="86">
        <v>6.52</v>
      </c>
      <c r="AG21" s="86">
        <v>6.58</v>
      </c>
      <c r="AH21" s="86">
        <v>9.7799999999999994</v>
      </c>
      <c r="AI21" s="86">
        <v>10.050000000000001</v>
      </c>
      <c r="AJ21" s="86">
        <v>29.9</v>
      </c>
      <c r="AK21" s="86">
        <v>29.9</v>
      </c>
      <c r="AL21" s="86">
        <v>29.9</v>
      </c>
    </row>
    <row r="22" spans="2:38" ht="12.75" customHeight="1">
      <c r="B22" s="249">
        <v>5</v>
      </c>
      <c r="C22" s="86">
        <v>5.89</v>
      </c>
      <c r="D22" s="86">
        <v>5.89</v>
      </c>
      <c r="E22" s="86">
        <v>5.89</v>
      </c>
      <c r="F22" s="86">
        <v>6.28</v>
      </c>
      <c r="G22" s="86">
        <v>7.1</v>
      </c>
      <c r="H22" s="86">
        <v>8.19</v>
      </c>
      <c r="I22" s="86">
        <v>8.25</v>
      </c>
      <c r="J22" s="86">
        <v>34.51</v>
      </c>
      <c r="K22" s="86">
        <v>34.51</v>
      </c>
      <c r="L22" s="86">
        <v>34.51</v>
      </c>
      <c r="O22" s="86">
        <v>5</v>
      </c>
      <c r="P22" s="86">
        <v>6.59</v>
      </c>
      <c r="Q22" s="86">
        <v>6.59</v>
      </c>
      <c r="R22" s="86">
        <v>7.02</v>
      </c>
      <c r="S22" s="86">
        <v>8.26</v>
      </c>
      <c r="T22" s="86">
        <v>12.07</v>
      </c>
      <c r="U22" s="86">
        <v>12.85</v>
      </c>
      <c r="V22" s="86">
        <v>12.94</v>
      </c>
      <c r="W22" s="86">
        <v>34.51</v>
      </c>
      <c r="X22" s="86">
        <v>34.51</v>
      </c>
      <c r="Y22" s="86">
        <v>34.51</v>
      </c>
      <c r="AB22" s="86">
        <v>5</v>
      </c>
      <c r="AC22" s="86">
        <v>6.46</v>
      </c>
      <c r="AD22" s="86">
        <v>6.46</v>
      </c>
      <c r="AE22" s="86">
        <v>6.88</v>
      </c>
      <c r="AF22" s="86">
        <v>7.16</v>
      </c>
      <c r="AG22" s="86">
        <v>7.25</v>
      </c>
      <c r="AH22" s="86">
        <v>11.25</v>
      </c>
      <c r="AI22" s="86">
        <v>11.61</v>
      </c>
      <c r="AJ22" s="86">
        <v>34.51</v>
      </c>
      <c r="AK22" s="86">
        <v>34.51</v>
      </c>
      <c r="AL22" s="86">
        <v>34.51</v>
      </c>
    </row>
    <row r="23" spans="2:38" ht="12.75" customHeight="1">
      <c r="B23" s="249">
        <v>6</v>
      </c>
      <c r="C23" s="86">
        <v>5.89</v>
      </c>
      <c r="D23" s="86">
        <v>5.89</v>
      </c>
      <c r="E23" s="86">
        <v>5.89</v>
      </c>
      <c r="F23" s="86">
        <v>6.28</v>
      </c>
      <c r="G23" s="86">
        <v>7.14</v>
      </c>
      <c r="H23" s="86">
        <v>8.44</v>
      </c>
      <c r="I23" s="86">
        <v>8.5499999999999989</v>
      </c>
      <c r="J23" s="86">
        <v>39.08</v>
      </c>
      <c r="K23" s="86">
        <v>39.08</v>
      </c>
      <c r="L23" s="86">
        <v>39.08</v>
      </c>
      <c r="O23" s="86">
        <v>6</v>
      </c>
      <c r="P23" s="86">
        <v>7.06</v>
      </c>
      <c r="Q23" s="86">
        <v>7.06</v>
      </c>
      <c r="R23" s="86">
        <v>7.6</v>
      </c>
      <c r="S23" s="86">
        <v>9.11</v>
      </c>
      <c r="T23" s="86">
        <v>13.69</v>
      </c>
      <c r="U23" s="86">
        <v>14.62</v>
      </c>
      <c r="V23" s="86">
        <v>14.74</v>
      </c>
      <c r="W23" s="86">
        <v>39.08</v>
      </c>
      <c r="X23" s="86">
        <v>39.08</v>
      </c>
      <c r="Y23" s="86">
        <v>39.08</v>
      </c>
      <c r="AB23" s="86">
        <v>6</v>
      </c>
      <c r="AC23" s="86">
        <v>6.92</v>
      </c>
      <c r="AD23" s="86">
        <v>6.92</v>
      </c>
      <c r="AE23" s="86">
        <v>7.45</v>
      </c>
      <c r="AF23" s="86">
        <v>7.78</v>
      </c>
      <c r="AG23" s="86">
        <v>7.89</v>
      </c>
      <c r="AH23" s="86">
        <v>12.7</v>
      </c>
      <c r="AI23" s="86">
        <v>13.16</v>
      </c>
      <c r="AJ23" s="86">
        <v>39.08</v>
      </c>
      <c r="AK23" s="86">
        <v>39.08</v>
      </c>
      <c r="AL23" s="86">
        <v>39.08</v>
      </c>
    </row>
    <row r="24" spans="2:38" ht="12.75" customHeight="1">
      <c r="B24" s="249">
        <v>7</v>
      </c>
      <c r="C24" s="86">
        <v>5.89</v>
      </c>
      <c r="D24" s="86">
        <v>5.89</v>
      </c>
      <c r="E24" s="86">
        <v>5.89</v>
      </c>
      <c r="F24" s="86">
        <v>6.28</v>
      </c>
      <c r="G24" s="86">
        <v>7.14</v>
      </c>
      <c r="H24" s="86">
        <v>8.44</v>
      </c>
      <c r="I24" s="86">
        <v>8.5500000000000007</v>
      </c>
      <c r="J24" s="86">
        <v>43.55</v>
      </c>
      <c r="K24" s="86">
        <v>43.55</v>
      </c>
      <c r="L24" s="86">
        <v>43.55</v>
      </c>
      <c r="O24" s="86">
        <v>7</v>
      </c>
      <c r="P24" s="86">
        <v>7.52</v>
      </c>
      <c r="Q24" s="86">
        <v>7.52</v>
      </c>
      <c r="R24" s="86">
        <v>7.94</v>
      </c>
      <c r="S24" s="86">
        <v>9.9499999999999993</v>
      </c>
      <c r="T24" s="86">
        <v>15.3</v>
      </c>
      <c r="U24" s="86">
        <v>16.38</v>
      </c>
      <c r="V24" s="86">
        <v>16.54</v>
      </c>
      <c r="W24" s="86">
        <v>43.55</v>
      </c>
      <c r="X24" s="86">
        <v>43.55</v>
      </c>
      <c r="Y24" s="86">
        <v>43.55</v>
      </c>
      <c r="AB24" s="86">
        <v>7</v>
      </c>
      <c r="AC24" s="86">
        <v>7</v>
      </c>
      <c r="AD24" s="86">
        <v>7</v>
      </c>
      <c r="AE24" s="86">
        <v>7.62</v>
      </c>
      <c r="AF24" s="86">
        <v>7.96</v>
      </c>
      <c r="AG24" s="86">
        <v>8.09</v>
      </c>
      <c r="AH24" s="86">
        <v>13.44</v>
      </c>
      <c r="AI24" s="86">
        <v>13.96</v>
      </c>
      <c r="AJ24" s="86">
        <v>43.55</v>
      </c>
      <c r="AK24" s="86">
        <v>43.55</v>
      </c>
      <c r="AL24" s="86">
        <v>43.55</v>
      </c>
    </row>
    <row r="25" spans="2:38" ht="12.75" customHeight="1">
      <c r="B25" s="249">
        <v>8</v>
      </c>
      <c r="C25" s="86">
        <v>7.66</v>
      </c>
      <c r="D25" s="86">
        <v>7.67</v>
      </c>
      <c r="E25" s="86">
        <v>8.41</v>
      </c>
      <c r="F25" s="86">
        <v>8.8000000000000007</v>
      </c>
      <c r="G25" s="86">
        <v>8.9600000000000009</v>
      </c>
      <c r="H25" s="86">
        <v>10.68</v>
      </c>
      <c r="I25" s="86">
        <v>10.85</v>
      </c>
      <c r="J25" s="86">
        <v>48.07</v>
      </c>
      <c r="K25" s="86">
        <v>48.07</v>
      </c>
      <c r="L25" s="86">
        <v>48.07</v>
      </c>
      <c r="O25" s="86">
        <v>8</v>
      </c>
      <c r="P25" s="86">
        <v>7.98</v>
      </c>
      <c r="Q25" s="86">
        <v>7.99</v>
      </c>
      <c r="R25" s="86">
        <v>8.76</v>
      </c>
      <c r="S25" s="86">
        <v>10.79</v>
      </c>
      <c r="T25" s="86">
        <v>16.91</v>
      </c>
      <c r="U25" s="86">
        <v>18.13</v>
      </c>
      <c r="V25" s="86">
        <v>18.34</v>
      </c>
      <c r="W25" s="86">
        <v>48.07</v>
      </c>
      <c r="X25" s="86">
        <v>48.07</v>
      </c>
      <c r="Y25" s="86">
        <v>48.07</v>
      </c>
      <c r="AB25" s="86">
        <v>8</v>
      </c>
      <c r="AC25" s="86">
        <v>7.82</v>
      </c>
      <c r="AD25" s="86">
        <v>7.83</v>
      </c>
      <c r="AE25" s="86">
        <v>8.58</v>
      </c>
      <c r="AF25" s="86">
        <v>8.98</v>
      </c>
      <c r="AG25" s="86">
        <v>9.14</v>
      </c>
      <c r="AH25" s="86">
        <v>15.57</v>
      </c>
      <c r="AI25" s="86">
        <v>16.22</v>
      </c>
      <c r="AJ25" s="86">
        <v>48.07</v>
      </c>
      <c r="AK25" s="86">
        <v>48.07</v>
      </c>
      <c r="AL25" s="86">
        <v>48.07</v>
      </c>
    </row>
    <row r="26" spans="2:38" ht="12.75" customHeight="1">
      <c r="B26" s="249">
        <v>9</v>
      </c>
      <c r="C26" s="86">
        <v>8.06</v>
      </c>
      <c r="D26" s="86">
        <v>8.09</v>
      </c>
      <c r="E26" s="86">
        <v>8.94</v>
      </c>
      <c r="F26" s="86">
        <v>9.36</v>
      </c>
      <c r="G26" s="86">
        <v>9.5399999999999991</v>
      </c>
      <c r="H26" s="86">
        <v>11.47</v>
      </c>
      <c r="I26" s="86">
        <v>11.68</v>
      </c>
      <c r="J26" s="86">
        <v>52.38</v>
      </c>
      <c r="K26" s="86">
        <v>52.38</v>
      </c>
      <c r="L26" s="86">
        <v>52.38</v>
      </c>
      <c r="O26" s="86">
        <v>9</v>
      </c>
      <c r="P26" s="86">
        <v>8.4</v>
      </c>
      <c r="Q26" s="86">
        <v>8.43</v>
      </c>
      <c r="R26" s="86">
        <v>9.31</v>
      </c>
      <c r="S26" s="86">
        <v>11.6</v>
      </c>
      <c r="T26" s="86">
        <v>18.489999999999998</v>
      </c>
      <c r="U26" s="86">
        <v>19.86</v>
      </c>
      <c r="V26" s="86">
        <v>20.100000000000001</v>
      </c>
      <c r="W26" s="86">
        <v>52.38</v>
      </c>
      <c r="X26" s="86">
        <v>52.38</v>
      </c>
      <c r="Y26" s="86">
        <v>52.38</v>
      </c>
      <c r="AB26" s="86">
        <v>9</v>
      </c>
      <c r="AC26" s="86">
        <v>8.23</v>
      </c>
      <c r="AD26" s="86">
        <v>8.26</v>
      </c>
      <c r="AE26" s="86">
        <v>9.1199999999999992</v>
      </c>
      <c r="AF26" s="86">
        <v>9.5500000000000007</v>
      </c>
      <c r="AG26" s="86">
        <v>9.74</v>
      </c>
      <c r="AH26" s="86">
        <v>16.98</v>
      </c>
      <c r="AI26" s="86">
        <v>17.73</v>
      </c>
      <c r="AJ26" s="86">
        <v>52.38</v>
      </c>
      <c r="AK26" s="86">
        <v>52.38</v>
      </c>
      <c r="AL26" s="86">
        <v>52.38</v>
      </c>
    </row>
    <row r="27" spans="2:38" ht="12.75" customHeight="1">
      <c r="B27" s="249">
        <v>10</v>
      </c>
      <c r="C27" s="86">
        <v>8.48</v>
      </c>
      <c r="D27" s="86">
        <v>8.5299999999999994</v>
      </c>
      <c r="E27" s="86">
        <v>9.48</v>
      </c>
      <c r="F27" s="86">
        <v>9.93</v>
      </c>
      <c r="G27" s="86">
        <v>10.14</v>
      </c>
      <c r="H27" s="86">
        <v>12.28</v>
      </c>
      <c r="I27" s="86">
        <v>12.52</v>
      </c>
      <c r="J27" s="86">
        <v>56.74</v>
      </c>
      <c r="K27" s="86">
        <v>56.74</v>
      </c>
      <c r="L27" s="86">
        <v>56.74</v>
      </c>
      <c r="O27" s="86">
        <v>10</v>
      </c>
      <c r="P27" s="86">
        <v>8.83</v>
      </c>
      <c r="Q27" s="86">
        <v>8.89</v>
      </c>
      <c r="R27" s="86">
        <v>9.8699999999999992</v>
      </c>
      <c r="S27" s="86">
        <v>12.42</v>
      </c>
      <c r="T27" s="86">
        <v>20.07</v>
      </c>
      <c r="U27" s="86">
        <v>21.59</v>
      </c>
      <c r="V27" s="86">
        <v>21.88</v>
      </c>
      <c r="W27" s="86">
        <v>56.74</v>
      </c>
      <c r="X27" s="86">
        <v>56.74</v>
      </c>
      <c r="Y27" s="86">
        <v>56.74</v>
      </c>
      <c r="AB27" s="86">
        <v>10</v>
      </c>
      <c r="AC27" s="86">
        <v>8.65</v>
      </c>
      <c r="AD27" s="86">
        <v>8.7100000000000009</v>
      </c>
      <c r="AE27" s="86">
        <v>9.67</v>
      </c>
      <c r="AF27" s="86">
        <v>10.130000000000001</v>
      </c>
      <c r="AG27" s="86">
        <v>10.35</v>
      </c>
      <c r="AH27" s="86">
        <v>18.399999999999999</v>
      </c>
      <c r="AI27" s="86">
        <v>19.239999999999998</v>
      </c>
      <c r="AJ27" s="86">
        <v>56.74</v>
      </c>
      <c r="AK27" s="86">
        <v>56.74</v>
      </c>
      <c r="AL27" s="86">
        <v>56.74</v>
      </c>
    </row>
    <row r="28" spans="2:38" ht="12.75" customHeight="1">
      <c r="B28" s="249">
        <v>11</v>
      </c>
      <c r="C28" s="86">
        <v>8.81</v>
      </c>
      <c r="D28" s="86">
        <v>8.89</v>
      </c>
      <c r="E28" s="86">
        <v>9.92</v>
      </c>
      <c r="F28" s="86">
        <v>10.42</v>
      </c>
      <c r="G28" s="86">
        <v>10.65</v>
      </c>
      <c r="H28" s="86">
        <v>13</v>
      </c>
      <c r="I28" s="86">
        <v>13.27</v>
      </c>
      <c r="J28" s="86">
        <v>61.21</v>
      </c>
      <c r="K28" s="86">
        <v>61.21</v>
      </c>
      <c r="L28" s="86">
        <v>61.21</v>
      </c>
      <c r="O28" s="86">
        <v>11</v>
      </c>
      <c r="P28" s="86">
        <v>9.17</v>
      </c>
      <c r="Q28" s="86">
        <v>9.26</v>
      </c>
      <c r="R28" s="86">
        <v>10.33</v>
      </c>
      <c r="S28" s="86">
        <v>13.15</v>
      </c>
      <c r="T28" s="86">
        <v>21.58</v>
      </c>
      <c r="U28" s="86">
        <v>23.24</v>
      </c>
      <c r="V28" s="86">
        <v>23.57</v>
      </c>
      <c r="W28" s="86">
        <v>61.21</v>
      </c>
      <c r="X28" s="86">
        <v>61.21</v>
      </c>
      <c r="Y28" s="86">
        <v>61.21</v>
      </c>
      <c r="AB28" s="86">
        <v>11</v>
      </c>
      <c r="AC28" s="86">
        <v>8.99</v>
      </c>
      <c r="AD28" s="86">
        <v>9.07</v>
      </c>
      <c r="AE28" s="86">
        <v>10.119999999999999</v>
      </c>
      <c r="AF28" s="86">
        <v>10.63</v>
      </c>
      <c r="AG28" s="86">
        <v>10.87</v>
      </c>
      <c r="AH28" s="86">
        <v>19.73</v>
      </c>
      <c r="AI28" s="86">
        <v>20.67</v>
      </c>
      <c r="AJ28" s="86">
        <v>61.21</v>
      </c>
      <c r="AK28" s="86">
        <v>61.21</v>
      </c>
      <c r="AL28" s="86">
        <v>61.21</v>
      </c>
    </row>
    <row r="29" spans="2:38" ht="12.75" customHeight="1">
      <c r="B29" s="249">
        <v>12</v>
      </c>
      <c r="C29" s="86">
        <v>9.2100000000000009</v>
      </c>
      <c r="D29" s="86">
        <v>9.31</v>
      </c>
      <c r="E29" s="86">
        <v>10.44</v>
      </c>
      <c r="F29" s="86">
        <v>10.97</v>
      </c>
      <c r="G29" s="86">
        <v>11.23</v>
      </c>
      <c r="H29" s="86">
        <v>13.79</v>
      </c>
      <c r="I29" s="86">
        <v>14.1</v>
      </c>
      <c r="J29" s="86">
        <v>65.78</v>
      </c>
      <c r="K29" s="86">
        <v>65.78</v>
      </c>
      <c r="L29" s="86">
        <v>65.78</v>
      </c>
      <c r="O29" s="86">
        <v>12</v>
      </c>
      <c r="P29" s="86">
        <v>9.59</v>
      </c>
      <c r="Q29" s="86">
        <v>9.69</v>
      </c>
      <c r="R29" s="86">
        <v>10.87</v>
      </c>
      <c r="S29" s="86">
        <v>13.95</v>
      </c>
      <c r="T29" s="86">
        <v>23.15</v>
      </c>
      <c r="U29" s="86">
        <v>24.96</v>
      </c>
      <c r="V29" s="86">
        <v>25.33</v>
      </c>
      <c r="W29" s="86">
        <v>65.78</v>
      </c>
      <c r="X29" s="86">
        <v>65.78</v>
      </c>
      <c r="Y29" s="86">
        <v>65.78</v>
      </c>
      <c r="AB29" s="86">
        <v>12</v>
      </c>
      <c r="AC29" s="86">
        <v>9.4</v>
      </c>
      <c r="AD29" s="86">
        <v>9.5</v>
      </c>
      <c r="AE29" s="86">
        <v>10.65</v>
      </c>
      <c r="AF29" s="86">
        <v>11.19</v>
      </c>
      <c r="AG29" s="86">
        <v>11.46</v>
      </c>
      <c r="AH29" s="86">
        <v>21.13</v>
      </c>
      <c r="AI29" s="86">
        <v>22.16</v>
      </c>
      <c r="AJ29" s="86">
        <v>65.78</v>
      </c>
      <c r="AK29" s="86">
        <v>65.78</v>
      </c>
      <c r="AL29" s="86">
        <v>65.78</v>
      </c>
    </row>
    <row r="30" spans="2:38" ht="12.75" customHeight="1">
      <c r="B30" s="249">
        <v>13</v>
      </c>
      <c r="C30" s="86">
        <v>9.6</v>
      </c>
      <c r="D30" s="86">
        <v>9.73</v>
      </c>
      <c r="E30" s="86">
        <v>10.95</v>
      </c>
      <c r="F30" s="86">
        <v>11.52</v>
      </c>
      <c r="G30" s="86">
        <v>11.8</v>
      </c>
      <c r="H30" s="86">
        <v>14.57</v>
      </c>
      <c r="I30" s="86">
        <v>14.92</v>
      </c>
      <c r="J30" s="86">
        <v>70.5</v>
      </c>
      <c r="K30" s="86">
        <v>70.5</v>
      </c>
      <c r="L30" s="86">
        <v>70.5</v>
      </c>
      <c r="O30" s="86">
        <v>13</v>
      </c>
      <c r="P30" s="86">
        <v>10</v>
      </c>
      <c r="Q30" s="86">
        <v>10.130000000000001</v>
      </c>
      <c r="R30" s="86">
        <v>11.4</v>
      </c>
      <c r="S30" s="86">
        <v>14.75</v>
      </c>
      <c r="T30" s="86">
        <v>24.72</v>
      </c>
      <c r="U30" s="86">
        <v>26.67</v>
      </c>
      <c r="V30" s="86">
        <v>27.08</v>
      </c>
      <c r="W30" s="86">
        <v>70.5</v>
      </c>
      <c r="X30" s="86">
        <v>70.5</v>
      </c>
      <c r="Y30" s="86">
        <v>70.5</v>
      </c>
      <c r="AB30" s="86">
        <v>13</v>
      </c>
      <c r="AC30" s="86">
        <v>9.8000000000000007</v>
      </c>
      <c r="AD30" s="86">
        <v>9.93</v>
      </c>
      <c r="AE30" s="86">
        <v>11.17</v>
      </c>
      <c r="AF30" s="86">
        <v>11.76</v>
      </c>
      <c r="AG30" s="86">
        <v>12.04</v>
      </c>
      <c r="AH30" s="86">
        <v>22.52</v>
      </c>
      <c r="AI30" s="86">
        <v>23.65</v>
      </c>
      <c r="AJ30" s="86">
        <v>70.5</v>
      </c>
      <c r="AK30" s="86">
        <v>70.5</v>
      </c>
      <c r="AL30" s="86">
        <v>70.5</v>
      </c>
    </row>
    <row r="31" spans="2:38" ht="12.75" customHeight="1">
      <c r="B31" s="249">
        <v>14</v>
      </c>
      <c r="C31" s="86">
        <v>9.99</v>
      </c>
      <c r="D31" s="86">
        <v>10.14</v>
      </c>
      <c r="E31" s="86">
        <v>11.46</v>
      </c>
      <c r="F31" s="86">
        <v>12.06</v>
      </c>
      <c r="G31" s="86">
        <v>12.37</v>
      </c>
      <c r="H31" s="86">
        <v>15.35</v>
      </c>
      <c r="I31" s="86">
        <v>15.73</v>
      </c>
      <c r="J31" s="86">
        <v>75.22</v>
      </c>
      <c r="K31" s="86">
        <v>75.22</v>
      </c>
      <c r="L31" s="86">
        <v>75.22</v>
      </c>
      <c r="O31" s="86">
        <v>14</v>
      </c>
      <c r="P31" s="86">
        <v>10.4</v>
      </c>
      <c r="Q31" s="86">
        <v>10.56</v>
      </c>
      <c r="R31" s="86">
        <v>11.93</v>
      </c>
      <c r="S31" s="86">
        <v>15.54</v>
      </c>
      <c r="T31" s="86">
        <v>26.28</v>
      </c>
      <c r="U31" s="86">
        <v>28.38</v>
      </c>
      <c r="V31" s="86">
        <v>28.83</v>
      </c>
      <c r="W31" s="86">
        <v>75.22</v>
      </c>
      <c r="X31" s="86">
        <v>75.22</v>
      </c>
      <c r="Y31" s="86">
        <v>75.22</v>
      </c>
      <c r="AB31" s="86">
        <v>14</v>
      </c>
      <c r="AC31" s="86">
        <v>10.19</v>
      </c>
      <c r="AD31" s="86">
        <v>10.35</v>
      </c>
      <c r="AE31" s="86">
        <v>11.69</v>
      </c>
      <c r="AF31" s="86">
        <v>12.31</v>
      </c>
      <c r="AG31" s="86">
        <v>12.62</v>
      </c>
      <c r="AH31" s="86">
        <v>23.91</v>
      </c>
      <c r="AI31" s="86">
        <v>25.14</v>
      </c>
      <c r="AJ31" s="86">
        <v>75.22</v>
      </c>
      <c r="AK31" s="86">
        <v>75.22</v>
      </c>
      <c r="AL31" s="86">
        <v>75.22</v>
      </c>
    </row>
    <row r="32" spans="2:38" ht="12.75" customHeight="1">
      <c r="B32" s="249">
        <v>15</v>
      </c>
      <c r="C32" s="281">
        <v>10.38</v>
      </c>
      <c r="D32" s="281">
        <v>10.56</v>
      </c>
      <c r="E32" s="281">
        <v>11.97</v>
      </c>
      <c r="F32" s="281">
        <v>12.61</v>
      </c>
      <c r="G32" s="281">
        <v>12.94</v>
      </c>
      <c r="H32" s="281">
        <v>16.13</v>
      </c>
      <c r="I32" s="281">
        <v>16.54</v>
      </c>
      <c r="J32" s="281">
        <v>79.02</v>
      </c>
      <c r="K32" s="281">
        <v>79.02</v>
      </c>
      <c r="L32" s="281">
        <v>79.02</v>
      </c>
      <c r="O32" s="86">
        <v>15</v>
      </c>
      <c r="P32" s="86">
        <v>10.81</v>
      </c>
      <c r="Q32" s="86">
        <v>11</v>
      </c>
      <c r="R32" s="86">
        <v>12.46</v>
      </c>
      <c r="S32" s="86">
        <v>16.329999999999998</v>
      </c>
      <c r="T32" s="86">
        <v>27.84</v>
      </c>
      <c r="U32" s="86">
        <v>30.09</v>
      </c>
      <c r="V32" s="86">
        <v>30.58</v>
      </c>
      <c r="W32" s="86">
        <v>79.02</v>
      </c>
      <c r="X32" s="86">
        <v>79.02</v>
      </c>
      <c r="Y32" s="86">
        <v>79.02</v>
      </c>
      <c r="AB32" s="86">
        <v>15</v>
      </c>
      <c r="AC32" s="86">
        <v>10.59</v>
      </c>
      <c r="AD32" s="86">
        <v>10.78</v>
      </c>
      <c r="AE32" s="86">
        <v>12.21</v>
      </c>
      <c r="AF32" s="86">
        <v>12.87</v>
      </c>
      <c r="AG32" s="86">
        <v>13.2</v>
      </c>
      <c r="AH32" s="86">
        <v>25.3</v>
      </c>
      <c r="AI32" s="86">
        <v>26.63</v>
      </c>
      <c r="AJ32" s="86">
        <v>79.02</v>
      </c>
      <c r="AK32" s="86">
        <v>79.02</v>
      </c>
      <c r="AL32" s="86">
        <v>79.02</v>
      </c>
    </row>
    <row r="33" spans="2:38" ht="12.75" customHeight="1">
      <c r="B33" s="249">
        <v>16</v>
      </c>
      <c r="C33" s="281">
        <v>10.77</v>
      </c>
      <c r="D33" s="281">
        <v>10.97</v>
      </c>
      <c r="E33" s="281">
        <v>12.48</v>
      </c>
      <c r="F33" s="281">
        <v>13.15</v>
      </c>
      <c r="G33" s="281">
        <v>13.51</v>
      </c>
      <c r="H33" s="281">
        <v>16.91</v>
      </c>
      <c r="I33" s="281">
        <v>17.36</v>
      </c>
      <c r="J33" s="281">
        <v>83.44</v>
      </c>
      <c r="K33" s="281">
        <v>83.44</v>
      </c>
      <c r="L33" s="281">
        <v>83.44</v>
      </c>
      <c r="O33" s="86">
        <v>16</v>
      </c>
      <c r="P33" s="86">
        <v>11.21</v>
      </c>
      <c r="Q33" s="86">
        <v>11.42</v>
      </c>
      <c r="R33" s="86">
        <v>12.99</v>
      </c>
      <c r="S33" s="86">
        <v>17.12</v>
      </c>
      <c r="T33" s="86">
        <v>29.4</v>
      </c>
      <c r="U33" s="86">
        <v>31.8</v>
      </c>
      <c r="V33" s="86">
        <v>32.33</v>
      </c>
      <c r="W33" s="86">
        <v>83.44</v>
      </c>
      <c r="X33" s="86">
        <v>83.44</v>
      </c>
      <c r="Y33" s="86">
        <v>83.44</v>
      </c>
      <c r="AB33" s="86">
        <v>16</v>
      </c>
      <c r="AC33" s="86">
        <v>10.99</v>
      </c>
      <c r="AD33" s="86">
        <v>11.19</v>
      </c>
      <c r="AE33" s="86">
        <v>12.73</v>
      </c>
      <c r="AF33" s="86">
        <v>13.42</v>
      </c>
      <c r="AG33" s="86">
        <v>13.79</v>
      </c>
      <c r="AH33" s="86">
        <v>26.69</v>
      </c>
      <c r="AI33" s="86">
        <v>28.11</v>
      </c>
      <c r="AJ33" s="86">
        <v>83.44</v>
      </c>
      <c r="AK33" s="86">
        <v>83.44</v>
      </c>
      <c r="AL33" s="86">
        <v>83.44</v>
      </c>
    </row>
    <row r="34" spans="2:38" ht="12.75" customHeight="1">
      <c r="B34" s="249">
        <v>17</v>
      </c>
      <c r="C34" s="281">
        <v>11.14</v>
      </c>
      <c r="D34" s="281">
        <v>11.37</v>
      </c>
      <c r="E34" s="281">
        <v>12.97</v>
      </c>
      <c r="F34" s="281">
        <v>13.68</v>
      </c>
      <c r="G34" s="281">
        <v>14.06</v>
      </c>
      <c r="H34" s="281">
        <v>17.670000000000002</v>
      </c>
      <c r="I34" s="281">
        <v>18.16</v>
      </c>
      <c r="J34" s="281">
        <v>87.8</v>
      </c>
      <c r="K34" s="281">
        <v>87.8</v>
      </c>
      <c r="L34" s="281">
        <v>87.8</v>
      </c>
      <c r="O34" s="86">
        <v>17</v>
      </c>
      <c r="P34" s="86">
        <v>11.6</v>
      </c>
      <c r="Q34" s="86">
        <v>11.84</v>
      </c>
      <c r="R34" s="86">
        <v>13.5</v>
      </c>
      <c r="S34" s="86">
        <v>17.899999999999999</v>
      </c>
      <c r="T34" s="86">
        <v>30.95</v>
      </c>
      <c r="U34" s="86">
        <v>33.49</v>
      </c>
      <c r="V34" s="86">
        <v>34.06</v>
      </c>
      <c r="W34" s="86">
        <v>87.8</v>
      </c>
      <c r="X34" s="86">
        <v>87.8</v>
      </c>
      <c r="Y34" s="86">
        <v>87.8</v>
      </c>
      <c r="AB34" s="86">
        <v>17</v>
      </c>
      <c r="AC34" s="86">
        <v>11.37</v>
      </c>
      <c r="AD34" s="86">
        <v>11.6</v>
      </c>
      <c r="AE34" s="86">
        <v>13.23</v>
      </c>
      <c r="AF34" s="86">
        <v>13.96</v>
      </c>
      <c r="AG34" s="86">
        <v>14.35</v>
      </c>
      <c r="AH34" s="86">
        <v>28.07</v>
      </c>
      <c r="AI34" s="86">
        <v>29.58</v>
      </c>
      <c r="AJ34" s="86">
        <v>87.8</v>
      </c>
      <c r="AK34" s="86">
        <v>87.8</v>
      </c>
      <c r="AL34" s="86">
        <v>87.8</v>
      </c>
    </row>
    <row r="35" spans="2:38" ht="12.75" customHeight="1">
      <c r="B35" s="249">
        <v>18</v>
      </c>
      <c r="C35" s="281">
        <v>11.54</v>
      </c>
      <c r="D35" s="281">
        <v>11.79</v>
      </c>
      <c r="E35" s="281">
        <v>13.49</v>
      </c>
      <c r="F35" s="281">
        <v>14.23</v>
      </c>
      <c r="G35" s="281">
        <v>14.64</v>
      </c>
      <c r="H35" s="281">
        <v>18.45</v>
      </c>
      <c r="I35" s="281">
        <v>18.98</v>
      </c>
      <c r="J35" s="281">
        <v>92.22</v>
      </c>
      <c r="K35" s="281">
        <v>92.22</v>
      </c>
      <c r="L35" s="281">
        <v>92.22</v>
      </c>
      <c r="O35" s="86">
        <v>18</v>
      </c>
      <c r="P35" s="86">
        <v>12.02</v>
      </c>
      <c r="Q35" s="86">
        <v>12.28</v>
      </c>
      <c r="R35" s="86">
        <v>14.04</v>
      </c>
      <c r="S35" s="86">
        <v>18.7</v>
      </c>
      <c r="T35" s="86">
        <v>32.520000000000003</v>
      </c>
      <c r="U35" s="86">
        <v>35.21</v>
      </c>
      <c r="V35" s="86">
        <v>35.82</v>
      </c>
      <c r="W35" s="86">
        <v>92.22</v>
      </c>
      <c r="X35" s="86">
        <v>92.22</v>
      </c>
      <c r="Y35" s="86">
        <v>92.22</v>
      </c>
      <c r="AB35" s="86">
        <v>18</v>
      </c>
      <c r="AC35" s="86">
        <v>11.78</v>
      </c>
      <c r="AD35" s="86">
        <v>12.03</v>
      </c>
      <c r="AE35" s="86">
        <v>13.76</v>
      </c>
      <c r="AF35" s="86">
        <v>14.52</v>
      </c>
      <c r="AG35" s="86">
        <v>14.94</v>
      </c>
      <c r="AH35" s="86">
        <v>29.47</v>
      </c>
      <c r="AI35" s="86">
        <v>31.08</v>
      </c>
      <c r="AJ35" s="86">
        <v>92.22</v>
      </c>
      <c r="AK35" s="86">
        <v>92.22</v>
      </c>
      <c r="AL35" s="86">
        <v>92.22</v>
      </c>
    </row>
    <row r="36" spans="2:38" ht="12.75" customHeight="1">
      <c r="B36" s="249">
        <v>19</v>
      </c>
      <c r="C36" s="281">
        <v>11.92</v>
      </c>
      <c r="D36" s="281">
        <v>12.2</v>
      </c>
      <c r="E36" s="281">
        <v>13.99</v>
      </c>
      <c r="F36" s="281">
        <v>14.77</v>
      </c>
      <c r="G36" s="281">
        <v>15.2</v>
      </c>
      <c r="H36" s="281">
        <v>19.22</v>
      </c>
      <c r="I36" s="281">
        <v>19.79</v>
      </c>
      <c r="J36" s="281">
        <v>96.02</v>
      </c>
      <c r="K36" s="281">
        <v>96.02</v>
      </c>
      <c r="L36" s="281">
        <v>96.02</v>
      </c>
      <c r="O36" s="86">
        <v>19</v>
      </c>
      <c r="P36" s="86">
        <v>12.41</v>
      </c>
      <c r="Q36" s="86">
        <v>12.7</v>
      </c>
      <c r="R36" s="86">
        <v>14.56</v>
      </c>
      <c r="S36" s="86">
        <v>19.48</v>
      </c>
      <c r="T36" s="86">
        <v>34.07</v>
      </c>
      <c r="U36" s="86">
        <v>36.909999999999997</v>
      </c>
      <c r="V36" s="86">
        <v>37.56</v>
      </c>
      <c r="W36" s="86">
        <v>96.02</v>
      </c>
      <c r="X36" s="86">
        <v>96.02</v>
      </c>
      <c r="Y36" s="86">
        <v>96.02</v>
      </c>
      <c r="AB36" s="86">
        <v>19</v>
      </c>
      <c r="AC36" s="86">
        <v>12.16</v>
      </c>
      <c r="AD36" s="86">
        <v>12.45</v>
      </c>
      <c r="AE36" s="86">
        <v>14.27</v>
      </c>
      <c r="AF36" s="86">
        <v>15.07</v>
      </c>
      <c r="AG36" s="86">
        <v>15.51</v>
      </c>
      <c r="AH36" s="86">
        <v>30.85</v>
      </c>
      <c r="AI36" s="86">
        <v>32.549999999999997</v>
      </c>
      <c r="AJ36" s="86">
        <v>96.02</v>
      </c>
      <c r="AK36" s="86">
        <v>96.02</v>
      </c>
      <c r="AL36" s="86">
        <v>96.02</v>
      </c>
    </row>
    <row r="37" spans="2:38" ht="12.75" customHeight="1">
      <c r="B37" s="249">
        <v>20</v>
      </c>
      <c r="C37" s="281">
        <v>12.3</v>
      </c>
      <c r="D37" s="281">
        <v>12.61</v>
      </c>
      <c r="E37" s="281">
        <v>14.49</v>
      </c>
      <c r="F37" s="281">
        <v>15.31</v>
      </c>
      <c r="G37" s="281">
        <v>15.76</v>
      </c>
      <c r="H37" s="281">
        <v>20</v>
      </c>
      <c r="I37" s="281">
        <v>20.6</v>
      </c>
      <c r="J37" s="281">
        <v>100.39</v>
      </c>
      <c r="K37" s="281">
        <v>100.39</v>
      </c>
      <c r="L37" s="281">
        <v>100.39</v>
      </c>
      <c r="O37" s="86">
        <v>20</v>
      </c>
      <c r="P37" s="86">
        <v>12.81</v>
      </c>
      <c r="Q37" s="86">
        <v>13.13</v>
      </c>
      <c r="R37" s="86">
        <v>15.08</v>
      </c>
      <c r="S37" s="86">
        <v>20.27</v>
      </c>
      <c r="T37" s="86">
        <v>35.630000000000003</v>
      </c>
      <c r="U37" s="86">
        <v>38.61</v>
      </c>
      <c r="V37" s="86">
        <v>39.299999999999997</v>
      </c>
      <c r="W37" s="86">
        <v>100.39</v>
      </c>
      <c r="X37" s="86">
        <v>100.39</v>
      </c>
      <c r="Y37" s="86">
        <v>100.39</v>
      </c>
      <c r="AB37" s="86">
        <v>20</v>
      </c>
      <c r="AC37" s="86">
        <v>12.55</v>
      </c>
      <c r="AD37" s="86">
        <v>12.87</v>
      </c>
      <c r="AE37" s="86">
        <v>14.78</v>
      </c>
      <c r="AF37" s="86">
        <v>15.62</v>
      </c>
      <c r="AG37" s="86">
        <v>16.079999999999998</v>
      </c>
      <c r="AH37" s="86">
        <v>32.229999999999997</v>
      </c>
      <c r="AI37" s="86">
        <v>34.04</v>
      </c>
      <c r="AJ37" s="86">
        <v>100.39</v>
      </c>
      <c r="AK37" s="86">
        <v>100.39</v>
      </c>
      <c r="AL37" s="86">
        <v>100.39</v>
      </c>
    </row>
    <row r="38" spans="2:38" ht="12.75" customHeight="1">
      <c r="B38" s="249">
        <v>21</v>
      </c>
      <c r="C38" s="281">
        <v>13</v>
      </c>
      <c r="D38" s="281">
        <v>13.31</v>
      </c>
      <c r="E38" s="281">
        <v>15.3</v>
      </c>
      <c r="F38" s="281">
        <v>16.16</v>
      </c>
      <c r="G38" s="281">
        <v>16.63</v>
      </c>
      <c r="H38" s="281">
        <v>21.08</v>
      </c>
      <c r="I38" s="281">
        <v>21.7</v>
      </c>
      <c r="J38" s="281">
        <v>103.99</v>
      </c>
      <c r="K38" s="281">
        <v>103.99</v>
      </c>
      <c r="L38" s="281">
        <v>103.99</v>
      </c>
      <c r="O38" s="86">
        <v>21</v>
      </c>
      <c r="P38" s="86">
        <v>13.53</v>
      </c>
      <c r="Q38" s="86">
        <v>13.86</v>
      </c>
      <c r="R38" s="86">
        <v>15.93</v>
      </c>
      <c r="S38" s="86">
        <v>21.36</v>
      </c>
      <c r="T38" s="86">
        <v>37.49</v>
      </c>
      <c r="U38" s="86">
        <v>40.619999999999997</v>
      </c>
      <c r="V38" s="86">
        <v>41.34</v>
      </c>
      <c r="W38" s="86">
        <v>103.99</v>
      </c>
      <c r="X38" s="86">
        <v>103.99</v>
      </c>
      <c r="Y38" s="86">
        <v>103.99</v>
      </c>
      <c r="AB38" s="86">
        <v>21</v>
      </c>
      <c r="AC38" s="86">
        <v>13.26</v>
      </c>
      <c r="AD38" s="86">
        <v>13.58</v>
      </c>
      <c r="AE38" s="86">
        <v>15.61</v>
      </c>
      <c r="AF38" s="86">
        <v>16.489999999999998</v>
      </c>
      <c r="AG38" s="86">
        <v>16.97</v>
      </c>
      <c r="AH38" s="86">
        <v>33.92</v>
      </c>
      <c r="AI38" s="86">
        <v>35.82</v>
      </c>
      <c r="AJ38" s="86">
        <v>103.99</v>
      </c>
      <c r="AK38" s="86">
        <v>103.99</v>
      </c>
      <c r="AL38" s="86">
        <v>103.99</v>
      </c>
    </row>
    <row r="39" spans="2:38" ht="12.75" customHeight="1">
      <c r="B39" s="249">
        <v>22</v>
      </c>
      <c r="C39" s="281">
        <v>13.34</v>
      </c>
      <c r="D39" s="281">
        <v>13.67</v>
      </c>
      <c r="E39" s="281">
        <v>15.75</v>
      </c>
      <c r="F39" s="281">
        <v>16.649999999999999</v>
      </c>
      <c r="G39" s="281">
        <v>17.149999999999999</v>
      </c>
      <c r="H39" s="281">
        <v>21.8</v>
      </c>
      <c r="I39" s="281">
        <v>22.46</v>
      </c>
      <c r="J39" s="281">
        <v>107.54</v>
      </c>
      <c r="K39" s="281">
        <v>107.54</v>
      </c>
      <c r="L39" s="281">
        <v>107.54</v>
      </c>
      <c r="O39" s="86">
        <v>22</v>
      </c>
      <c r="P39" s="86">
        <v>13.89</v>
      </c>
      <c r="Q39" s="86">
        <v>14.23</v>
      </c>
      <c r="R39" s="86">
        <v>16.399999999999999</v>
      </c>
      <c r="S39" s="86">
        <v>22.1</v>
      </c>
      <c r="T39" s="86">
        <v>38.99</v>
      </c>
      <c r="U39" s="86">
        <v>42.28</v>
      </c>
      <c r="V39" s="86">
        <v>43.04</v>
      </c>
      <c r="W39" s="86">
        <v>107.54</v>
      </c>
      <c r="X39" s="86">
        <v>107.54</v>
      </c>
      <c r="Y39" s="86">
        <v>107.54</v>
      </c>
      <c r="AB39" s="86">
        <v>22</v>
      </c>
      <c r="AC39" s="86">
        <v>13.61</v>
      </c>
      <c r="AD39" s="86">
        <v>13.95</v>
      </c>
      <c r="AE39" s="86">
        <v>16.07</v>
      </c>
      <c r="AF39" s="86">
        <v>16.989999999999998</v>
      </c>
      <c r="AG39" s="86">
        <v>17.5</v>
      </c>
      <c r="AH39" s="86">
        <v>35.26</v>
      </c>
      <c r="AI39" s="86">
        <v>37.25</v>
      </c>
      <c r="AJ39" s="86">
        <v>107.54</v>
      </c>
      <c r="AK39" s="86">
        <v>107.54</v>
      </c>
      <c r="AL39" s="86">
        <v>107.54</v>
      </c>
    </row>
    <row r="40" spans="2:38" ht="12.75" customHeight="1">
      <c r="B40" s="249">
        <v>23</v>
      </c>
      <c r="C40" s="281">
        <v>13.67</v>
      </c>
      <c r="D40" s="281">
        <v>14.04</v>
      </c>
      <c r="E40" s="281">
        <v>16.21</v>
      </c>
      <c r="F40" s="281">
        <v>17.14</v>
      </c>
      <c r="G40" s="281">
        <v>17.670000000000002</v>
      </c>
      <c r="H40" s="281">
        <v>22.53</v>
      </c>
      <c r="I40" s="281">
        <v>23.23</v>
      </c>
      <c r="J40" s="281">
        <v>111.15</v>
      </c>
      <c r="K40" s="281">
        <v>111.15</v>
      </c>
      <c r="L40" s="281">
        <v>111.15</v>
      </c>
      <c r="O40" s="86">
        <v>23</v>
      </c>
      <c r="P40" s="86">
        <v>14.23</v>
      </c>
      <c r="Q40" s="86">
        <v>14.62</v>
      </c>
      <c r="R40" s="86">
        <v>16.88</v>
      </c>
      <c r="S40" s="86">
        <v>22.84</v>
      </c>
      <c r="T40" s="86">
        <v>40.51</v>
      </c>
      <c r="U40" s="86">
        <v>43.94</v>
      </c>
      <c r="V40" s="86">
        <v>44.74</v>
      </c>
      <c r="W40" s="86">
        <v>111.15</v>
      </c>
      <c r="X40" s="86">
        <v>111.15</v>
      </c>
      <c r="Y40" s="86">
        <v>111.15</v>
      </c>
      <c r="AB40" s="86">
        <v>23</v>
      </c>
      <c r="AC40" s="86">
        <v>13.95</v>
      </c>
      <c r="AD40" s="86">
        <v>14.33</v>
      </c>
      <c r="AE40" s="86">
        <v>16.54</v>
      </c>
      <c r="AF40" s="86">
        <v>17.489999999999998</v>
      </c>
      <c r="AG40" s="86">
        <v>18.03</v>
      </c>
      <c r="AH40" s="86">
        <v>36.6</v>
      </c>
      <c r="AI40" s="86">
        <v>38.69</v>
      </c>
      <c r="AJ40" s="86">
        <v>111.15</v>
      </c>
      <c r="AK40" s="86">
        <v>111.15</v>
      </c>
      <c r="AL40" s="86">
        <v>111.15</v>
      </c>
    </row>
    <row r="41" spans="2:38" ht="12.75" customHeight="1">
      <c r="B41" s="249">
        <v>24</v>
      </c>
      <c r="C41" s="281">
        <v>13.96</v>
      </c>
      <c r="D41" s="281">
        <v>14.36</v>
      </c>
      <c r="E41" s="281">
        <v>16.62</v>
      </c>
      <c r="F41" s="281">
        <v>17.579999999999998</v>
      </c>
      <c r="G41" s="281">
        <v>18.14</v>
      </c>
      <c r="H41" s="281">
        <v>23.21</v>
      </c>
      <c r="I41" s="281">
        <v>23.95</v>
      </c>
      <c r="J41" s="281">
        <v>114.8</v>
      </c>
      <c r="K41" s="281">
        <v>114.8</v>
      </c>
      <c r="L41" s="281">
        <v>114.8</v>
      </c>
      <c r="O41" s="86">
        <v>24</v>
      </c>
      <c r="P41" s="86">
        <v>14.53</v>
      </c>
      <c r="Q41" s="86">
        <v>14.95</v>
      </c>
      <c r="R41" s="86">
        <v>17.3</v>
      </c>
      <c r="S41" s="86">
        <v>23.53</v>
      </c>
      <c r="T41" s="86">
        <v>41.97</v>
      </c>
      <c r="U41" s="86">
        <v>45.54</v>
      </c>
      <c r="V41" s="86">
        <v>46.39</v>
      </c>
      <c r="W41" s="86">
        <v>114.8</v>
      </c>
      <c r="X41" s="86">
        <v>114.8</v>
      </c>
      <c r="Y41" s="86">
        <v>114.8</v>
      </c>
      <c r="AB41" s="86">
        <v>24</v>
      </c>
      <c r="AC41" s="86">
        <v>14.24</v>
      </c>
      <c r="AD41" s="86">
        <v>14.65</v>
      </c>
      <c r="AE41" s="86">
        <v>16.96</v>
      </c>
      <c r="AF41" s="86">
        <v>17.940000000000001</v>
      </c>
      <c r="AG41" s="86">
        <v>18.510000000000002</v>
      </c>
      <c r="AH41" s="86">
        <v>37.89</v>
      </c>
      <c r="AI41" s="86">
        <v>40.08</v>
      </c>
      <c r="AJ41" s="86">
        <v>114.8</v>
      </c>
      <c r="AK41" s="86">
        <v>114.8</v>
      </c>
      <c r="AL41" s="86">
        <v>114.8</v>
      </c>
    </row>
    <row r="42" spans="2:38" ht="12.75" customHeight="1">
      <c r="B42" s="249">
        <v>25</v>
      </c>
      <c r="C42" s="281">
        <v>14.26</v>
      </c>
      <c r="D42" s="281">
        <v>14.68</v>
      </c>
      <c r="E42" s="281">
        <v>17.04</v>
      </c>
      <c r="F42" s="281">
        <v>18.04</v>
      </c>
      <c r="G42" s="281">
        <v>18.62</v>
      </c>
      <c r="H42" s="281">
        <v>23.9</v>
      </c>
      <c r="I42" s="281">
        <v>24.68</v>
      </c>
      <c r="J42" s="281">
        <v>118.46</v>
      </c>
      <c r="K42" s="281">
        <v>118.46</v>
      </c>
      <c r="L42" s="281">
        <v>118.46</v>
      </c>
      <c r="O42" s="86">
        <v>25</v>
      </c>
      <c r="P42" s="86">
        <v>14.85</v>
      </c>
      <c r="Q42" s="86">
        <v>15.28</v>
      </c>
      <c r="R42" s="86">
        <v>17.739999999999998</v>
      </c>
      <c r="S42" s="86">
        <v>24.24</v>
      </c>
      <c r="T42" s="86">
        <v>43.45</v>
      </c>
      <c r="U42" s="86">
        <v>47.17</v>
      </c>
      <c r="V42" s="86">
        <v>48.06</v>
      </c>
      <c r="W42" s="86">
        <v>118.46</v>
      </c>
      <c r="X42" s="86">
        <v>118.46</v>
      </c>
      <c r="Y42" s="86">
        <v>118.46</v>
      </c>
      <c r="AB42" s="86">
        <v>25</v>
      </c>
      <c r="AC42" s="86">
        <v>14.55</v>
      </c>
      <c r="AD42" s="86">
        <v>14.98</v>
      </c>
      <c r="AE42" s="86">
        <v>17.39</v>
      </c>
      <c r="AF42" s="86">
        <v>18.41</v>
      </c>
      <c r="AG42" s="86">
        <v>19</v>
      </c>
      <c r="AH42" s="86">
        <v>39.19</v>
      </c>
      <c r="AI42" s="86">
        <v>41.48</v>
      </c>
      <c r="AJ42" s="86">
        <v>118.46</v>
      </c>
      <c r="AK42" s="86">
        <v>118.46</v>
      </c>
      <c r="AL42" s="86">
        <v>118.46</v>
      </c>
    </row>
    <row r="43" spans="2:38" ht="12.75" customHeight="1"/>
    <row r="44" spans="2:38" ht="12.75" customHeight="1"/>
    <row r="45" spans="2:38" ht="12.75" customHeight="1"/>
    <row r="46" spans="2:38" ht="12.75" customHeight="1"/>
    <row r="47" spans="2:38" ht="12.75" customHeight="1"/>
    <row r="48" spans="2:3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heet="1" objects="1" scenarios="1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00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5703125" defaultRowHeight="15" customHeight="1"/>
  <cols>
    <col min="1" max="1" width="6.5703125" customWidth="1"/>
    <col min="2" max="7" width="7.5703125" customWidth="1"/>
    <col min="8" max="8" width="9.7109375" customWidth="1"/>
    <col min="9" max="9" width="3.5703125" customWidth="1"/>
    <col min="10" max="26" width="8.5703125" customWidth="1"/>
  </cols>
  <sheetData>
    <row r="1" spans="1:26" ht="12.75" customHeight="1">
      <c r="A1" s="1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spans="1:26" ht="12.75" customHeight="1">
      <c r="A2" s="1" t="s">
        <v>5</v>
      </c>
      <c r="B2" s="3">
        <v>132</v>
      </c>
      <c r="C2" s="3">
        <v>133</v>
      </c>
      <c r="D2" s="3">
        <v>134</v>
      </c>
      <c r="E2" s="3">
        <v>135</v>
      </c>
      <c r="F2" s="3">
        <v>136</v>
      </c>
      <c r="G2" s="3">
        <v>137</v>
      </c>
      <c r="H2" s="3">
        <v>138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6">
        <v>40.82</v>
      </c>
      <c r="C3" s="6">
        <v>56.69</v>
      </c>
      <c r="D3" s="6">
        <v>73.11</v>
      </c>
      <c r="E3" s="6">
        <v>81</v>
      </c>
      <c r="F3" s="6">
        <v>87.8</v>
      </c>
      <c r="G3" s="6">
        <v>95.41</v>
      </c>
      <c r="H3" s="7">
        <v>99.65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9">
        <v>2</v>
      </c>
      <c r="B4" s="10">
        <v>43.54</v>
      </c>
      <c r="C4" s="10">
        <v>60.67</v>
      </c>
      <c r="D4" s="10">
        <v>84.09</v>
      </c>
      <c r="E4" s="10">
        <v>91.38</v>
      </c>
      <c r="F4" s="10">
        <v>100.71</v>
      </c>
      <c r="G4" s="10">
        <v>109.29</v>
      </c>
      <c r="H4" s="11">
        <v>115.53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3">
        <v>3</v>
      </c>
      <c r="B5" s="14">
        <v>47.31</v>
      </c>
      <c r="C5" s="14">
        <v>64.17</v>
      </c>
      <c r="D5" s="14">
        <v>93.25</v>
      </c>
      <c r="E5" s="14">
        <v>101.23</v>
      </c>
      <c r="F5" s="14">
        <v>108.02</v>
      </c>
      <c r="G5" s="14">
        <v>119.15</v>
      </c>
      <c r="H5" s="15">
        <v>126.28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3">
        <v>4</v>
      </c>
      <c r="B6" s="14">
        <v>51.04</v>
      </c>
      <c r="C6" s="14">
        <v>66.52</v>
      </c>
      <c r="D6" s="14">
        <v>100.08</v>
      </c>
      <c r="E6" s="14">
        <v>109.92</v>
      </c>
      <c r="F6" s="14">
        <v>121.26</v>
      </c>
      <c r="G6" s="14">
        <v>129.66999999999999</v>
      </c>
      <c r="H6" s="15">
        <v>138.26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6">
        <v>5</v>
      </c>
      <c r="B7" s="17">
        <v>51.95</v>
      </c>
      <c r="C7" s="17">
        <v>68.95</v>
      </c>
      <c r="D7" s="17">
        <v>107.46</v>
      </c>
      <c r="E7" s="17">
        <v>120.63</v>
      </c>
      <c r="F7" s="17">
        <v>125.12</v>
      </c>
      <c r="G7" s="17">
        <v>133.76</v>
      </c>
      <c r="H7" s="18">
        <v>141.30000000000001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9">
        <v>6</v>
      </c>
      <c r="B8" s="20">
        <v>54.83</v>
      </c>
      <c r="C8" s="20">
        <v>78.17</v>
      </c>
      <c r="D8" s="21">
        <v>118.45</v>
      </c>
      <c r="E8" s="21">
        <v>127.41</v>
      </c>
      <c r="F8" s="21">
        <v>141.47</v>
      </c>
      <c r="G8" s="21">
        <v>148.03</v>
      </c>
      <c r="H8" s="22">
        <v>157.5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3">
        <v>7</v>
      </c>
      <c r="B9" s="24">
        <v>56.6</v>
      </c>
      <c r="C9" s="24">
        <v>81.569999999999993</v>
      </c>
      <c r="D9" s="25">
        <v>126.75</v>
      </c>
      <c r="E9" s="25">
        <v>139.76</v>
      </c>
      <c r="F9" s="25">
        <v>151.53</v>
      </c>
      <c r="G9" s="25">
        <v>160.68</v>
      </c>
      <c r="H9" s="26">
        <v>169.88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9">
        <v>8</v>
      </c>
      <c r="B10" s="24">
        <v>59.57</v>
      </c>
      <c r="C10" s="24">
        <v>83.92</v>
      </c>
      <c r="D10" s="25">
        <v>133.85</v>
      </c>
      <c r="E10" s="25">
        <v>147.4</v>
      </c>
      <c r="F10" s="25">
        <v>161.75</v>
      </c>
      <c r="G10" s="25">
        <v>170.45</v>
      </c>
      <c r="H10" s="26">
        <v>178.83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9">
        <v>9</v>
      </c>
      <c r="B11" s="24">
        <v>61.62</v>
      </c>
      <c r="C11" s="24">
        <v>87.54</v>
      </c>
      <c r="D11" s="25">
        <v>144.02000000000001</v>
      </c>
      <c r="E11" s="25">
        <v>158.02000000000001</v>
      </c>
      <c r="F11" s="25">
        <v>165.45</v>
      </c>
      <c r="G11" s="25">
        <v>182.82</v>
      </c>
      <c r="H11" s="26">
        <v>192.12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7">
        <v>10</v>
      </c>
      <c r="B12" s="28">
        <v>61.93</v>
      </c>
      <c r="C12" s="28">
        <v>90.02</v>
      </c>
      <c r="D12" s="29">
        <v>145.22999999999999</v>
      </c>
      <c r="E12" s="29">
        <v>160.22</v>
      </c>
      <c r="F12" s="29">
        <v>167.74</v>
      </c>
      <c r="G12" s="29">
        <v>184.06</v>
      </c>
      <c r="H12" s="30">
        <v>193.81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3">
        <v>11</v>
      </c>
      <c r="B13" s="10">
        <v>66.39</v>
      </c>
      <c r="C13" s="10">
        <v>94.99</v>
      </c>
      <c r="D13" s="10">
        <v>159.94</v>
      </c>
      <c r="E13" s="10">
        <v>179.23</v>
      </c>
      <c r="F13" s="10">
        <v>194</v>
      </c>
      <c r="G13" s="10">
        <v>207.54</v>
      </c>
      <c r="H13" s="11">
        <v>213.8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3">
        <v>12</v>
      </c>
      <c r="B14" s="14">
        <v>68.599999999999994</v>
      </c>
      <c r="C14" s="14">
        <v>99.83</v>
      </c>
      <c r="D14" s="14">
        <v>168.75</v>
      </c>
      <c r="E14" s="14">
        <v>187.42</v>
      </c>
      <c r="F14" s="14">
        <v>203.47</v>
      </c>
      <c r="G14" s="14">
        <v>218.84</v>
      </c>
      <c r="H14" s="15">
        <v>225.22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3">
        <v>13</v>
      </c>
      <c r="B15" s="14">
        <v>69.36</v>
      </c>
      <c r="C15" s="14">
        <v>104.82</v>
      </c>
      <c r="D15" s="14">
        <v>178.47</v>
      </c>
      <c r="E15" s="14">
        <v>196.11</v>
      </c>
      <c r="F15" s="14">
        <v>211.73</v>
      </c>
      <c r="G15" s="14">
        <v>230.43</v>
      </c>
      <c r="H15" s="15">
        <v>236.08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3">
        <v>14</v>
      </c>
      <c r="B16" s="14">
        <v>71.12</v>
      </c>
      <c r="C16" s="14">
        <v>108.92</v>
      </c>
      <c r="D16" s="14">
        <v>187.55</v>
      </c>
      <c r="E16" s="14">
        <v>204.41</v>
      </c>
      <c r="F16" s="14">
        <v>219.93</v>
      </c>
      <c r="G16" s="14">
        <v>240.48</v>
      </c>
      <c r="H16" s="15">
        <v>247.78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3">
        <v>15</v>
      </c>
      <c r="B17" s="17">
        <v>73.84</v>
      </c>
      <c r="C17" s="17">
        <v>112.6</v>
      </c>
      <c r="D17" s="17">
        <v>192.4</v>
      </c>
      <c r="E17" s="17">
        <v>212.64</v>
      </c>
      <c r="F17" s="17">
        <v>223.98</v>
      </c>
      <c r="G17" s="17">
        <v>248.44</v>
      </c>
      <c r="H17" s="18">
        <v>256.08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1">
        <v>16</v>
      </c>
      <c r="B18" s="20">
        <v>75.41</v>
      </c>
      <c r="C18" s="20">
        <v>113.74</v>
      </c>
      <c r="D18" s="21">
        <v>201.46</v>
      </c>
      <c r="E18" s="21">
        <v>218.42</v>
      </c>
      <c r="F18" s="21">
        <v>235.63</v>
      </c>
      <c r="G18" s="21">
        <v>252.51</v>
      </c>
      <c r="H18" s="22">
        <v>263.62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9">
        <v>17</v>
      </c>
      <c r="B19" s="24">
        <v>77.03</v>
      </c>
      <c r="C19" s="24">
        <v>117.5</v>
      </c>
      <c r="D19" s="25">
        <v>209.15</v>
      </c>
      <c r="E19" s="25">
        <v>227.61</v>
      </c>
      <c r="F19" s="25">
        <v>241.11</v>
      </c>
      <c r="G19" s="25">
        <v>258.23</v>
      </c>
      <c r="H19" s="26">
        <v>269.24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9">
        <v>18</v>
      </c>
      <c r="B20" s="24">
        <v>81.61</v>
      </c>
      <c r="C20" s="24">
        <v>118.82</v>
      </c>
      <c r="D20" s="25">
        <v>215.44</v>
      </c>
      <c r="E20" s="25">
        <v>232.31</v>
      </c>
      <c r="F20" s="25">
        <v>246.41</v>
      </c>
      <c r="G20" s="25">
        <v>263.79000000000002</v>
      </c>
      <c r="H20" s="26">
        <v>273.85000000000002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9">
        <v>19</v>
      </c>
      <c r="B21" s="24">
        <v>83.79</v>
      </c>
      <c r="C21" s="24">
        <v>123.88</v>
      </c>
      <c r="D21" s="25">
        <v>220.56</v>
      </c>
      <c r="E21" s="25">
        <v>237.22</v>
      </c>
      <c r="F21" s="25">
        <v>251.98</v>
      </c>
      <c r="G21" s="25">
        <v>269.7</v>
      </c>
      <c r="H21" s="26">
        <v>283.56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9">
        <v>20</v>
      </c>
      <c r="B22" s="28">
        <v>85.36</v>
      </c>
      <c r="C22" s="28">
        <v>127.53</v>
      </c>
      <c r="D22" s="29">
        <v>226.22</v>
      </c>
      <c r="E22" s="29">
        <v>246.37</v>
      </c>
      <c r="F22" s="29">
        <v>253.54</v>
      </c>
      <c r="G22" s="29">
        <v>278.37</v>
      </c>
      <c r="H22" s="30">
        <v>284.74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2">
        <v>21</v>
      </c>
      <c r="B23" s="10">
        <v>87.65</v>
      </c>
      <c r="C23" s="10">
        <v>130</v>
      </c>
      <c r="D23" s="10">
        <v>240.07</v>
      </c>
      <c r="E23" s="10">
        <v>254.47</v>
      </c>
      <c r="F23" s="10">
        <v>272.89999999999998</v>
      </c>
      <c r="G23" s="10">
        <v>288.62</v>
      </c>
      <c r="H23" s="11">
        <v>304.67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3">
        <v>22</v>
      </c>
      <c r="B24" s="14">
        <v>90.73</v>
      </c>
      <c r="C24" s="14">
        <v>132.75</v>
      </c>
      <c r="D24" s="14">
        <v>246.27</v>
      </c>
      <c r="E24" s="14">
        <v>267.91000000000003</v>
      </c>
      <c r="F24" s="14">
        <v>274.83999999999997</v>
      </c>
      <c r="G24" s="14">
        <v>309.25</v>
      </c>
      <c r="H24" s="15">
        <v>317.58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3">
        <v>23</v>
      </c>
      <c r="B25" s="14">
        <v>93.49</v>
      </c>
      <c r="C25" s="14">
        <v>135.29</v>
      </c>
      <c r="D25" s="14">
        <v>252.96</v>
      </c>
      <c r="E25" s="14">
        <v>277</v>
      </c>
      <c r="F25" s="14">
        <v>285.60000000000002</v>
      </c>
      <c r="G25" s="14">
        <v>312.62</v>
      </c>
      <c r="H25" s="15">
        <v>318.88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3">
        <v>24</v>
      </c>
      <c r="B26" s="14">
        <v>94.58</v>
      </c>
      <c r="C26" s="14">
        <v>135.55000000000001</v>
      </c>
      <c r="D26" s="14">
        <v>253.63</v>
      </c>
      <c r="E26" s="14">
        <v>277.91000000000003</v>
      </c>
      <c r="F26" s="14">
        <v>288.27</v>
      </c>
      <c r="G26" s="14">
        <v>316.7</v>
      </c>
      <c r="H26" s="15">
        <v>325.93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6">
        <v>25</v>
      </c>
      <c r="B27" s="17">
        <v>95.86</v>
      </c>
      <c r="C27" s="17">
        <v>140.41</v>
      </c>
      <c r="D27" s="17">
        <v>258.88</v>
      </c>
      <c r="E27" s="17">
        <v>281.44</v>
      </c>
      <c r="F27" s="17">
        <v>292.26</v>
      </c>
      <c r="G27" s="17">
        <v>320.38</v>
      </c>
      <c r="H27" s="18">
        <v>330.3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9">
        <v>26</v>
      </c>
      <c r="B28" s="20">
        <v>97.41</v>
      </c>
      <c r="C28" s="20">
        <v>144.38</v>
      </c>
      <c r="D28" s="21">
        <v>275.07</v>
      </c>
      <c r="E28" s="21">
        <v>299.19</v>
      </c>
      <c r="F28" s="21">
        <v>317.04000000000002</v>
      </c>
      <c r="G28" s="21">
        <v>332.03</v>
      </c>
      <c r="H28" s="22">
        <v>344.48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3">
        <v>27</v>
      </c>
      <c r="B29" s="24">
        <v>100.49</v>
      </c>
      <c r="C29" s="24">
        <v>148.36000000000001</v>
      </c>
      <c r="D29" s="25">
        <v>279.7</v>
      </c>
      <c r="E29" s="25">
        <v>301.49</v>
      </c>
      <c r="F29" s="25">
        <v>320.70999999999998</v>
      </c>
      <c r="G29" s="25">
        <v>337.44</v>
      </c>
      <c r="H29" s="26">
        <v>360.78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3">
        <v>28</v>
      </c>
      <c r="B30" s="24">
        <v>102.28</v>
      </c>
      <c r="C30" s="24">
        <v>152.22</v>
      </c>
      <c r="D30" s="25">
        <v>287.77999999999997</v>
      </c>
      <c r="E30" s="25">
        <v>310.08999999999997</v>
      </c>
      <c r="F30" s="25">
        <v>323.05</v>
      </c>
      <c r="G30" s="25">
        <v>345.37</v>
      </c>
      <c r="H30" s="26">
        <v>370.23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3">
        <v>29</v>
      </c>
      <c r="B31" s="24">
        <v>102.89</v>
      </c>
      <c r="C31" s="24">
        <v>152.61000000000001</v>
      </c>
      <c r="D31" s="25">
        <v>294.77999999999997</v>
      </c>
      <c r="E31" s="25">
        <v>311.89999999999998</v>
      </c>
      <c r="F31" s="25">
        <v>323.35000000000002</v>
      </c>
      <c r="G31" s="25">
        <v>355.89</v>
      </c>
      <c r="H31" s="26">
        <v>372.29</v>
      </c>
    </row>
    <row r="32" spans="1:26" ht="12.75" customHeight="1">
      <c r="A32" s="23">
        <v>30</v>
      </c>
      <c r="B32" s="28">
        <v>107.58</v>
      </c>
      <c r="C32" s="28">
        <v>156.77000000000001</v>
      </c>
      <c r="D32" s="29">
        <v>298.3</v>
      </c>
      <c r="E32" s="29">
        <v>314.8</v>
      </c>
      <c r="F32" s="29">
        <v>327.92</v>
      </c>
      <c r="G32" s="29">
        <v>357.5</v>
      </c>
      <c r="H32" s="30">
        <v>376.56</v>
      </c>
    </row>
    <row r="33" spans="1:26" ht="12.75" customHeight="1">
      <c r="A33" s="9">
        <v>31</v>
      </c>
      <c r="B33" s="10">
        <v>109.57</v>
      </c>
      <c r="C33" s="10">
        <v>158.58000000000001</v>
      </c>
      <c r="D33" s="10">
        <v>308.22000000000003</v>
      </c>
      <c r="E33" s="10">
        <v>329.75</v>
      </c>
      <c r="F33" s="10">
        <v>353.62</v>
      </c>
      <c r="G33" s="10">
        <v>370.42</v>
      </c>
      <c r="H33" s="11">
        <v>387.63</v>
      </c>
    </row>
    <row r="34" spans="1:26" ht="12.75" customHeight="1">
      <c r="A34" s="33">
        <v>32</v>
      </c>
      <c r="B34" s="14">
        <v>111.85</v>
      </c>
      <c r="C34" s="14">
        <v>161.30000000000001</v>
      </c>
      <c r="D34" s="14">
        <v>314.93</v>
      </c>
      <c r="E34" s="14">
        <v>334.4</v>
      </c>
      <c r="F34" s="14">
        <v>360.63</v>
      </c>
      <c r="G34" s="14">
        <v>372.3</v>
      </c>
      <c r="H34" s="15">
        <v>397.96</v>
      </c>
    </row>
    <row r="35" spans="1:26" ht="12.75" customHeight="1">
      <c r="A35" s="33">
        <v>33</v>
      </c>
      <c r="B35" s="14">
        <v>114.32</v>
      </c>
      <c r="C35" s="14">
        <v>164.53</v>
      </c>
      <c r="D35" s="14">
        <v>324.43</v>
      </c>
      <c r="E35" s="14">
        <v>345.6</v>
      </c>
      <c r="F35" s="14">
        <v>363.96</v>
      </c>
      <c r="G35" s="14">
        <v>391.88</v>
      </c>
      <c r="H35" s="15">
        <v>410.68</v>
      </c>
    </row>
    <row r="36" spans="1:26" ht="12.75" customHeight="1">
      <c r="A36" s="33">
        <v>34</v>
      </c>
      <c r="B36" s="14">
        <v>116.3</v>
      </c>
      <c r="C36" s="14">
        <v>168.21</v>
      </c>
      <c r="D36" s="14">
        <v>331.77</v>
      </c>
      <c r="E36" s="14">
        <v>355.17</v>
      </c>
      <c r="F36" s="14">
        <v>368.11</v>
      </c>
      <c r="G36" s="14">
        <v>404.23</v>
      </c>
      <c r="H36" s="15">
        <v>416.55</v>
      </c>
    </row>
    <row r="37" spans="1:26" ht="12.75" customHeight="1">
      <c r="A37" s="16">
        <v>35</v>
      </c>
      <c r="B37" s="17">
        <v>119.62</v>
      </c>
      <c r="C37" s="17">
        <v>171.55</v>
      </c>
      <c r="D37" s="17">
        <v>332.51</v>
      </c>
      <c r="E37" s="17">
        <v>360.92</v>
      </c>
      <c r="F37" s="17">
        <v>368.8</v>
      </c>
      <c r="G37" s="17">
        <v>411.96</v>
      </c>
      <c r="H37" s="18">
        <v>420.62</v>
      </c>
    </row>
    <row r="38" spans="1:26" ht="12.75" customHeight="1">
      <c r="A38" s="5">
        <v>36</v>
      </c>
      <c r="B38" s="6">
        <v>120.36</v>
      </c>
      <c r="C38" s="6">
        <v>175.22</v>
      </c>
      <c r="D38" s="6">
        <v>346.47</v>
      </c>
      <c r="E38" s="6">
        <v>365.14</v>
      </c>
      <c r="F38" s="6">
        <v>382.41</v>
      </c>
      <c r="G38" s="6">
        <v>414.38</v>
      </c>
      <c r="H38" s="7">
        <v>425.93</v>
      </c>
      <c r="I38" s="4"/>
    </row>
    <row r="39" spans="1:26" ht="12.75" customHeight="1">
      <c r="A39" s="9">
        <v>37</v>
      </c>
      <c r="B39" s="10">
        <v>120.65</v>
      </c>
      <c r="C39" s="10">
        <v>177.58</v>
      </c>
      <c r="D39" s="10">
        <v>355.01</v>
      </c>
      <c r="E39" s="10">
        <v>375.14</v>
      </c>
      <c r="F39" s="10">
        <v>402.02</v>
      </c>
      <c r="G39" s="10">
        <v>428.08</v>
      </c>
      <c r="H39" s="11">
        <v>444.9</v>
      </c>
    </row>
    <row r="40" spans="1:26" ht="12.75" customHeight="1">
      <c r="A40" s="13">
        <v>38</v>
      </c>
      <c r="B40" s="14">
        <v>124.41</v>
      </c>
      <c r="C40" s="14">
        <v>181.17</v>
      </c>
      <c r="D40" s="14">
        <v>360.9</v>
      </c>
      <c r="E40" s="14">
        <v>387.75</v>
      </c>
      <c r="F40" s="14">
        <v>408.8</v>
      </c>
      <c r="G40" s="14">
        <v>434.21</v>
      </c>
      <c r="H40" s="15">
        <v>446.81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3">
        <v>39</v>
      </c>
      <c r="B41" s="14">
        <v>125.9</v>
      </c>
      <c r="C41" s="14">
        <v>181.53</v>
      </c>
      <c r="D41" s="14">
        <v>364.04</v>
      </c>
      <c r="E41" s="14">
        <v>390.7</v>
      </c>
      <c r="F41" s="14">
        <v>409.49</v>
      </c>
      <c r="G41" s="14">
        <v>437.73</v>
      </c>
      <c r="H41" s="15">
        <v>450.83</v>
      </c>
    </row>
    <row r="42" spans="1:26" ht="12.75" customHeight="1">
      <c r="A42" s="16">
        <v>40</v>
      </c>
      <c r="B42" s="17">
        <v>131.59</v>
      </c>
      <c r="C42" s="17">
        <v>181.73</v>
      </c>
      <c r="D42" s="17">
        <v>364.72</v>
      </c>
      <c r="E42" s="17">
        <v>395.09</v>
      </c>
      <c r="F42" s="17">
        <v>410.69</v>
      </c>
      <c r="G42" s="17">
        <v>442.6</v>
      </c>
      <c r="H42" s="18">
        <v>451.86</v>
      </c>
    </row>
    <row r="43" spans="1:26" ht="12.75" customHeight="1">
      <c r="A43" s="19">
        <v>41</v>
      </c>
      <c r="B43" s="20">
        <v>133.85</v>
      </c>
      <c r="C43" s="20">
        <v>183.42</v>
      </c>
      <c r="D43" s="21">
        <v>378.08</v>
      </c>
      <c r="E43" s="21">
        <v>401.9</v>
      </c>
      <c r="F43" s="21">
        <v>430.42</v>
      </c>
      <c r="G43" s="21">
        <v>449.16</v>
      </c>
      <c r="H43" s="22">
        <v>472.32</v>
      </c>
    </row>
    <row r="44" spans="1:26" ht="12.75" customHeight="1">
      <c r="A44" s="23">
        <v>42</v>
      </c>
      <c r="B44" s="24">
        <v>136.34</v>
      </c>
      <c r="C44" s="24">
        <v>195.18</v>
      </c>
      <c r="D44" s="25">
        <v>383.19</v>
      </c>
      <c r="E44" s="25">
        <v>412.23</v>
      </c>
      <c r="F44" s="25">
        <v>436.91</v>
      </c>
      <c r="G44" s="25">
        <v>450.9</v>
      </c>
      <c r="H44" s="26">
        <v>483.19</v>
      </c>
    </row>
    <row r="45" spans="1:26" ht="12.75" customHeight="1">
      <c r="A45" s="19">
        <v>43</v>
      </c>
      <c r="B45" s="24">
        <v>138.6</v>
      </c>
      <c r="C45" s="24">
        <v>196.36</v>
      </c>
      <c r="D45" s="25">
        <v>393.5</v>
      </c>
      <c r="E45" s="25">
        <v>419.81</v>
      </c>
      <c r="F45" s="25">
        <v>441.02</v>
      </c>
      <c r="G45" s="25">
        <v>473.85</v>
      </c>
      <c r="H45" s="26">
        <v>504.66</v>
      </c>
    </row>
    <row r="46" spans="1:26" ht="12.75" customHeight="1">
      <c r="A46" s="19">
        <v>44</v>
      </c>
      <c r="B46" s="24">
        <v>141</v>
      </c>
      <c r="C46" s="24">
        <v>197.04</v>
      </c>
      <c r="D46" s="25">
        <v>400.41</v>
      </c>
      <c r="E46" s="25">
        <v>431.83</v>
      </c>
      <c r="F46" s="25">
        <v>452.98</v>
      </c>
      <c r="G46" s="25">
        <v>481.84</v>
      </c>
      <c r="H46" s="26">
        <v>518.26</v>
      </c>
    </row>
    <row r="47" spans="1:26" ht="12.75" customHeight="1">
      <c r="A47" s="27">
        <v>45</v>
      </c>
      <c r="B47" s="28">
        <v>143.28</v>
      </c>
      <c r="C47" s="28">
        <v>197.7</v>
      </c>
      <c r="D47" s="29">
        <v>408.84</v>
      </c>
      <c r="E47" s="29">
        <v>440.47</v>
      </c>
      <c r="F47" s="29">
        <v>454.18</v>
      </c>
      <c r="G47" s="29">
        <v>494.52</v>
      </c>
      <c r="H47" s="30">
        <v>519.63</v>
      </c>
    </row>
    <row r="48" spans="1:26" ht="12.75" customHeight="1">
      <c r="A48" s="13">
        <v>46</v>
      </c>
      <c r="B48" s="10">
        <v>145.46</v>
      </c>
      <c r="C48" s="10">
        <v>210.81</v>
      </c>
      <c r="D48" s="10">
        <v>415.72</v>
      </c>
      <c r="E48" s="10">
        <v>453.03</v>
      </c>
      <c r="F48" s="10">
        <v>470.59</v>
      </c>
      <c r="G48" s="10">
        <v>495.79</v>
      </c>
      <c r="H48" s="11">
        <v>535.45000000000005</v>
      </c>
    </row>
    <row r="49" spans="1:8" ht="12.75" customHeight="1">
      <c r="A49" s="13">
        <v>47</v>
      </c>
      <c r="B49" s="14">
        <v>148.57</v>
      </c>
      <c r="C49" s="14">
        <v>215.14</v>
      </c>
      <c r="D49" s="14">
        <v>416.42</v>
      </c>
      <c r="E49" s="14">
        <v>454.3</v>
      </c>
      <c r="F49" s="14">
        <v>472.89</v>
      </c>
      <c r="G49" s="14">
        <v>502.03</v>
      </c>
      <c r="H49" s="15">
        <v>537.63</v>
      </c>
    </row>
    <row r="50" spans="1:8" ht="12.75" customHeight="1">
      <c r="A50" s="13">
        <v>48</v>
      </c>
      <c r="B50" s="14">
        <v>150.75</v>
      </c>
      <c r="C50" s="14">
        <v>219.4</v>
      </c>
      <c r="D50" s="14">
        <v>416.72</v>
      </c>
      <c r="E50" s="14">
        <v>454.52</v>
      </c>
      <c r="F50" s="14">
        <v>473.12</v>
      </c>
      <c r="G50" s="14">
        <v>506.7</v>
      </c>
      <c r="H50" s="15">
        <v>537.85</v>
      </c>
    </row>
    <row r="51" spans="1:8" ht="12.75" customHeight="1">
      <c r="A51" s="13">
        <v>49</v>
      </c>
      <c r="B51" s="14">
        <v>153.03</v>
      </c>
      <c r="C51" s="14">
        <v>223.77</v>
      </c>
      <c r="D51" s="14">
        <v>416.98</v>
      </c>
      <c r="E51" s="14">
        <v>458.84</v>
      </c>
      <c r="F51" s="14">
        <v>473.33</v>
      </c>
      <c r="G51" s="14">
        <v>512.39</v>
      </c>
      <c r="H51" s="15">
        <v>538.19000000000005</v>
      </c>
    </row>
    <row r="52" spans="1:8" ht="12.75" customHeight="1">
      <c r="A52" s="13">
        <v>50</v>
      </c>
      <c r="B52" s="17">
        <v>156.04</v>
      </c>
      <c r="C52" s="17">
        <v>227.04</v>
      </c>
      <c r="D52" s="17">
        <v>418.15</v>
      </c>
      <c r="E52" s="17">
        <v>460.99</v>
      </c>
      <c r="F52" s="17">
        <v>475.41</v>
      </c>
      <c r="G52" s="17">
        <v>514.70000000000005</v>
      </c>
      <c r="H52" s="18">
        <v>544.87</v>
      </c>
    </row>
    <row r="53" spans="1:8" ht="12.75" customHeight="1">
      <c r="A53" s="31">
        <v>51</v>
      </c>
      <c r="B53" s="20">
        <v>158.26</v>
      </c>
      <c r="C53" s="20">
        <v>227.47</v>
      </c>
      <c r="D53" s="21">
        <v>436.53</v>
      </c>
      <c r="E53" s="21">
        <v>499.09</v>
      </c>
      <c r="F53" s="21">
        <v>516.95000000000005</v>
      </c>
      <c r="G53" s="21">
        <v>560.71</v>
      </c>
      <c r="H53" s="22">
        <v>571.92999999999995</v>
      </c>
    </row>
    <row r="54" spans="1:8" ht="12.75" customHeight="1">
      <c r="A54" s="19">
        <v>52</v>
      </c>
      <c r="B54" s="24">
        <v>161.44</v>
      </c>
      <c r="C54" s="24">
        <v>235.11</v>
      </c>
      <c r="D54" s="25">
        <v>475.07</v>
      </c>
      <c r="E54" s="25">
        <v>509.28</v>
      </c>
      <c r="F54" s="25">
        <v>529.09</v>
      </c>
      <c r="G54" s="25">
        <v>573.01</v>
      </c>
      <c r="H54" s="26">
        <v>613.17999999999995</v>
      </c>
    </row>
    <row r="55" spans="1:8" ht="12.75" customHeight="1">
      <c r="A55" s="19">
        <v>53</v>
      </c>
      <c r="B55" s="24">
        <v>164.38</v>
      </c>
      <c r="C55" s="24">
        <v>235.89</v>
      </c>
      <c r="D55" s="25">
        <v>478.93</v>
      </c>
      <c r="E55" s="25">
        <v>526.47</v>
      </c>
      <c r="F55" s="25">
        <v>538.23</v>
      </c>
      <c r="G55" s="25">
        <v>577.17999999999995</v>
      </c>
      <c r="H55" s="26">
        <v>618.13</v>
      </c>
    </row>
    <row r="56" spans="1:8" ht="12.75" customHeight="1">
      <c r="A56" s="19">
        <v>54</v>
      </c>
      <c r="B56" s="24">
        <v>166.53</v>
      </c>
      <c r="C56" s="24">
        <v>244.79</v>
      </c>
      <c r="D56" s="25">
        <v>490.28</v>
      </c>
      <c r="E56" s="25">
        <v>528.19000000000005</v>
      </c>
      <c r="F56" s="25">
        <v>539.15</v>
      </c>
      <c r="G56" s="25">
        <v>590.14</v>
      </c>
      <c r="H56" s="26">
        <v>618.74</v>
      </c>
    </row>
    <row r="57" spans="1:8" ht="12.75" customHeight="1">
      <c r="A57" s="19">
        <v>55</v>
      </c>
      <c r="B57" s="28">
        <v>169.78</v>
      </c>
      <c r="C57" s="28">
        <v>245.69</v>
      </c>
      <c r="D57" s="29">
        <v>493.96</v>
      </c>
      <c r="E57" s="29">
        <v>529.46</v>
      </c>
      <c r="F57" s="29">
        <v>540.05999999999995</v>
      </c>
      <c r="G57" s="29">
        <v>607.09</v>
      </c>
      <c r="H57" s="30">
        <v>619.28</v>
      </c>
    </row>
    <row r="58" spans="1:8" ht="12.75" customHeight="1">
      <c r="A58" s="32">
        <v>56</v>
      </c>
      <c r="B58" s="10">
        <v>172.87</v>
      </c>
      <c r="C58" s="10">
        <v>254.2</v>
      </c>
      <c r="D58" s="10">
        <v>494.5</v>
      </c>
      <c r="E58" s="10">
        <v>544.62</v>
      </c>
      <c r="F58" s="10">
        <v>555.91999999999996</v>
      </c>
      <c r="G58" s="10">
        <v>615.58000000000004</v>
      </c>
      <c r="H58" s="11">
        <v>628.27</v>
      </c>
    </row>
    <row r="59" spans="1:8" ht="12.75" customHeight="1">
      <c r="A59" s="13">
        <v>57</v>
      </c>
      <c r="B59" s="14">
        <v>176.61</v>
      </c>
      <c r="C59" s="14">
        <v>259.56</v>
      </c>
      <c r="D59" s="14">
        <v>495.47</v>
      </c>
      <c r="E59" s="14">
        <v>546.14</v>
      </c>
      <c r="F59" s="14">
        <v>558.55999999999995</v>
      </c>
      <c r="G59" s="14">
        <v>616.44000000000005</v>
      </c>
      <c r="H59" s="15">
        <v>629.17999999999995</v>
      </c>
    </row>
    <row r="60" spans="1:8" ht="12.75" customHeight="1">
      <c r="A60" s="13">
        <v>58</v>
      </c>
      <c r="B60" s="14">
        <v>180.26</v>
      </c>
      <c r="C60" s="14">
        <v>265.52999999999997</v>
      </c>
      <c r="D60" s="14">
        <v>496.49</v>
      </c>
      <c r="E60" s="14">
        <v>546.66999999999996</v>
      </c>
      <c r="F60" s="14">
        <v>570.41</v>
      </c>
      <c r="G60" s="14">
        <v>618.15</v>
      </c>
      <c r="H60" s="15">
        <v>630.91999999999996</v>
      </c>
    </row>
    <row r="61" spans="1:8" ht="12.75" customHeight="1">
      <c r="A61" s="13">
        <v>59</v>
      </c>
      <c r="B61" s="14">
        <v>180.83</v>
      </c>
      <c r="C61" s="14">
        <v>276.17</v>
      </c>
      <c r="D61" s="14">
        <v>516.83000000000004</v>
      </c>
      <c r="E61" s="14">
        <v>555.21</v>
      </c>
      <c r="F61" s="14">
        <v>571.61</v>
      </c>
      <c r="G61" s="14">
        <v>619.92999999999995</v>
      </c>
      <c r="H61" s="15">
        <v>665.47</v>
      </c>
    </row>
    <row r="62" spans="1:8" ht="12.75" customHeight="1">
      <c r="A62" s="16">
        <v>60</v>
      </c>
      <c r="B62" s="17">
        <v>181.23</v>
      </c>
      <c r="C62" s="17">
        <v>282.33</v>
      </c>
      <c r="D62" s="17">
        <v>518.87</v>
      </c>
      <c r="E62" s="17">
        <v>561.58000000000004</v>
      </c>
      <c r="F62" s="17">
        <v>572.82000000000005</v>
      </c>
      <c r="G62" s="17">
        <v>655.42</v>
      </c>
      <c r="H62" s="18">
        <v>668.93</v>
      </c>
    </row>
    <row r="63" spans="1:8" ht="12.75" customHeight="1">
      <c r="A63" s="19">
        <v>61</v>
      </c>
      <c r="B63" s="20">
        <v>181.63</v>
      </c>
      <c r="C63" s="20">
        <v>287.61</v>
      </c>
      <c r="D63" s="21">
        <v>530.94000000000005</v>
      </c>
      <c r="E63" s="21">
        <v>572.75</v>
      </c>
      <c r="F63" s="21">
        <v>596.84</v>
      </c>
      <c r="G63" s="21">
        <v>676.52</v>
      </c>
      <c r="H63" s="22">
        <v>690.47</v>
      </c>
    </row>
    <row r="64" spans="1:8" ht="12.75" customHeight="1">
      <c r="A64" s="23">
        <v>62</v>
      </c>
      <c r="B64" s="24">
        <v>183.01</v>
      </c>
      <c r="C64" s="24">
        <v>291.74</v>
      </c>
      <c r="D64" s="25">
        <v>533.08000000000004</v>
      </c>
      <c r="E64" s="25">
        <v>574.41999999999996</v>
      </c>
      <c r="F64" s="25">
        <v>599.35</v>
      </c>
      <c r="G64" s="25">
        <v>678.63</v>
      </c>
      <c r="H64" s="26">
        <v>697.62</v>
      </c>
    </row>
    <row r="65" spans="1:26" ht="12.75" customHeight="1">
      <c r="A65" s="23">
        <v>63</v>
      </c>
      <c r="B65" s="24">
        <v>192.14</v>
      </c>
      <c r="C65" s="24">
        <v>293.37</v>
      </c>
      <c r="D65" s="25">
        <v>543.82000000000005</v>
      </c>
      <c r="E65" s="25">
        <v>580.99</v>
      </c>
      <c r="F65" s="25">
        <v>602.22</v>
      </c>
      <c r="G65" s="25">
        <v>696.56</v>
      </c>
      <c r="H65" s="26">
        <v>710.89</v>
      </c>
    </row>
    <row r="66" spans="1:26" ht="12.75" customHeight="1">
      <c r="A66" s="23">
        <v>64</v>
      </c>
      <c r="B66" s="24">
        <v>198.82</v>
      </c>
      <c r="C66" s="24">
        <v>294.58999999999997</v>
      </c>
      <c r="D66" s="25">
        <v>544.9</v>
      </c>
      <c r="E66" s="25">
        <v>597.85</v>
      </c>
      <c r="F66" s="25">
        <v>621.49</v>
      </c>
      <c r="G66" s="25">
        <v>709.51</v>
      </c>
      <c r="H66" s="26">
        <v>737.94</v>
      </c>
    </row>
    <row r="67" spans="1:26" ht="12.75" customHeight="1">
      <c r="A67" s="23">
        <v>65</v>
      </c>
      <c r="B67" s="28">
        <v>204.86</v>
      </c>
      <c r="C67" s="28">
        <v>303.69</v>
      </c>
      <c r="D67" s="29">
        <v>549.78</v>
      </c>
      <c r="E67" s="29">
        <v>604.6</v>
      </c>
      <c r="F67" s="29">
        <v>625.51</v>
      </c>
      <c r="G67" s="29">
        <v>710.81</v>
      </c>
      <c r="H67" s="30">
        <v>746.48</v>
      </c>
    </row>
    <row r="68" spans="1:26" ht="12.75" customHeight="1">
      <c r="A68" s="9">
        <v>66</v>
      </c>
      <c r="B68" s="10">
        <v>208.6</v>
      </c>
      <c r="C68" s="10">
        <v>304.64</v>
      </c>
      <c r="D68" s="10">
        <v>570.36</v>
      </c>
      <c r="E68" s="10">
        <v>624.07000000000005</v>
      </c>
      <c r="F68" s="10">
        <v>645.30999999999995</v>
      </c>
      <c r="G68" s="10">
        <v>711.82</v>
      </c>
      <c r="H68" s="11">
        <v>748.05</v>
      </c>
    </row>
    <row r="69" spans="1:26" ht="12.75" customHeight="1">
      <c r="A69" s="33">
        <v>67</v>
      </c>
      <c r="B69" s="14">
        <v>214.44</v>
      </c>
      <c r="C69" s="14">
        <v>321.14</v>
      </c>
      <c r="D69" s="14">
        <v>575.89</v>
      </c>
      <c r="E69" s="14">
        <v>626.02</v>
      </c>
      <c r="F69" s="14">
        <v>647.29999999999995</v>
      </c>
      <c r="G69" s="14">
        <v>722.01</v>
      </c>
      <c r="H69" s="15">
        <v>748.58</v>
      </c>
    </row>
    <row r="70" spans="1:26" ht="12.75" customHeight="1">
      <c r="A70" s="33">
        <v>68</v>
      </c>
      <c r="B70" s="14">
        <v>215.03</v>
      </c>
      <c r="C70" s="14">
        <v>322.79000000000002</v>
      </c>
      <c r="D70" s="14">
        <v>576.45000000000005</v>
      </c>
      <c r="E70" s="14">
        <v>634</v>
      </c>
      <c r="F70" s="14">
        <v>647.88</v>
      </c>
      <c r="G70" s="14">
        <v>723.03</v>
      </c>
      <c r="H70" s="15">
        <v>753.05</v>
      </c>
    </row>
    <row r="71" spans="1:26" ht="12.75" customHeight="1">
      <c r="A71" s="33">
        <v>69</v>
      </c>
      <c r="B71" s="14">
        <v>215.45</v>
      </c>
      <c r="C71" s="14">
        <v>327.82</v>
      </c>
      <c r="D71" s="14">
        <v>577.04999999999995</v>
      </c>
      <c r="E71" s="14">
        <v>635.82000000000005</v>
      </c>
      <c r="F71" s="14">
        <v>648.95000000000005</v>
      </c>
      <c r="G71" s="14">
        <v>723.45</v>
      </c>
      <c r="H71" s="15">
        <v>756.99</v>
      </c>
    </row>
    <row r="72" spans="1:26" ht="12.75" customHeight="1">
      <c r="A72" s="16">
        <v>70</v>
      </c>
      <c r="B72" s="17">
        <v>223.76</v>
      </c>
      <c r="C72" s="17">
        <v>334.64</v>
      </c>
      <c r="D72" s="17">
        <v>588.08000000000004</v>
      </c>
      <c r="E72" s="17">
        <v>636.4</v>
      </c>
      <c r="F72" s="17">
        <v>649.52</v>
      </c>
      <c r="G72" s="17">
        <v>724.53</v>
      </c>
      <c r="H72" s="18">
        <v>769.3</v>
      </c>
    </row>
    <row r="73" spans="1:26" ht="12.75" customHeight="1">
      <c r="A73" s="35">
        <v>71</v>
      </c>
      <c r="B73" s="20">
        <v>228.03</v>
      </c>
      <c r="C73" s="20">
        <v>339.95</v>
      </c>
      <c r="D73" s="21">
        <v>589.52</v>
      </c>
      <c r="E73" s="21">
        <v>637.55999999999995</v>
      </c>
      <c r="F73" s="21">
        <v>650.77</v>
      </c>
      <c r="G73" s="21">
        <v>745.97</v>
      </c>
      <c r="H73" s="22">
        <v>772.17</v>
      </c>
    </row>
    <row r="74" spans="1:26" ht="12.75" customHeight="1">
      <c r="A74" s="23">
        <v>72</v>
      </c>
      <c r="B74" s="24">
        <v>228.6</v>
      </c>
      <c r="C74" s="24">
        <v>345.23</v>
      </c>
      <c r="D74" s="25">
        <v>618.21</v>
      </c>
      <c r="E74" s="25">
        <v>650.79</v>
      </c>
      <c r="F74" s="25">
        <v>663.81</v>
      </c>
      <c r="G74" s="25">
        <v>776.29</v>
      </c>
      <c r="H74" s="26">
        <v>809.95</v>
      </c>
    </row>
    <row r="75" spans="1:26" ht="12.75" customHeight="1">
      <c r="A75" s="23">
        <v>73</v>
      </c>
      <c r="B75" s="24">
        <v>232.66</v>
      </c>
      <c r="C75" s="24">
        <v>353.03</v>
      </c>
      <c r="D75" s="25">
        <v>622.54</v>
      </c>
      <c r="E75" s="25">
        <v>661.34</v>
      </c>
      <c r="F75" s="25">
        <v>674.96</v>
      </c>
      <c r="G75" s="25">
        <v>792.72</v>
      </c>
      <c r="H75" s="26">
        <v>833.29</v>
      </c>
    </row>
    <row r="76" spans="1:26" ht="12.75" customHeight="1">
      <c r="A76" s="23">
        <v>74</v>
      </c>
      <c r="B76" s="24">
        <v>233.34</v>
      </c>
      <c r="C76" s="24">
        <v>353.81</v>
      </c>
      <c r="D76" s="25">
        <v>622.98</v>
      </c>
      <c r="E76" s="25">
        <v>662.41</v>
      </c>
      <c r="F76" s="25">
        <v>676.08</v>
      </c>
      <c r="G76" s="25">
        <v>794.37</v>
      </c>
      <c r="H76" s="26">
        <v>835.63</v>
      </c>
    </row>
    <row r="77" spans="1:26" ht="12.75" customHeight="1">
      <c r="A77" s="27">
        <v>75</v>
      </c>
      <c r="B77" s="28">
        <v>246.82</v>
      </c>
      <c r="C77" s="28">
        <v>362.54</v>
      </c>
      <c r="D77" s="29">
        <v>623.78</v>
      </c>
      <c r="E77" s="29">
        <v>663.54</v>
      </c>
      <c r="F77" s="29">
        <v>677.22</v>
      </c>
      <c r="G77" s="29">
        <v>795.45</v>
      </c>
      <c r="H77" s="30">
        <v>836.73</v>
      </c>
    </row>
    <row r="78" spans="1:26" ht="12.75" customHeight="1">
      <c r="A78" s="5">
        <v>76</v>
      </c>
      <c r="B78" s="6">
        <v>248.18</v>
      </c>
      <c r="C78" s="6">
        <v>368.95</v>
      </c>
      <c r="D78" s="6">
        <v>627.22</v>
      </c>
      <c r="E78" s="6">
        <v>669.38</v>
      </c>
      <c r="F78" s="6">
        <v>683.16</v>
      </c>
      <c r="G78" s="6">
        <v>805.49</v>
      </c>
      <c r="H78" s="7">
        <v>837.56</v>
      </c>
      <c r="I78" s="4"/>
    </row>
    <row r="79" spans="1:26" ht="12.75" customHeight="1">
      <c r="A79" s="9">
        <v>77</v>
      </c>
      <c r="B79" s="10">
        <v>250.08</v>
      </c>
      <c r="C79" s="10">
        <v>369.75</v>
      </c>
      <c r="D79" s="10">
        <v>629.87</v>
      </c>
      <c r="E79" s="10">
        <v>691.43</v>
      </c>
      <c r="F79" s="10">
        <v>711.64</v>
      </c>
      <c r="G79" s="10">
        <v>818.9</v>
      </c>
      <c r="H79" s="11">
        <v>838.4</v>
      </c>
    </row>
    <row r="80" spans="1:26" ht="12.75" customHeight="1">
      <c r="A80" s="13">
        <v>78</v>
      </c>
      <c r="B80" s="14">
        <v>250.88</v>
      </c>
      <c r="C80" s="14">
        <v>381.72</v>
      </c>
      <c r="D80" s="14">
        <v>645.33000000000004</v>
      </c>
      <c r="E80" s="14">
        <v>707.26</v>
      </c>
      <c r="F80" s="14">
        <v>730.75</v>
      </c>
      <c r="G80" s="14">
        <v>820.25</v>
      </c>
      <c r="H80" s="15">
        <v>839.97</v>
      </c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8" ht="12.75" customHeight="1">
      <c r="A81" s="13">
        <v>79</v>
      </c>
      <c r="B81" s="14">
        <v>251.68</v>
      </c>
      <c r="C81" s="14">
        <v>383.39</v>
      </c>
      <c r="D81" s="14">
        <v>646.88</v>
      </c>
      <c r="E81" s="14">
        <v>708.85</v>
      </c>
      <c r="F81" s="14">
        <v>732.67</v>
      </c>
      <c r="G81" s="14">
        <v>824.31</v>
      </c>
      <c r="H81" s="15">
        <v>840.8</v>
      </c>
    </row>
    <row r="82" spans="1:8" ht="12.75" customHeight="1">
      <c r="A82" s="16">
        <v>80</v>
      </c>
      <c r="B82" s="17">
        <v>252.48</v>
      </c>
      <c r="C82" s="17">
        <v>394.32</v>
      </c>
      <c r="D82" s="17">
        <v>648.49</v>
      </c>
      <c r="E82" s="17">
        <v>711.57</v>
      </c>
      <c r="F82" s="17">
        <v>735.23</v>
      </c>
      <c r="G82" s="17">
        <v>826.42</v>
      </c>
      <c r="H82" s="18">
        <v>843.35</v>
      </c>
    </row>
    <row r="83" spans="1:8" ht="12.75" customHeight="1">
      <c r="A83" s="19">
        <v>81</v>
      </c>
      <c r="B83" s="20">
        <v>256.95999999999998</v>
      </c>
      <c r="C83" s="20">
        <v>401.65</v>
      </c>
      <c r="D83" s="21">
        <v>677.27</v>
      </c>
      <c r="E83" s="21">
        <v>765.84</v>
      </c>
      <c r="F83" s="21">
        <v>783.75</v>
      </c>
      <c r="G83" s="21">
        <v>858.75</v>
      </c>
      <c r="H83" s="22">
        <v>876.34</v>
      </c>
    </row>
    <row r="84" spans="1:8" ht="12.75" customHeight="1">
      <c r="A84" s="23">
        <v>82</v>
      </c>
      <c r="B84" s="24">
        <v>270.45</v>
      </c>
      <c r="C84" s="24">
        <v>402.5</v>
      </c>
      <c r="D84" s="25">
        <v>680.15</v>
      </c>
      <c r="E84" s="25">
        <v>771.28</v>
      </c>
      <c r="F84" s="25">
        <v>788.61</v>
      </c>
      <c r="G84" s="25">
        <v>861.99</v>
      </c>
      <c r="H84" s="26">
        <v>879.64</v>
      </c>
    </row>
    <row r="85" spans="1:8" ht="12.75" customHeight="1">
      <c r="A85" s="19">
        <v>83</v>
      </c>
      <c r="B85" s="24">
        <v>275.77999999999997</v>
      </c>
      <c r="C85" s="24">
        <v>405.01</v>
      </c>
      <c r="D85" s="25">
        <v>682.44</v>
      </c>
      <c r="E85" s="25">
        <v>772.4</v>
      </c>
      <c r="F85" s="25">
        <v>789.72</v>
      </c>
      <c r="G85" s="25">
        <v>863.13</v>
      </c>
      <c r="H85" s="26">
        <v>880.79</v>
      </c>
    </row>
    <row r="86" spans="1:8" ht="13.5" customHeight="1">
      <c r="A86" s="19">
        <v>84</v>
      </c>
      <c r="B86" s="24">
        <v>276.58</v>
      </c>
      <c r="C86" s="24">
        <v>405.81</v>
      </c>
      <c r="D86" s="25">
        <v>683.24</v>
      </c>
      <c r="E86" s="25">
        <v>773.52</v>
      </c>
      <c r="F86" s="25">
        <v>790.88</v>
      </c>
      <c r="G86" s="25">
        <v>881.17</v>
      </c>
      <c r="H86" s="26">
        <v>899.25</v>
      </c>
    </row>
    <row r="87" spans="1:8" ht="13.5" customHeight="1">
      <c r="A87" s="27">
        <v>85</v>
      </c>
      <c r="B87" s="28">
        <v>277.38</v>
      </c>
      <c r="C87" s="28">
        <v>406.66</v>
      </c>
      <c r="D87" s="29">
        <v>684.37</v>
      </c>
      <c r="E87" s="29">
        <v>774.64</v>
      </c>
      <c r="F87" s="29">
        <v>791.96</v>
      </c>
      <c r="G87" s="29">
        <v>882.98</v>
      </c>
      <c r="H87" s="30">
        <v>901.1</v>
      </c>
    </row>
    <row r="88" spans="1:8" ht="13.5" customHeight="1">
      <c r="A88" s="13">
        <v>86</v>
      </c>
      <c r="B88" s="10">
        <v>280.33</v>
      </c>
      <c r="C88" s="10">
        <v>407.51</v>
      </c>
      <c r="D88" s="10">
        <v>686.37</v>
      </c>
      <c r="E88" s="10">
        <v>777.52</v>
      </c>
      <c r="F88" s="10">
        <v>793.49</v>
      </c>
      <c r="G88" s="10">
        <v>884.07</v>
      </c>
      <c r="H88" s="11">
        <v>902.17</v>
      </c>
    </row>
    <row r="89" spans="1:8" ht="13.5" customHeight="1">
      <c r="A89" s="13">
        <v>87</v>
      </c>
      <c r="B89" s="14">
        <v>281.70999999999998</v>
      </c>
      <c r="C89" s="14">
        <v>408.36</v>
      </c>
      <c r="D89" s="14">
        <v>711.75</v>
      </c>
      <c r="E89" s="14">
        <v>781.07</v>
      </c>
      <c r="F89" s="14">
        <v>797.13</v>
      </c>
      <c r="G89" s="14">
        <v>885.45</v>
      </c>
      <c r="H89" s="15">
        <v>903.17</v>
      </c>
    </row>
    <row r="90" spans="1:8" ht="13.5" customHeight="1">
      <c r="A90" s="13">
        <v>88</v>
      </c>
      <c r="B90" s="14">
        <v>285.77999999999997</v>
      </c>
      <c r="C90" s="14">
        <v>409.2</v>
      </c>
      <c r="D90" s="14">
        <v>714.31</v>
      </c>
      <c r="E90" s="14">
        <v>783.54</v>
      </c>
      <c r="F90" s="14">
        <v>799.22</v>
      </c>
      <c r="G90" s="14">
        <v>888.91</v>
      </c>
      <c r="H90" s="15">
        <v>908.13</v>
      </c>
    </row>
    <row r="91" spans="1:8" ht="13.5" customHeight="1">
      <c r="A91" s="13">
        <v>89</v>
      </c>
      <c r="B91" s="14">
        <v>286.58</v>
      </c>
      <c r="C91" s="14">
        <v>410.05</v>
      </c>
      <c r="D91" s="14">
        <v>734.1</v>
      </c>
      <c r="E91" s="14">
        <v>806.09</v>
      </c>
      <c r="F91" s="14">
        <v>840.81</v>
      </c>
      <c r="G91" s="14">
        <v>957.06</v>
      </c>
      <c r="H91" s="15">
        <v>994.62</v>
      </c>
    </row>
    <row r="92" spans="1:8" ht="13.5" customHeight="1">
      <c r="A92" s="13">
        <v>90</v>
      </c>
      <c r="B92" s="17">
        <v>287.38</v>
      </c>
      <c r="C92" s="17">
        <v>410.9</v>
      </c>
      <c r="D92" s="17">
        <v>742.14</v>
      </c>
      <c r="E92" s="17">
        <v>810.9</v>
      </c>
      <c r="F92" s="17">
        <v>851.58</v>
      </c>
      <c r="G92" s="17">
        <v>983.14</v>
      </c>
      <c r="H92" s="18">
        <v>1003.27</v>
      </c>
    </row>
    <row r="93" spans="1:8" ht="13.5" customHeight="1">
      <c r="A93" s="31">
        <v>91</v>
      </c>
      <c r="B93" s="20">
        <v>288.22000000000003</v>
      </c>
      <c r="C93" s="20">
        <v>411.74</v>
      </c>
      <c r="D93" s="21">
        <v>743.84</v>
      </c>
      <c r="E93" s="21">
        <v>823.39</v>
      </c>
      <c r="F93" s="21">
        <v>852.66</v>
      </c>
      <c r="G93" s="21">
        <v>985.75</v>
      </c>
      <c r="H93" s="22">
        <v>1017.36</v>
      </c>
    </row>
    <row r="94" spans="1:8" ht="13.5" customHeight="1">
      <c r="A94" s="19">
        <v>92</v>
      </c>
      <c r="B94" s="24">
        <v>289.05</v>
      </c>
      <c r="C94" s="24">
        <v>412.59</v>
      </c>
      <c r="D94" s="25">
        <v>744.67</v>
      </c>
      <c r="E94" s="25">
        <v>824.65</v>
      </c>
      <c r="F94" s="25">
        <v>853.76</v>
      </c>
      <c r="G94" s="25">
        <v>986.59</v>
      </c>
      <c r="H94" s="26">
        <v>1018.78</v>
      </c>
    </row>
    <row r="95" spans="1:8" ht="13.5" customHeight="1">
      <c r="A95" s="19">
        <v>93</v>
      </c>
      <c r="B95" s="24">
        <v>289.89</v>
      </c>
      <c r="C95" s="24">
        <v>413.44</v>
      </c>
      <c r="D95" s="25">
        <v>745.51</v>
      </c>
      <c r="E95" s="25">
        <v>825.72</v>
      </c>
      <c r="F95" s="25">
        <v>854.6</v>
      </c>
      <c r="G95" s="25">
        <v>987.43</v>
      </c>
      <c r="H95" s="26">
        <v>1019.97</v>
      </c>
    </row>
    <row r="96" spans="1:8" ht="13.5" customHeight="1">
      <c r="A96" s="19">
        <v>94</v>
      </c>
      <c r="B96" s="24">
        <v>290.72000000000003</v>
      </c>
      <c r="C96" s="24">
        <v>414.29</v>
      </c>
      <c r="D96" s="25">
        <v>746.34</v>
      </c>
      <c r="E96" s="25">
        <v>826.81</v>
      </c>
      <c r="F96" s="25">
        <v>855.9</v>
      </c>
      <c r="G96" s="25">
        <v>989.09</v>
      </c>
      <c r="H96" s="26">
        <v>1021.19</v>
      </c>
    </row>
    <row r="97" spans="1:8" ht="13.5" customHeight="1">
      <c r="A97" s="19">
        <v>95</v>
      </c>
      <c r="B97" s="28">
        <v>291.56</v>
      </c>
      <c r="C97" s="28">
        <v>415.13</v>
      </c>
      <c r="D97" s="29">
        <v>747.18</v>
      </c>
      <c r="E97" s="29">
        <v>829.25</v>
      </c>
      <c r="F97" s="29">
        <v>857.03</v>
      </c>
      <c r="G97" s="29">
        <v>989.92</v>
      </c>
      <c r="H97" s="30">
        <v>1022.41</v>
      </c>
    </row>
    <row r="98" spans="1:8" ht="13.5" customHeight="1">
      <c r="A98" s="32">
        <v>96</v>
      </c>
      <c r="B98" s="10">
        <v>292.39999999999998</v>
      </c>
      <c r="C98" s="10">
        <v>415.98</v>
      </c>
      <c r="D98" s="10">
        <v>748.02</v>
      </c>
      <c r="E98" s="10">
        <v>838.59</v>
      </c>
      <c r="F98" s="10">
        <v>863.52</v>
      </c>
      <c r="G98" s="10">
        <v>991.2</v>
      </c>
      <c r="H98" s="11">
        <v>1023.49</v>
      </c>
    </row>
    <row r="99" spans="1:8" ht="13.5" customHeight="1">
      <c r="A99" s="13">
        <v>97</v>
      </c>
      <c r="B99" s="14">
        <v>293.27</v>
      </c>
      <c r="C99" s="14">
        <v>416.83</v>
      </c>
      <c r="D99" s="14">
        <v>748.85</v>
      </c>
      <c r="E99" s="14">
        <v>839.53</v>
      </c>
      <c r="F99" s="14">
        <v>864.36</v>
      </c>
      <c r="G99" s="14">
        <v>992.03</v>
      </c>
      <c r="H99" s="15">
        <v>1024.82</v>
      </c>
    </row>
    <row r="100" spans="1:8" ht="13.5" customHeight="1">
      <c r="A100" s="13">
        <v>98</v>
      </c>
      <c r="B100" s="14">
        <v>294.07</v>
      </c>
      <c r="C100" s="14">
        <v>417.67</v>
      </c>
      <c r="D100" s="14">
        <v>749.69</v>
      </c>
      <c r="E100" s="14">
        <v>841.95</v>
      </c>
      <c r="F100" s="14">
        <v>878.59</v>
      </c>
      <c r="G100" s="14">
        <v>995.01</v>
      </c>
      <c r="H100" s="15">
        <v>1027.24</v>
      </c>
    </row>
    <row r="101" spans="1:8" ht="13.5" customHeight="1">
      <c r="A101" s="13">
        <v>99</v>
      </c>
      <c r="B101" s="14">
        <v>294.89999999999998</v>
      </c>
      <c r="C101" s="14">
        <v>418.52</v>
      </c>
      <c r="D101" s="14">
        <v>750.52</v>
      </c>
      <c r="E101" s="14">
        <v>890.21</v>
      </c>
      <c r="F101" s="14">
        <v>912.07</v>
      </c>
      <c r="G101" s="14">
        <v>1054.51</v>
      </c>
      <c r="H101" s="15">
        <v>1075.6199999999999</v>
      </c>
    </row>
    <row r="102" spans="1:8" ht="13.5" customHeight="1">
      <c r="A102" s="16">
        <v>100</v>
      </c>
      <c r="B102" s="17">
        <v>296</v>
      </c>
      <c r="C102" s="17">
        <v>420</v>
      </c>
      <c r="D102" s="17">
        <v>752</v>
      </c>
      <c r="E102" s="17">
        <v>897</v>
      </c>
      <c r="F102" s="17">
        <v>916</v>
      </c>
      <c r="G102" s="17">
        <v>1100</v>
      </c>
      <c r="H102" s="18">
        <v>1147</v>
      </c>
    </row>
    <row r="103" spans="1:8" ht="13.5" customHeight="1">
      <c r="A103" s="19">
        <v>101</v>
      </c>
      <c r="B103" s="20">
        <v>298.95999999999998</v>
      </c>
      <c r="C103" s="20">
        <v>424.2</v>
      </c>
      <c r="D103" s="21">
        <v>759.52</v>
      </c>
      <c r="E103" s="21">
        <v>905.97</v>
      </c>
      <c r="F103" s="21">
        <v>925.16</v>
      </c>
      <c r="G103" s="21">
        <v>1111</v>
      </c>
      <c r="H103" s="22">
        <v>1158.47</v>
      </c>
    </row>
    <row r="104" spans="1:8" ht="13.5" customHeight="1">
      <c r="A104" s="23">
        <v>102</v>
      </c>
      <c r="B104" s="24">
        <v>301.92</v>
      </c>
      <c r="C104" s="24">
        <v>428.4</v>
      </c>
      <c r="D104" s="25">
        <v>767.04</v>
      </c>
      <c r="E104" s="25">
        <v>914.94</v>
      </c>
      <c r="F104" s="25">
        <v>934.32</v>
      </c>
      <c r="G104" s="25">
        <v>1122</v>
      </c>
      <c r="H104" s="26">
        <v>1169.94</v>
      </c>
    </row>
    <row r="105" spans="1:8" ht="13.5" customHeight="1">
      <c r="A105" s="23">
        <v>103</v>
      </c>
      <c r="B105" s="24">
        <v>304.88</v>
      </c>
      <c r="C105" s="24">
        <v>432.6</v>
      </c>
      <c r="D105" s="25">
        <v>774.56</v>
      </c>
      <c r="E105" s="25">
        <v>923.91</v>
      </c>
      <c r="F105" s="25">
        <v>943.48</v>
      </c>
      <c r="G105" s="25">
        <v>1133</v>
      </c>
      <c r="H105" s="26">
        <v>1181.4100000000001</v>
      </c>
    </row>
    <row r="106" spans="1:8" ht="13.5" customHeight="1">
      <c r="A106" s="23">
        <v>104</v>
      </c>
      <c r="B106" s="24">
        <v>307.83999999999997</v>
      </c>
      <c r="C106" s="24">
        <v>436.8</v>
      </c>
      <c r="D106" s="25">
        <v>782.08</v>
      </c>
      <c r="E106" s="25">
        <v>932.88</v>
      </c>
      <c r="F106" s="25">
        <v>952.64</v>
      </c>
      <c r="G106" s="25">
        <v>1144</v>
      </c>
      <c r="H106" s="26">
        <v>1192.8800000000001</v>
      </c>
    </row>
    <row r="107" spans="1:8" ht="12.75" customHeight="1">
      <c r="A107" s="23">
        <v>105</v>
      </c>
      <c r="B107" s="28">
        <v>310.8</v>
      </c>
      <c r="C107" s="28">
        <v>441</v>
      </c>
      <c r="D107" s="29">
        <v>789.6</v>
      </c>
      <c r="E107" s="29">
        <v>941.85</v>
      </c>
      <c r="F107" s="29">
        <v>961.8</v>
      </c>
      <c r="G107" s="29">
        <v>1155</v>
      </c>
      <c r="H107" s="30">
        <v>1204.3499999999999</v>
      </c>
    </row>
    <row r="108" spans="1:8" ht="12.75" customHeight="1">
      <c r="A108" s="9">
        <v>106</v>
      </c>
      <c r="B108" s="10">
        <v>313.76</v>
      </c>
      <c r="C108" s="10">
        <v>445.2</v>
      </c>
      <c r="D108" s="10">
        <v>797.12</v>
      </c>
      <c r="E108" s="10">
        <v>950.82</v>
      </c>
      <c r="F108" s="10">
        <v>970.96</v>
      </c>
      <c r="G108" s="10">
        <v>1166</v>
      </c>
      <c r="H108" s="11">
        <v>1215.82</v>
      </c>
    </row>
    <row r="109" spans="1:8" ht="12.75" customHeight="1">
      <c r="A109" s="33">
        <v>107</v>
      </c>
      <c r="B109" s="14">
        <v>316.72000000000003</v>
      </c>
      <c r="C109" s="14">
        <v>449.4</v>
      </c>
      <c r="D109" s="14">
        <v>804.64</v>
      </c>
      <c r="E109" s="14">
        <v>959.79</v>
      </c>
      <c r="F109" s="14">
        <v>980.12</v>
      </c>
      <c r="G109" s="14">
        <v>1177</v>
      </c>
      <c r="H109" s="15">
        <v>1227.29</v>
      </c>
    </row>
    <row r="110" spans="1:8" ht="12.75" customHeight="1">
      <c r="A110" s="33">
        <v>108</v>
      </c>
      <c r="B110" s="14">
        <v>319.68</v>
      </c>
      <c r="C110" s="14">
        <v>453.6</v>
      </c>
      <c r="D110" s="14">
        <v>812.16</v>
      </c>
      <c r="E110" s="14">
        <v>968.76</v>
      </c>
      <c r="F110" s="14">
        <v>989.28</v>
      </c>
      <c r="G110" s="14">
        <v>1188</v>
      </c>
      <c r="H110" s="15">
        <v>1238.76</v>
      </c>
    </row>
    <row r="111" spans="1:8" ht="12.75" customHeight="1">
      <c r="A111" s="33">
        <v>109</v>
      </c>
      <c r="B111" s="14">
        <v>322.64</v>
      </c>
      <c r="C111" s="14">
        <v>457.8</v>
      </c>
      <c r="D111" s="14">
        <v>819.68</v>
      </c>
      <c r="E111" s="14">
        <v>977.73</v>
      </c>
      <c r="F111" s="14">
        <v>998.44</v>
      </c>
      <c r="G111" s="14">
        <v>1199</v>
      </c>
      <c r="H111" s="15">
        <v>1250.23</v>
      </c>
    </row>
    <row r="112" spans="1:8" ht="12.75" customHeight="1">
      <c r="A112" s="16">
        <v>110</v>
      </c>
      <c r="B112" s="17">
        <v>325.60000000000002</v>
      </c>
      <c r="C112" s="17">
        <v>462</v>
      </c>
      <c r="D112" s="17">
        <v>827.2</v>
      </c>
      <c r="E112" s="17">
        <v>986.7</v>
      </c>
      <c r="F112" s="17">
        <v>1007.6</v>
      </c>
      <c r="G112" s="17">
        <v>1210</v>
      </c>
      <c r="H112" s="18">
        <v>1261.7</v>
      </c>
    </row>
    <row r="113" spans="1:26" ht="12.75" customHeight="1">
      <c r="A113" s="35">
        <v>111</v>
      </c>
      <c r="B113" s="20">
        <v>328.56</v>
      </c>
      <c r="C113" s="20">
        <v>466.2</v>
      </c>
      <c r="D113" s="21">
        <v>834.72</v>
      </c>
      <c r="E113" s="21">
        <v>995.67</v>
      </c>
      <c r="F113" s="21">
        <v>1016.76</v>
      </c>
      <c r="G113" s="21">
        <v>1221</v>
      </c>
      <c r="H113" s="22">
        <v>1273.17</v>
      </c>
    </row>
    <row r="114" spans="1:26" ht="12.75" customHeight="1">
      <c r="A114" s="23">
        <v>112</v>
      </c>
      <c r="B114" s="24">
        <v>331.52</v>
      </c>
      <c r="C114" s="24">
        <v>470.4</v>
      </c>
      <c r="D114" s="25">
        <v>842.24</v>
      </c>
      <c r="E114" s="25">
        <v>1004.64</v>
      </c>
      <c r="F114" s="25">
        <v>1025.92</v>
      </c>
      <c r="G114" s="25">
        <v>1232</v>
      </c>
      <c r="H114" s="26">
        <v>1284.6400000000001</v>
      </c>
    </row>
    <row r="115" spans="1:26" ht="12.75" customHeight="1">
      <c r="A115" s="23">
        <v>113</v>
      </c>
      <c r="B115" s="24">
        <v>334.48</v>
      </c>
      <c r="C115" s="24">
        <v>474.6</v>
      </c>
      <c r="D115" s="25">
        <v>849.76</v>
      </c>
      <c r="E115" s="25">
        <v>1013.61</v>
      </c>
      <c r="F115" s="25">
        <v>1035.08</v>
      </c>
      <c r="G115" s="25">
        <v>1243</v>
      </c>
      <c r="H115" s="26">
        <v>1296.1099999999999</v>
      </c>
    </row>
    <row r="116" spans="1:26" ht="12.75" customHeight="1">
      <c r="A116" s="23">
        <v>114</v>
      </c>
      <c r="B116" s="24">
        <v>337.44</v>
      </c>
      <c r="C116" s="24">
        <v>478.8</v>
      </c>
      <c r="D116" s="25">
        <v>857.28</v>
      </c>
      <c r="E116" s="25">
        <v>1022.58</v>
      </c>
      <c r="F116" s="25">
        <v>1044.24</v>
      </c>
      <c r="G116" s="25">
        <v>1254</v>
      </c>
      <c r="H116" s="26">
        <v>1307.58</v>
      </c>
    </row>
    <row r="117" spans="1:26" ht="12.75" customHeight="1">
      <c r="A117" s="27">
        <v>115</v>
      </c>
      <c r="B117" s="28">
        <v>340.4</v>
      </c>
      <c r="C117" s="28">
        <v>483</v>
      </c>
      <c r="D117" s="29">
        <v>864.8</v>
      </c>
      <c r="E117" s="29">
        <v>1031.55</v>
      </c>
      <c r="F117" s="29">
        <v>1053.4000000000001</v>
      </c>
      <c r="G117" s="29">
        <v>1265</v>
      </c>
      <c r="H117" s="30">
        <v>1319.05</v>
      </c>
    </row>
    <row r="118" spans="1:26" ht="12.75" customHeight="1">
      <c r="A118" s="5">
        <v>116</v>
      </c>
      <c r="B118" s="6">
        <v>343.36</v>
      </c>
      <c r="C118" s="6">
        <v>487.2</v>
      </c>
      <c r="D118" s="6">
        <v>872.32</v>
      </c>
      <c r="E118" s="6">
        <v>1040.52</v>
      </c>
      <c r="F118" s="6">
        <v>1062.56</v>
      </c>
      <c r="G118" s="6">
        <v>1276</v>
      </c>
      <c r="H118" s="7">
        <v>1330.52</v>
      </c>
    </row>
    <row r="119" spans="1:26" ht="12.75" customHeight="1">
      <c r="A119" s="9">
        <v>117</v>
      </c>
      <c r="B119" s="10">
        <v>346.32</v>
      </c>
      <c r="C119" s="10">
        <v>491.4</v>
      </c>
      <c r="D119" s="10">
        <v>879.84</v>
      </c>
      <c r="E119" s="10">
        <v>1049.49</v>
      </c>
      <c r="F119" s="10">
        <v>1071.72</v>
      </c>
      <c r="G119" s="10">
        <v>1287</v>
      </c>
      <c r="H119" s="11">
        <v>1341.99</v>
      </c>
    </row>
    <row r="120" spans="1:26" ht="12.75" customHeight="1">
      <c r="A120" s="13">
        <v>118</v>
      </c>
      <c r="B120" s="14">
        <v>349.28</v>
      </c>
      <c r="C120" s="14">
        <v>495.6</v>
      </c>
      <c r="D120" s="14">
        <v>887.36</v>
      </c>
      <c r="E120" s="14">
        <v>1058.46</v>
      </c>
      <c r="F120" s="14">
        <v>1080.8800000000001</v>
      </c>
      <c r="G120" s="14">
        <v>1298</v>
      </c>
      <c r="H120" s="15">
        <v>1353.46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13">
        <v>119</v>
      </c>
      <c r="B121" s="14">
        <v>352.24</v>
      </c>
      <c r="C121" s="14">
        <v>499.8</v>
      </c>
      <c r="D121" s="14">
        <v>894.88</v>
      </c>
      <c r="E121" s="14">
        <v>1067.43</v>
      </c>
      <c r="F121" s="14">
        <v>1090.04</v>
      </c>
      <c r="G121" s="14">
        <v>1309</v>
      </c>
      <c r="H121" s="15">
        <v>1364.93</v>
      </c>
    </row>
    <row r="122" spans="1:26" ht="12.75" customHeight="1">
      <c r="A122" s="16">
        <v>120</v>
      </c>
      <c r="B122" s="17">
        <v>355.2</v>
      </c>
      <c r="C122" s="17">
        <v>504</v>
      </c>
      <c r="D122" s="17">
        <v>902.4</v>
      </c>
      <c r="E122" s="17">
        <v>1076.4000000000001</v>
      </c>
      <c r="F122" s="17">
        <v>1099.2</v>
      </c>
      <c r="G122" s="17">
        <v>1320</v>
      </c>
      <c r="H122" s="18">
        <v>1376.4</v>
      </c>
    </row>
    <row r="123" spans="1:26" ht="12.75" customHeight="1">
      <c r="A123" s="19">
        <v>121</v>
      </c>
      <c r="B123" s="20">
        <v>358.16</v>
      </c>
      <c r="C123" s="20">
        <v>508.2</v>
      </c>
      <c r="D123" s="21">
        <v>909.92</v>
      </c>
      <c r="E123" s="21">
        <v>1085.3699999999999</v>
      </c>
      <c r="F123" s="21">
        <v>1108.3599999999999</v>
      </c>
      <c r="G123" s="21">
        <v>1331</v>
      </c>
      <c r="H123" s="22">
        <v>1387.87</v>
      </c>
    </row>
    <row r="124" spans="1:26" ht="12.75" customHeight="1">
      <c r="A124" s="23">
        <v>122</v>
      </c>
      <c r="B124" s="24">
        <v>361.12</v>
      </c>
      <c r="C124" s="24">
        <v>512.4</v>
      </c>
      <c r="D124" s="25">
        <v>917.44</v>
      </c>
      <c r="E124" s="25">
        <v>1094.3399999999999</v>
      </c>
      <c r="F124" s="25">
        <v>1117.52</v>
      </c>
      <c r="G124" s="25">
        <v>1342</v>
      </c>
      <c r="H124" s="26">
        <v>1399.34</v>
      </c>
    </row>
    <row r="125" spans="1:26" ht="12.75" customHeight="1">
      <c r="A125" s="19">
        <v>123</v>
      </c>
      <c r="B125" s="24">
        <v>364.08</v>
      </c>
      <c r="C125" s="24">
        <v>516.6</v>
      </c>
      <c r="D125" s="25">
        <v>924.96</v>
      </c>
      <c r="E125" s="25">
        <v>1103.31</v>
      </c>
      <c r="F125" s="25">
        <v>1126.68</v>
      </c>
      <c r="G125" s="25">
        <v>1353</v>
      </c>
      <c r="H125" s="26">
        <v>1410.81</v>
      </c>
    </row>
    <row r="126" spans="1:26" ht="12.75" customHeight="1">
      <c r="A126" s="19">
        <v>124</v>
      </c>
      <c r="B126" s="24">
        <v>367.04</v>
      </c>
      <c r="C126" s="24">
        <v>520.79999999999995</v>
      </c>
      <c r="D126" s="25">
        <v>932.48</v>
      </c>
      <c r="E126" s="25">
        <v>1112.28</v>
      </c>
      <c r="F126" s="25">
        <v>1135.8399999999999</v>
      </c>
      <c r="G126" s="25">
        <v>1364</v>
      </c>
      <c r="H126" s="26">
        <v>1422.28</v>
      </c>
    </row>
    <row r="127" spans="1:26" ht="12.75" customHeight="1">
      <c r="A127" s="27">
        <v>125</v>
      </c>
      <c r="B127" s="28">
        <v>370</v>
      </c>
      <c r="C127" s="28">
        <v>525</v>
      </c>
      <c r="D127" s="29">
        <v>940</v>
      </c>
      <c r="E127" s="29">
        <v>1121.25</v>
      </c>
      <c r="F127" s="29">
        <v>1145</v>
      </c>
      <c r="G127" s="29">
        <v>1375</v>
      </c>
      <c r="H127" s="30">
        <v>1433.75</v>
      </c>
    </row>
    <row r="128" spans="1:26" ht="12.75" customHeight="1">
      <c r="A128" s="13">
        <v>126</v>
      </c>
      <c r="B128" s="10">
        <v>372.96</v>
      </c>
      <c r="C128" s="10">
        <v>529.20000000000005</v>
      </c>
      <c r="D128" s="10">
        <v>947.52</v>
      </c>
      <c r="E128" s="10">
        <v>1130.22</v>
      </c>
      <c r="F128" s="10">
        <v>1154.1600000000001</v>
      </c>
      <c r="G128" s="10">
        <v>1386</v>
      </c>
      <c r="H128" s="11">
        <v>1445.22</v>
      </c>
    </row>
    <row r="129" spans="1:8" ht="12.75" customHeight="1">
      <c r="A129" s="13">
        <v>127</v>
      </c>
      <c r="B129" s="14">
        <v>375.92</v>
      </c>
      <c r="C129" s="14">
        <v>533.4</v>
      </c>
      <c r="D129" s="14">
        <v>955.04</v>
      </c>
      <c r="E129" s="14">
        <v>1139.19</v>
      </c>
      <c r="F129" s="14">
        <v>1163.32</v>
      </c>
      <c r="G129" s="14">
        <v>1397</v>
      </c>
      <c r="H129" s="15">
        <v>1456.69</v>
      </c>
    </row>
    <row r="130" spans="1:8" ht="12.75" customHeight="1">
      <c r="A130" s="13">
        <v>128</v>
      </c>
      <c r="B130" s="14">
        <v>378.88</v>
      </c>
      <c r="C130" s="14">
        <v>537.6</v>
      </c>
      <c r="D130" s="14">
        <v>962.56</v>
      </c>
      <c r="E130" s="14">
        <v>1148.1600000000001</v>
      </c>
      <c r="F130" s="14">
        <v>1172.48</v>
      </c>
      <c r="G130" s="14">
        <v>1408</v>
      </c>
      <c r="H130" s="15">
        <v>1468.16</v>
      </c>
    </row>
    <row r="131" spans="1:8" ht="12.75" customHeight="1">
      <c r="A131" s="13">
        <v>129</v>
      </c>
      <c r="B131" s="14">
        <v>381.84</v>
      </c>
      <c r="C131" s="14">
        <v>541.79999999999995</v>
      </c>
      <c r="D131" s="14">
        <v>970.08</v>
      </c>
      <c r="E131" s="14">
        <v>1157.1300000000001</v>
      </c>
      <c r="F131" s="14">
        <v>1181.6400000000001</v>
      </c>
      <c r="G131" s="14">
        <v>1419</v>
      </c>
      <c r="H131" s="15">
        <v>1479.63</v>
      </c>
    </row>
    <row r="132" spans="1:8" ht="12.75" customHeight="1">
      <c r="A132" s="13">
        <v>130</v>
      </c>
      <c r="B132" s="17">
        <v>384.8</v>
      </c>
      <c r="C132" s="17">
        <v>546</v>
      </c>
      <c r="D132" s="17">
        <v>977.6</v>
      </c>
      <c r="E132" s="17">
        <v>1166.0999999999999</v>
      </c>
      <c r="F132" s="17">
        <v>1190.8</v>
      </c>
      <c r="G132" s="17">
        <v>1430</v>
      </c>
      <c r="H132" s="18">
        <v>1491.1</v>
      </c>
    </row>
    <row r="133" spans="1:8" ht="12.75" customHeight="1">
      <c r="A133" s="31">
        <v>131</v>
      </c>
      <c r="B133" s="20">
        <v>387.76</v>
      </c>
      <c r="C133" s="20">
        <v>550.20000000000005</v>
      </c>
      <c r="D133" s="21">
        <v>985.12</v>
      </c>
      <c r="E133" s="21">
        <v>1175.07</v>
      </c>
      <c r="F133" s="21">
        <v>1199.96</v>
      </c>
      <c r="G133" s="21">
        <v>1441</v>
      </c>
      <c r="H133" s="22">
        <v>1502.57</v>
      </c>
    </row>
    <row r="134" spans="1:8" ht="12.75" customHeight="1">
      <c r="A134" s="19">
        <v>132</v>
      </c>
      <c r="B134" s="24">
        <v>390.72</v>
      </c>
      <c r="C134" s="24">
        <v>554.4</v>
      </c>
      <c r="D134" s="25">
        <v>992.64</v>
      </c>
      <c r="E134" s="25">
        <v>1184.04</v>
      </c>
      <c r="F134" s="25">
        <v>1209.1199999999999</v>
      </c>
      <c r="G134" s="25">
        <v>1452</v>
      </c>
      <c r="H134" s="26">
        <v>1514.04</v>
      </c>
    </row>
    <row r="135" spans="1:8" ht="12.75" customHeight="1">
      <c r="A135" s="19">
        <v>133</v>
      </c>
      <c r="B135" s="24">
        <v>393.68</v>
      </c>
      <c r="C135" s="24">
        <v>558.6</v>
      </c>
      <c r="D135" s="25">
        <v>1000.16</v>
      </c>
      <c r="E135" s="25">
        <v>1193.01</v>
      </c>
      <c r="F135" s="25">
        <v>1218.28</v>
      </c>
      <c r="G135" s="25">
        <v>1463</v>
      </c>
      <c r="H135" s="26">
        <v>1525.51</v>
      </c>
    </row>
    <row r="136" spans="1:8" ht="12.75" customHeight="1">
      <c r="A136" s="19">
        <v>134</v>
      </c>
      <c r="B136" s="24">
        <v>396.64</v>
      </c>
      <c r="C136" s="24">
        <v>562.79999999999995</v>
      </c>
      <c r="D136" s="25">
        <v>1007.68</v>
      </c>
      <c r="E136" s="25">
        <v>1201.98</v>
      </c>
      <c r="F136" s="25">
        <v>1227.44</v>
      </c>
      <c r="G136" s="25">
        <v>1474</v>
      </c>
      <c r="H136" s="26">
        <v>1536.98</v>
      </c>
    </row>
    <row r="137" spans="1:8" ht="12.75" customHeight="1">
      <c r="A137" s="19">
        <v>135</v>
      </c>
      <c r="B137" s="28">
        <v>399.6</v>
      </c>
      <c r="C137" s="28">
        <v>567</v>
      </c>
      <c r="D137" s="29">
        <v>1015.2</v>
      </c>
      <c r="E137" s="29">
        <v>1210.95</v>
      </c>
      <c r="F137" s="29">
        <v>1236.5999999999999</v>
      </c>
      <c r="G137" s="29">
        <v>1485</v>
      </c>
      <c r="H137" s="30">
        <v>1548.45</v>
      </c>
    </row>
    <row r="138" spans="1:8" ht="12.75" customHeight="1">
      <c r="A138" s="32">
        <v>136</v>
      </c>
      <c r="B138" s="10">
        <v>402.56</v>
      </c>
      <c r="C138" s="10">
        <v>571.20000000000005</v>
      </c>
      <c r="D138" s="10">
        <v>1022.72</v>
      </c>
      <c r="E138" s="10">
        <v>1219.92</v>
      </c>
      <c r="F138" s="10">
        <v>1245.76</v>
      </c>
      <c r="G138" s="10">
        <v>1496</v>
      </c>
      <c r="H138" s="11">
        <v>1559.92</v>
      </c>
    </row>
    <row r="139" spans="1:8" ht="12.75" customHeight="1">
      <c r="A139" s="13">
        <v>137</v>
      </c>
      <c r="B139" s="14">
        <v>405.52</v>
      </c>
      <c r="C139" s="14">
        <v>575.4</v>
      </c>
      <c r="D139" s="14">
        <v>1030.24</v>
      </c>
      <c r="E139" s="14">
        <v>1228.8900000000001</v>
      </c>
      <c r="F139" s="14">
        <v>1254.92</v>
      </c>
      <c r="G139" s="14">
        <v>1507</v>
      </c>
      <c r="H139" s="15">
        <v>1571.39</v>
      </c>
    </row>
    <row r="140" spans="1:8" ht="12.75" customHeight="1">
      <c r="A140" s="13">
        <v>138</v>
      </c>
      <c r="B140" s="14">
        <v>408.48</v>
      </c>
      <c r="C140" s="14">
        <v>579.6</v>
      </c>
      <c r="D140" s="14">
        <v>1037.76</v>
      </c>
      <c r="E140" s="14">
        <v>1237.8599999999999</v>
      </c>
      <c r="F140" s="14">
        <v>1264.08</v>
      </c>
      <c r="G140" s="14">
        <v>1518</v>
      </c>
      <c r="H140" s="15">
        <v>1582.86</v>
      </c>
    </row>
    <row r="141" spans="1:8" ht="12.75" customHeight="1">
      <c r="A141" s="13">
        <v>139</v>
      </c>
      <c r="B141" s="14">
        <v>411.44</v>
      </c>
      <c r="C141" s="14">
        <v>583.79999999999995</v>
      </c>
      <c r="D141" s="14">
        <v>1045.28</v>
      </c>
      <c r="E141" s="14">
        <v>1246.83</v>
      </c>
      <c r="F141" s="14">
        <v>1273.24</v>
      </c>
      <c r="G141" s="14">
        <v>1529</v>
      </c>
      <c r="H141" s="15">
        <v>1594.33</v>
      </c>
    </row>
    <row r="142" spans="1:8" ht="12.75" customHeight="1">
      <c r="A142" s="16">
        <v>140</v>
      </c>
      <c r="B142" s="17">
        <v>414.4</v>
      </c>
      <c r="C142" s="17">
        <v>588</v>
      </c>
      <c r="D142" s="17">
        <v>1052.8</v>
      </c>
      <c r="E142" s="17">
        <v>1255.8</v>
      </c>
      <c r="F142" s="17">
        <v>1282.4000000000001</v>
      </c>
      <c r="G142" s="17">
        <v>1540</v>
      </c>
      <c r="H142" s="18">
        <v>1605.8</v>
      </c>
    </row>
    <row r="143" spans="1:8" ht="12.75" customHeight="1">
      <c r="A143" s="19">
        <v>141</v>
      </c>
      <c r="B143" s="20">
        <v>417.36</v>
      </c>
      <c r="C143" s="20">
        <v>592.20000000000005</v>
      </c>
      <c r="D143" s="21">
        <v>1060.32</v>
      </c>
      <c r="E143" s="21">
        <v>1264.77</v>
      </c>
      <c r="F143" s="21">
        <v>1291.56</v>
      </c>
      <c r="G143" s="21">
        <v>1551</v>
      </c>
      <c r="H143" s="22">
        <v>1617.27</v>
      </c>
    </row>
    <row r="144" spans="1:8" ht="12.75" customHeight="1">
      <c r="A144" s="23">
        <v>142</v>
      </c>
      <c r="B144" s="24">
        <v>420.32</v>
      </c>
      <c r="C144" s="24">
        <v>596.4</v>
      </c>
      <c r="D144" s="25">
        <v>1067.8399999999999</v>
      </c>
      <c r="E144" s="25">
        <v>1273.74</v>
      </c>
      <c r="F144" s="25">
        <v>1300.72</v>
      </c>
      <c r="G144" s="25">
        <v>1562</v>
      </c>
      <c r="H144" s="26">
        <v>1628.74</v>
      </c>
    </row>
    <row r="145" spans="1:8" ht="12.75" customHeight="1">
      <c r="A145" s="23">
        <v>143</v>
      </c>
      <c r="B145" s="24">
        <v>423.28</v>
      </c>
      <c r="C145" s="24">
        <v>600.6</v>
      </c>
      <c r="D145" s="25">
        <v>1075.3599999999999</v>
      </c>
      <c r="E145" s="25">
        <v>1282.71</v>
      </c>
      <c r="F145" s="25">
        <v>1309.8800000000001</v>
      </c>
      <c r="G145" s="25">
        <v>1573</v>
      </c>
      <c r="H145" s="26">
        <v>1640.21</v>
      </c>
    </row>
    <row r="146" spans="1:8" ht="12.75" customHeight="1">
      <c r="A146" s="23">
        <v>144</v>
      </c>
      <c r="B146" s="24">
        <v>426.24</v>
      </c>
      <c r="C146" s="24">
        <v>604.79999999999995</v>
      </c>
      <c r="D146" s="25">
        <v>1082.8800000000001</v>
      </c>
      <c r="E146" s="25">
        <v>1291.68</v>
      </c>
      <c r="F146" s="25">
        <v>1319.04</v>
      </c>
      <c r="G146" s="25">
        <v>1584</v>
      </c>
      <c r="H146" s="26">
        <v>1651.68</v>
      </c>
    </row>
    <row r="147" spans="1:8" ht="12.75" customHeight="1">
      <c r="A147" s="23">
        <v>145</v>
      </c>
      <c r="B147" s="28">
        <v>429.2</v>
      </c>
      <c r="C147" s="28">
        <v>609</v>
      </c>
      <c r="D147" s="29">
        <v>1090.4000000000001</v>
      </c>
      <c r="E147" s="29">
        <v>1300.6500000000001</v>
      </c>
      <c r="F147" s="29">
        <v>1328.2</v>
      </c>
      <c r="G147" s="29">
        <v>1595</v>
      </c>
      <c r="H147" s="30">
        <v>1663.15</v>
      </c>
    </row>
    <row r="148" spans="1:8" ht="12.75" customHeight="1">
      <c r="A148" s="9">
        <v>146</v>
      </c>
      <c r="B148" s="10">
        <v>432.16</v>
      </c>
      <c r="C148" s="10">
        <v>613.20000000000005</v>
      </c>
      <c r="D148" s="10">
        <v>1097.92</v>
      </c>
      <c r="E148" s="10">
        <v>1309.6199999999999</v>
      </c>
      <c r="F148" s="10">
        <v>1337.36</v>
      </c>
      <c r="G148" s="10">
        <v>1606</v>
      </c>
      <c r="H148" s="11">
        <v>1674.62</v>
      </c>
    </row>
    <row r="149" spans="1:8" ht="12.75" customHeight="1">
      <c r="A149" s="33">
        <v>147</v>
      </c>
      <c r="B149" s="14">
        <v>435.12</v>
      </c>
      <c r="C149" s="14">
        <v>617.4</v>
      </c>
      <c r="D149" s="14">
        <v>1105.44</v>
      </c>
      <c r="E149" s="14">
        <v>1318.59</v>
      </c>
      <c r="F149" s="14">
        <v>1346.52</v>
      </c>
      <c r="G149" s="14">
        <v>1617</v>
      </c>
      <c r="H149" s="15">
        <v>1686.09</v>
      </c>
    </row>
    <row r="150" spans="1:8" ht="12.75" customHeight="1">
      <c r="A150" s="33">
        <v>148</v>
      </c>
      <c r="B150" s="14">
        <v>438.08</v>
      </c>
      <c r="C150" s="14">
        <v>621.6</v>
      </c>
      <c r="D150" s="14">
        <v>1112.96</v>
      </c>
      <c r="E150" s="14">
        <v>1327.56</v>
      </c>
      <c r="F150" s="14">
        <v>1355.68</v>
      </c>
      <c r="G150" s="14">
        <v>1628</v>
      </c>
      <c r="H150" s="15">
        <v>1697.56</v>
      </c>
    </row>
    <row r="151" spans="1:8" ht="12.75" customHeight="1">
      <c r="A151" s="33">
        <v>149</v>
      </c>
      <c r="B151" s="14">
        <v>441.04</v>
      </c>
      <c r="C151" s="14">
        <v>625.79999999999995</v>
      </c>
      <c r="D151" s="14">
        <v>1120.48</v>
      </c>
      <c r="E151" s="14">
        <v>1336.53</v>
      </c>
      <c r="F151" s="14">
        <v>1364.84</v>
      </c>
      <c r="G151" s="14">
        <v>1639</v>
      </c>
      <c r="H151" s="15">
        <v>1709.03</v>
      </c>
    </row>
    <row r="152" spans="1:8" ht="12.75" customHeight="1">
      <c r="A152" s="16">
        <v>150</v>
      </c>
      <c r="B152" s="17">
        <v>444</v>
      </c>
      <c r="C152" s="17">
        <v>630</v>
      </c>
      <c r="D152" s="17">
        <v>1128</v>
      </c>
      <c r="E152" s="17">
        <v>1345.5</v>
      </c>
      <c r="F152" s="17">
        <v>1374</v>
      </c>
      <c r="G152" s="17">
        <v>1650</v>
      </c>
      <c r="H152" s="18">
        <v>1720.5</v>
      </c>
    </row>
    <row r="153" spans="1:8" ht="12.75" customHeight="1">
      <c r="A153" s="36" t="s">
        <v>6</v>
      </c>
      <c r="B153" s="37">
        <v>2.96</v>
      </c>
      <c r="C153" s="37">
        <v>4.2</v>
      </c>
      <c r="D153" s="37">
        <v>7.52</v>
      </c>
      <c r="E153" s="37">
        <v>8.9700000000000006</v>
      </c>
      <c r="F153" s="37">
        <v>9.16</v>
      </c>
      <c r="G153" s="37">
        <v>11</v>
      </c>
      <c r="H153" s="37">
        <v>11.47</v>
      </c>
    </row>
    <row r="154" spans="1:8" ht="12.75" customHeight="1"/>
    <row r="155" spans="1:8" ht="12.75" customHeight="1"/>
    <row r="156" spans="1:8" ht="12.75" customHeight="1"/>
    <row r="157" spans="1:8" ht="12.75" customHeight="1"/>
    <row r="158" spans="1:8" ht="12.75" customHeight="1"/>
    <row r="159" spans="1:8" ht="12.75" customHeight="1"/>
    <row r="160" spans="1:8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0.51" bottom="0.56999999999999995" header="0" footer="0"/>
  <pageSetup scale="92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1F3864"/>
  </sheetPr>
  <dimension ref="A1:Z1000"/>
  <sheetViews>
    <sheetView tabSelected="1" workbookViewId="0"/>
  </sheetViews>
  <sheetFormatPr defaultColWidth="12.5703125" defaultRowHeight="15" customHeight="1"/>
  <cols>
    <col min="1" max="8" width="8.5703125" customWidth="1"/>
    <col min="9" max="10" width="11.140625" customWidth="1"/>
    <col min="11" max="11" width="10.7109375" customWidth="1"/>
    <col min="12" max="12" width="8.5703125" customWidth="1"/>
    <col min="13" max="13" width="14.5703125" customWidth="1"/>
    <col min="14" max="14" width="14.7109375" customWidth="1"/>
    <col min="15" max="23" width="8.5703125" customWidth="1"/>
    <col min="24" max="24" width="13.28515625" customWidth="1"/>
    <col min="25" max="26" width="8.5703125" customWidth="1"/>
  </cols>
  <sheetData>
    <row r="1" spans="1:26" ht="12.75" customHeight="1">
      <c r="G1" s="212" t="s">
        <v>84</v>
      </c>
    </row>
    <row r="2" spans="1:26" ht="12.75" customHeight="1">
      <c r="B2" s="226" t="s">
        <v>98</v>
      </c>
      <c r="G2" s="212" t="s">
        <v>123</v>
      </c>
    </row>
    <row r="3" spans="1:26" ht="12.75" customHeight="1">
      <c r="B3" s="213" t="s">
        <v>124</v>
      </c>
      <c r="G3" s="227" t="s">
        <v>125</v>
      </c>
    </row>
    <row r="4" spans="1:26" ht="23.25" customHeight="1">
      <c r="A4" s="215" t="s">
        <v>5</v>
      </c>
      <c r="B4" s="214" t="s">
        <v>67</v>
      </c>
      <c r="C4" s="214" t="s">
        <v>67</v>
      </c>
      <c r="D4" s="214" t="s">
        <v>67</v>
      </c>
      <c r="E4" s="214" t="s">
        <v>67</v>
      </c>
      <c r="F4" s="214" t="s">
        <v>67</v>
      </c>
      <c r="G4" s="214" t="s">
        <v>67</v>
      </c>
      <c r="H4" s="214" t="s">
        <v>67</v>
      </c>
      <c r="I4" s="214" t="s">
        <v>67</v>
      </c>
      <c r="J4" s="214" t="s">
        <v>67</v>
      </c>
      <c r="K4" s="223" t="s">
        <v>126</v>
      </c>
      <c r="L4" s="60"/>
      <c r="N4" s="223" t="s">
        <v>127</v>
      </c>
      <c r="O4" s="214" t="s">
        <v>67</v>
      </c>
      <c r="P4" s="214" t="s">
        <v>67</v>
      </c>
      <c r="Q4" s="214" t="s">
        <v>67</v>
      </c>
      <c r="R4" s="214" t="s">
        <v>67</v>
      </c>
      <c r="S4" s="214" t="s">
        <v>67</v>
      </c>
      <c r="T4" s="214" t="s">
        <v>67</v>
      </c>
      <c r="U4" s="214" t="s">
        <v>67</v>
      </c>
      <c r="V4" s="214" t="s">
        <v>67</v>
      </c>
      <c r="W4" s="214" t="s">
        <v>67</v>
      </c>
      <c r="X4" s="223" t="s">
        <v>126</v>
      </c>
    </row>
    <row r="5" spans="1:26" ht="39.75" customHeight="1">
      <c r="A5" s="222" t="s">
        <v>49</v>
      </c>
      <c r="B5" s="282">
        <v>1</v>
      </c>
      <c r="C5" s="282">
        <v>2</v>
      </c>
      <c r="D5" s="282">
        <v>3</v>
      </c>
      <c r="E5" s="282">
        <v>4</v>
      </c>
      <c r="F5" s="282">
        <v>5</v>
      </c>
      <c r="G5" s="282">
        <v>6</v>
      </c>
      <c r="H5" s="282">
        <v>7</v>
      </c>
      <c r="I5" s="282">
        <v>8</v>
      </c>
      <c r="J5" s="282" t="s">
        <v>128</v>
      </c>
      <c r="K5" s="282">
        <v>9</v>
      </c>
      <c r="L5" s="36"/>
      <c r="M5" s="283"/>
      <c r="N5" s="223" t="s">
        <v>129</v>
      </c>
      <c r="O5" s="282">
        <v>1</v>
      </c>
      <c r="P5" s="282">
        <v>2</v>
      </c>
      <c r="Q5" s="282">
        <v>3</v>
      </c>
      <c r="R5" s="282">
        <v>4</v>
      </c>
      <c r="S5" s="282">
        <v>5</v>
      </c>
      <c r="T5" s="282">
        <v>6</v>
      </c>
      <c r="U5" s="282">
        <v>7</v>
      </c>
      <c r="V5" s="282">
        <v>8</v>
      </c>
      <c r="W5" s="282" t="s">
        <v>128</v>
      </c>
      <c r="X5" s="282">
        <v>9</v>
      </c>
      <c r="Y5" s="283"/>
      <c r="Z5" s="283"/>
    </row>
    <row r="6" spans="1:26" ht="12.75" customHeight="1">
      <c r="A6" s="284" t="s">
        <v>88</v>
      </c>
      <c r="B6" s="285">
        <f>ROUND('USPS Base'!B3*(1+PostalMarkup),2)</f>
        <v>8.52</v>
      </c>
      <c r="C6" s="285">
        <f>ROUND('USPS Base'!C3*(1+PostalMarkup),2)</f>
        <v>8.76</v>
      </c>
      <c r="D6" s="285">
        <f>ROUND('USPS Base'!D3*(1+PostalMarkup),2)</f>
        <v>9.36</v>
      </c>
      <c r="E6" s="285">
        <f>ROUND('USPS Base'!E3*(1+PostalMarkup),2)</f>
        <v>10.050000000000001</v>
      </c>
      <c r="F6" s="285">
        <f>ROUND('USPS Base'!F3*(1+PostalMarkup),2)</f>
        <v>12.32</v>
      </c>
      <c r="G6" s="285">
        <f>ROUND('USPS Base'!G3*(1+PostalMarkup),2)</f>
        <v>13.6</v>
      </c>
      <c r="H6" s="285">
        <f>ROUND('USPS Base'!H3*(1+PostalMarkup),2)</f>
        <v>14.21</v>
      </c>
      <c r="I6" s="285">
        <f>ROUND('USPS Base'!I3*(1+PostalMarkup),2)</f>
        <v>14.51</v>
      </c>
      <c r="J6" s="285">
        <f>ROUND('USPS Base'!J3*(1+PostalMarkup),2)</f>
        <v>17.5</v>
      </c>
      <c r="K6" s="285">
        <f>ROUND('USPS Base'!K3*(1+PostalMarkup),2)</f>
        <v>37.35</v>
      </c>
      <c r="L6" s="60"/>
      <c r="N6" s="284">
        <v>0.1</v>
      </c>
      <c r="O6" s="285">
        <f>ROUND('USPS Base'!B80*(1+PostalMarkup),2)</f>
        <v>8.65</v>
      </c>
      <c r="P6" s="285">
        <f>ROUND('USPS Base'!C80*(1+PostalMarkup),2)</f>
        <v>8.91</v>
      </c>
      <c r="Q6" s="285">
        <f>ROUND('USPS Base'!D80*(1+PostalMarkup),2)</f>
        <v>9.51</v>
      </c>
      <c r="R6" s="285">
        <f>ROUND('USPS Base'!E80*(1+PostalMarkup),2)</f>
        <v>10.24</v>
      </c>
      <c r="S6" s="285">
        <f>ROUND('USPS Base'!F80*(1+PostalMarkup),2)</f>
        <v>12.68</v>
      </c>
      <c r="T6" s="285">
        <f>ROUND('USPS Base'!G80*(1+PostalMarkup),2)</f>
        <v>14.12</v>
      </c>
      <c r="U6" s="285">
        <f>ROUND('USPS Base'!H80*(1+PostalMarkup),2)</f>
        <v>14.85</v>
      </c>
      <c r="V6" s="285">
        <f>ROUND('USPS Base'!I80*(1+PostalMarkup),2)</f>
        <v>15.13</v>
      </c>
      <c r="W6" s="285">
        <f>ROUND('USPS Base'!J80*(1+PostalMarkup),2)</f>
        <v>17.84</v>
      </c>
      <c r="X6" s="285">
        <f>ROUND('USPS Base'!K80*(1+PostalMarkup),2)</f>
        <v>38.049999999999997</v>
      </c>
    </row>
    <row r="7" spans="1:26" ht="12.75" customHeight="1">
      <c r="A7" s="284">
        <v>2</v>
      </c>
      <c r="B7" s="285">
        <f>ROUND('USPS Base'!B4*(1+PostalMarkup),2)</f>
        <v>8.82</v>
      </c>
      <c r="C7" s="285">
        <f>ROUND('USPS Base'!C4*(1+PostalMarkup),2)</f>
        <v>9.11</v>
      </c>
      <c r="D7" s="285">
        <f>ROUND('USPS Base'!D4*(1+PostalMarkup),2)</f>
        <v>9.68</v>
      </c>
      <c r="E7" s="285">
        <f>ROUND('USPS Base'!E4*(1+PostalMarkup),2)</f>
        <v>10.73</v>
      </c>
      <c r="F7" s="285">
        <f>ROUND('USPS Base'!F4*(1+PostalMarkup),2)</f>
        <v>13.86</v>
      </c>
      <c r="G7" s="285">
        <f>ROUND('USPS Base'!G4*(1+PostalMarkup),2)</f>
        <v>14.63</v>
      </c>
      <c r="H7" s="285">
        <f>ROUND('USPS Base'!H4*(1+PostalMarkup),2)</f>
        <v>15.59</v>
      </c>
      <c r="I7" s="285">
        <f>ROUND('USPS Base'!I4*(1+PostalMarkup),2)</f>
        <v>15.88</v>
      </c>
      <c r="J7" s="285">
        <f>ROUND('USPS Base'!J4*(1+PostalMarkup),2)</f>
        <v>17.5</v>
      </c>
      <c r="K7" s="285">
        <f>ROUND('USPS Base'!K4*(1+PostalMarkup),2)</f>
        <v>37.35</v>
      </c>
      <c r="L7" s="60"/>
      <c r="N7" s="284">
        <v>0.2</v>
      </c>
      <c r="O7" s="285">
        <f>ROUND('USPS Base'!B81*(1+PostalMarkup),2)</f>
        <v>8.82</v>
      </c>
      <c r="P7" s="285">
        <f>ROUND('USPS Base'!C81*(1+PostalMarkup),2)</f>
        <v>9.11</v>
      </c>
      <c r="Q7" s="285">
        <f>ROUND('USPS Base'!D81*(1+PostalMarkup),2)</f>
        <v>9.68</v>
      </c>
      <c r="R7" s="285">
        <f>ROUND('USPS Base'!E81*(1+PostalMarkup),2)</f>
        <v>10.52</v>
      </c>
      <c r="S7" s="285">
        <f>ROUND('USPS Base'!F81*(1+PostalMarkup),2)</f>
        <v>13.47</v>
      </c>
      <c r="T7" s="285">
        <f>ROUND('USPS Base'!G81*(1+PostalMarkup),2)</f>
        <v>14.9</v>
      </c>
      <c r="U7" s="285">
        <f>ROUND('USPS Base'!H81*(1+PostalMarkup),2)</f>
        <v>15.89</v>
      </c>
      <c r="V7" s="285">
        <f>ROUND('USPS Base'!I81*(1+PostalMarkup),2)</f>
        <v>16.190000000000001</v>
      </c>
      <c r="W7" s="285">
        <f>ROUND('USPS Base'!J81*(1+PostalMarkup),2)</f>
        <v>18.829999999999998</v>
      </c>
      <c r="X7" s="285">
        <f>ROUND('USPS Base'!K81*(1+PostalMarkup),2)</f>
        <v>40.18</v>
      </c>
    </row>
    <row r="8" spans="1:26" ht="12.75" customHeight="1">
      <c r="A8" s="284">
        <v>3</v>
      </c>
      <c r="B8" s="285">
        <f>ROUND('USPS Base'!B5*(1+PostalMarkup),2)</f>
        <v>9.69</v>
      </c>
      <c r="C8" s="285">
        <f>ROUND('USPS Base'!C5*(1+PostalMarkup),2)</f>
        <v>10.039999999999999</v>
      </c>
      <c r="D8" s="285">
        <f>ROUND('USPS Base'!D5*(1+PostalMarkup),2)</f>
        <v>10.91</v>
      </c>
      <c r="E8" s="285">
        <f>ROUND('USPS Base'!E5*(1+PostalMarkup),2)</f>
        <v>12.66</v>
      </c>
      <c r="F8" s="285">
        <f>ROUND('USPS Base'!F5*(1+PostalMarkup),2)</f>
        <v>17.23</v>
      </c>
      <c r="G8" s="285">
        <f>ROUND('USPS Base'!G5*(1+PostalMarkup),2)</f>
        <v>18.91</v>
      </c>
      <c r="H8" s="285">
        <f>ROUND('USPS Base'!H5*(1+PostalMarkup),2)</f>
        <v>20.68</v>
      </c>
      <c r="I8" s="285">
        <f>ROUND('USPS Base'!I5*(1+PostalMarkup),2)</f>
        <v>21.09</v>
      </c>
      <c r="J8" s="285">
        <f>ROUND('USPS Base'!J5*(1+PostalMarkup),2)</f>
        <v>18.829999999999998</v>
      </c>
      <c r="K8" s="285">
        <f>ROUND('USPS Base'!K5*(1+PostalMarkup),2)</f>
        <v>40.18</v>
      </c>
      <c r="L8" s="60"/>
      <c r="N8" s="284">
        <v>0.3</v>
      </c>
      <c r="O8" s="285">
        <f>ROUND('USPS Base'!B82*(1+PostalMarkup),2)</f>
        <v>9.69</v>
      </c>
      <c r="P8" s="285">
        <f>ROUND('USPS Base'!C82*(1+PostalMarkup),2)</f>
        <v>10.039999999999999</v>
      </c>
      <c r="Q8" s="285">
        <f>ROUND('USPS Base'!D82*(1+PostalMarkup),2)</f>
        <v>10.91</v>
      </c>
      <c r="R8" s="285">
        <f>ROUND('USPS Base'!E82*(1+PostalMarkup),2)</f>
        <v>12.42</v>
      </c>
      <c r="S8" s="285">
        <f>ROUND('USPS Base'!F82*(1+PostalMarkup),2)</f>
        <v>16.61</v>
      </c>
      <c r="T8" s="285">
        <f>ROUND('USPS Base'!G82*(1+PostalMarkup),2)</f>
        <v>19.27</v>
      </c>
      <c r="U8" s="285">
        <f>ROUND('USPS Base'!H82*(1+PostalMarkup),2)</f>
        <v>21.07</v>
      </c>
      <c r="V8" s="285">
        <f>ROUND('USPS Base'!I82*(1+PostalMarkup),2)</f>
        <v>21.49</v>
      </c>
      <c r="W8" s="285">
        <f>ROUND('USPS Base'!J82*(1+PostalMarkup),2)</f>
        <v>23.66</v>
      </c>
      <c r="X8" s="285">
        <f>ROUND('USPS Base'!K82*(1+PostalMarkup),2)</f>
        <v>50.5</v>
      </c>
    </row>
    <row r="9" spans="1:26" ht="12.75" customHeight="1">
      <c r="A9" s="284">
        <v>4</v>
      </c>
      <c r="B9" s="285">
        <f>ROUND('USPS Base'!B6*(1+PostalMarkup),2)</f>
        <v>11.32</v>
      </c>
      <c r="C9" s="285">
        <f>ROUND('USPS Base'!C6*(1+PostalMarkup),2)</f>
        <v>11.59</v>
      </c>
      <c r="D9" s="285">
        <f>ROUND('USPS Base'!D6*(1+PostalMarkup),2)</f>
        <v>12.7</v>
      </c>
      <c r="E9" s="285">
        <f>ROUND('USPS Base'!E6*(1+PostalMarkup),2)</f>
        <v>14.82</v>
      </c>
      <c r="F9" s="285">
        <f>ROUND('USPS Base'!F6*(1+PostalMarkup),2)</f>
        <v>20.09</v>
      </c>
      <c r="G9" s="285">
        <f>ROUND('USPS Base'!G6*(1+PostalMarkup),2)</f>
        <v>23.64</v>
      </c>
      <c r="H9" s="285">
        <f>ROUND('USPS Base'!H6*(1+PostalMarkup),2)</f>
        <v>26.04</v>
      </c>
      <c r="I9" s="285">
        <f>ROUND('USPS Base'!I6*(1+PostalMarkup),2)</f>
        <v>26.57</v>
      </c>
      <c r="J9" s="285">
        <f>ROUND('USPS Base'!J6*(1+PostalMarkup),2)</f>
        <v>23.66</v>
      </c>
      <c r="K9" s="285">
        <f>ROUND('USPS Base'!K6*(1+PostalMarkup),2)</f>
        <v>50.5</v>
      </c>
      <c r="L9" s="60"/>
      <c r="N9" s="284">
        <v>0.4</v>
      </c>
      <c r="O9" s="285">
        <f>ROUND('USPS Base'!B83*(1+PostalMarkup),2)</f>
        <v>11.42</v>
      </c>
      <c r="P9" s="285">
        <f>ROUND('USPS Base'!C83*(1+PostalMarkup),2)</f>
        <v>11.67</v>
      </c>
      <c r="Q9" s="285">
        <f>ROUND('USPS Base'!D83*(1+PostalMarkup),2)</f>
        <v>12.82</v>
      </c>
      <c r="R9" s="285">
        <f>ROUND('USPS Base'!E83*(1+PostalMarkup),2)</f>
        <v>14.7</v>
      </c>
      <c r="S9" s="285">
        <f>ROUND('USPS Base'!F83*(1+PostalMarkup),2)</f>
        <v>19.7</v>
      </c>
      <c r="T9" s="285">
        <f>ROUND('USPS Base'!G83*(1+PostalMarkup),2)</f>
        <v>24.52</v>
      </c>
      <c r="U9" s="285">
        <f>ROUND('USPS Base'!H83*(1+PostalMarkup),2)</f>
        <v>27.06</v>
      </c>
      <c r="V9" s="285">
        <f>ROUND('USPS Base'!I83*(1+PostalMarkup),2)</f>
        <v>27.6</v>
      </c>
      <c r="W9" s="285">
        <f>ROUND('USPS Base'!J83*(1+PostalMarkup),2)</f>
        <v>31.4</v>
      </c>
      <c r="X9" s="285">
        <f>ROUND('USPS Base'!K83*(1+PostalMarkup),2)</f>
        <v>67.02</v>
      </c>
    </row>
    <row r="10" spans="1:26" ht="12.75" customHeight="1">
      <c r="A10" s="284">
        <v>5</v>
      </c>
      <c r="B10" s="285">
        <f>ROUND('USPS Base'!B7*(1+PostalMarkup),2)</f>
        <v>11.76</v>
      </c>
      <c r="C10" s="285">
        <f>ROUND('USPS Base'!C7*(1+PostalMarkup),2)</f>
        <v>11.99</v>
      </c>
      <c r="D10" s="285">
        <f>ROUND('USPS Base'!D7*(1+PostalMarkup),2)</f>
        <v>13.25</v>
      </c>
      <c r="E10" s="285">
        <f>ROUND('USPS Base'!E7*(1+PostalMarkup),2)</f>
        <v>15.57</v>
      </c>
      <c r="F10" s="285">
        <f>ROUND('USPS Base'!F7*(1+PostalMarkup),2)</f>
        <v>21.77</v>
      </c>
      <c r="G10" s="285">
        <f>ROUND('USPS Base'!G7*(1+PostalMarkup),2)</f>
        <v>25.63</v>
      </c>
      <c r="H10" s="285">
        <f>ROUND('USPS Base'!H7*(1+PostalMarkup),2)</f>
        <v>28.5</v>
      </c>
      <c r="I10" s="285">
        <f>ROUND('USPS Base'!I7*(1+PostalMarkup),2)</f>
        <v>29.11</v>
      </c>
      <c r="J10" s="285">
        <f>ROUND('USPS Base'!J7*(1+PostalMarkup),2)</f>
        <v>30.84</v>
      </c>
      <c r="K10" s="285">
        <f>ROUND('USPS Base'!K7*(1+PostalMarkup),2)</f>
        <v>65.81</v>
      </c>
      <c r="L10" s="60"/>
      <c r="N10" s="284">
        <v>0.5</v>
      </c>
      <c r="O10" s="285">
        <f>ROUND('USPS Base'!B84*(1+PostalMarkup),2)</f>
        <v>12.09</v>
      </c>
      <c r="P10" s="285">
        <f>ROUND('USPS Base'!C84*(1+PostalMarkup),2)</f>
        <v>12.28</v>
      </c>
      <c r="Q10" s="285">
        <f>ROUND('USPS Base'!D84*(1+PostalMarkup),2)</f>
        <v>13.6</v>
      </c>
      <c r="R10" s="285">
        <f>ROUND('USPS Base'!E84*(1+PostalMarkup),2)</f>
        <v>15.73</v>
      </c>
      <c r="S10" s="285">
        <f>ROUND('USPS Base'!F84*(1+PostalMarkup),2)</f>
        <v>21.79</v>
      </c>
      <c r="T10" s="285">
        <f>ROUND('USPS Base'!G84*(1+PostalMarkup),2)</f>
        <v>27.13</v>
      </c>
      <c r="U10" s="285">
        <f>ROUND('USPS Base'!H84*(1+PostalMarkup),2)</f>
        <v>30.33</v>
      </c>
      <c r="V10" s="285">
        <f>ROUND('USPS Base'!I84*(1+PostalMarkup),2)</f>
        <v>31.2</v>
      </c>
      <c r="W10" s="285">
        <f>ROUND('USPS Base'!J84*(1+PostalMarkup),2)</f>
        <v>35.14</v>
      </c>
      <c r="X10" s="285">
        <f>ROUND('USPS Base'!K84*(1+PostalMarkup),2)</f>
        <v>75.010000000000005</v>
      </c>
    </row>
    <row r="11" spans="1:26" ht="12.75" customHeight="1">
      <c r="A11" s="284">
        <v>6</v>
      </c>
      <c r="B11" s="285">
        <f>ROUND('USPS Base'!B8*(1+PostalMarkup),2)</f>
        <v>12.41</v>
      </c>
      <c r="C11" s="285">
        <f>ROUND('USPS Base'!C8*(1+PostalMarkup),2)</f>
        <v>12.57</v>
      </c>
      <c r="D11" s="285">
        <f>ROUND('USPS Base'!D8*(1+PostalMarkup),2)</f>
        <v>13.96</v>
      </c>
      <c r="E11" s="285">
        <f>ROUND('USPS Base'!E8*(1+PostalMarkup),2)</f>
        <v>16.77</v>
      </c>
      <c r="F11" s="285">
        <f>ROUND('USPS Base'!F8*(1+PostalMarkup),2)</f>
        <v>23.41</v>
      </c>
      <c r="G11" s="285">
        <f>ROUND('USPS Base'!G8*(1+PostalMarkup),2)</f>
        <v>27.6</v>
      </c>
      <c r="H11" s="285">
        <f>ROUND('USPS Base'!H8*(1+PostalMarkup),2)</f>
        <v>30.97</v>
      </c>
      <c r="I11" s="285">
        <f>ROUND('USPS Base'!I8*(1+PostalMarkup),2)</f>
        <v>32.07</v>
      </c>
      <c r="J11" s="285">
        <f>ROUND('USPS Base'!J8*(1+PostalMarkup),2)</f>
        <v>33.56</v>
      </c>
      <c r="K11" s="285">
        <f>ROUND('USPS Base'!K8*(1+PostalMarkup),2)</f>
        <v>71.61</v>
      </c>
      <c r="L11" s="60"/>
    </row>
    <row r="12" spans="1:26" ht="12.75" customHeight="1">
      <c r="A12" s="284">
        <v>7</v>
      </c>
      <c r="B12" s="285">
        <f>ROUND('USPS Base'!B9*(1+PostalMarkup),2)</f>
        <v>12.87</v>
      </c>
      <c r="C12" s="285">
        <f>ROUND('USPS Base'!C9*(1+PostalMarkup),2)</f>
        <v>13.04</v>
      </c>
      <c r="D12" s="285">
        <f>ROUND('USPS Base'!D9*(1+PostalMarkup),2)</f>
        <v>15.11</v>
      </c>
      <c r="E12" s="285">
        <f>ROUND('USPS Base'!E9*(1+PostalMarkup),2)</f>
        <v>17.96</v>
      </c>
      <c r="F12" s="285">
        <f>ROUND('USPS Base'!F9*(1+PostalMarkup),2)</f>
        <v>25.33</v>
      </c>
      <c r="G12" s="285">
        <f>ROUND('USPS Base'!G9*(1+PostalMarkup),2)</f>
        <v>29.72</v>
      </c>
      <c r="H12" s="285">
        <f>ROUND('USPS Base'!H9*(1+PostalMarkup),2)</f>
        <v>34.19</v>
      </c>
      <c r="I12" s="285">
        <f>ROUND('USPS Base'!I9*(1+PostalMarkup),2)</f>
        <v>35.43</v>
      </c>
      <c r="J12" s="285">
        <f>ROUND('USPS Base'!J9*(1+PostalMarkup),2)</f>
        <v>36.69</v>
      </c>
      <c r="K12" s="285">
        <f>ROUND('USPS Base'!K9*(1+PostalMarkup),2)</f>
        <v>78.290000000000006</v>
      </c>
      <c r="L12" s="60"/>
      <c r="N12" s="286" t="s">
        <v>130</v>
      </c>
      <c r="O12" s="287" t="s">
        <v>131</v>
      </c>
      <c r="P12" s="287"/>
      <c r="Q12" s="287"/>
      <c r="R12" s="287"/>
      <c r="S12" s="287"/>
      <c r="T12" s="287"/>
      <c r="U12" s="287"/>
      <c r="V12" s="287"/>
      <c r="W12" s="287"/>
      <c r="X12" s="288"/>
    </row>
    <row r="13" spans="1:26" ht="12.75" customHeight="1">
      <c r="A13" s="284">
        <v>8</v>
      </c>
      <c r="B13" s="285">
        <f>ROUND('USPS Base'!B10*(1+PostalMarkup),2)</f>
        <v>13.44</v>
      </c>
      <c r="C13" s="285">
        <f>ROUND('USPS Base'!C10*(1+PostalMarkup),2)</f>
        <v>13.73</v>
      </c>
      <c r="D13" s="285">
        <f>ROUND('USPS Base'!D10*(1+PostalMarkup),2)</f>
        <v>16.03</v>
      </c>
      <c r="E13" s="285">
        <f>ROUND('USPS Base'!E10*(1+PostalMarkup),2)</f>
        <v>19.059999999999999</v>
      </c>
      <c r="F13" s="285">
        <f>ROUND('USPS Base'!F10*(1+PostalMarkup),2)</f>
        <v>26.59</v>
      </c>
      <c r="G13" s="285">
        <f>ROUND('USPS Base'!G10*(1+PostalMarkup),2)</f>
        <v>31.03</v>
      </c>
      <c r="H13" s="285">
        <f>ROUND('USPS Base'!H10*(1+PostalMarkup),2)</f>
        <v>36.21</v>
      </c>
      <c r="I13" s="285">
        <f>ROUND('USPS Base'!I10*(1+PostalMarkup),2)</f>
        <v>37.979999999999997</v>
      </c>
      <c r="J13" s="285">
        <f>ROUND('USPS Base'!J10*(1+PostalMarkup),2)</f>
        <v>40.22</v>
      </c>
      <c r="K13" s="285">
        <f>ROUND('USPS Base'!K10*(1+PostalMarkup),2)</f>
        <v>85.82</v>
      </c>
      <c r="L13" s="60"/>
      <c r="N13" s="286" t="s">
        <v>132</v>
      </c>
      <c r="O13" s="289">
        <v>15</v>
      </c>
    </row>
    <row r="14" spans="1:26" ht="12.75" customHeight="1">
      <c r="A14" s="284">
        <v>9</v>
      </c>
      <c r="B14" s="285">
        <f>ROUND('USPS Base'!B11*(1+PostalMarkup),2)</f>
        <v>14.39</v>
      </c>
      <c r="C14" s="285">
        <f>ROUND('USPS Base'!C11*(1+PostalMarkup),2)</f>
        <v>14.67</v>
      </c>
      <c r="D14" s="285">
        <f>ROUND('USPS Base'!D11*(1+PostalMarkup),2)</f>
        <v>16.88</v>
      </c>
      <c r="E14" s="285">
        <f>ROUND('USPS Base'!E11*(1+PostalMarkup),2)</f>
        <v>20.09</v>
      </c>
      <c r="F14" s="285">
        <f>ROUND('USPS Base'!F11*(1+PostalMarkup),2)</f>
        <v>27.47</v>
      </c>
      <c r="G14" s="285">
        <f>ROUND('USPS Base'!G11*(1+PostalMarkup),2)</f>
        <v>32.81</v>
      </c>
      <c r="H14" s="285">
        <f>ROUND('USPS Base'!H11*(1+PostalMarkup),2)</f>
        <v>38.020000000000003</v>
      </c>
      <c r="I14" s="285">
        <f>ROUND('USPS Base'!I11*(1+PostalMarkup),2)</f>
        <v>40.4</v>
      </c>
      <c r="J14" s="285">
        <f>ROUND('USPS Base'!J11*(1+PostalMarkup),2)</f>
        <v>42.72</v>
      </c>
      <c r="K14" s="285">
        <f>ROUND('USPS Base'!K11*(1+PostalMarkup),2)</f>
        <v>91.17</v>
      </c>
      <c r="L14" s="60"/>
      <c r="N14" s="286" t="s">
        <v>133</v>
      </c>
      <c r="O14" s="289">
        <v>10</v>
      </c>
    </row>
    <row r="15" spans="1:26" ht="12.75" customHeight="1">
      <c r="A15" s="284">
        <v>10</v>
      </c>
      <c r="B15" s="285">
        <f>ROUND('USPS Base'!B12*(1+PostalMarkup),2)</f>
        <v>15.32</v>
      </c>
      <c r="C15" s="285">
        <f>ROUND('USPS Base'!C12*(1+PostalMarkup),2)</f>
        <v>15.61</v>
      </c>
      <c r="D15" s="285">
        <f>ROUND('USPS Base'!D12*(1+PostalMarkup),2)</f>
        <v>17.649999999999999</v>
      </c>
      <c r="E15" s="285">
        <f>ROUND('USPS Base'!E12*(1+PostalMarkup),2)</f>
        <v>20.91</v>
      </c>
      <c r="F15" s="285">
        <f>ROUND('USPS Base'!F12*(1+PostalMarkup),2)</f>
        <v>28.64</v>
      </c>
      <c r="G15" s="285">
        <f>ROUND('USPS Base'!G12*(1+PostalMarkup),2)</f>
        <v>34.43</v>
      </c>
      <c r="H15" s="285">
        <f>ROUND('USPS Base'!H12*(1+PostalMarkup),2)</f>
        <v>39.78</v>
      </c>
      <c r="I15" s="285">
        <f>ROUND('USPS Base'!I12*(1+PostalMarkup),2)</f>
        <v>42.98</v>
      </c>
      <c r="J15" s="285">
        <f>ROUND('USPS Base'!J12*(1+PostalMarkup),2)</f>
        <v>45.14</v>
      </c>
      <c r="K15" s="285">
        <f>ROUND('USPS Base'!K12*(1+PostalMarkup),2)</f>
        <v>96.31</v>
      </c>
      <c r="L15" s="60"/>
      <c r="N15" s="290" t="s">
        <v>134</v>
      </c>
      <c r="O15" s="291">
        <v>3</v>
      </c>
    </row>
    <row r="16" spans="1:26" ht="12.75" customHeight="1">
      <c r="A16" s="284">
        <v>11</v>
      </c>
      <c r="B16" s="285">
        <f>ROUND('USPS Base'!B13*(1+PostalMarkup),2)</f>
        <v>15.8</v>
      </c>
      <c r="C16" s="285">
        <f>ROUND('USPS Base'!C13*(1+PostalMarkup),2)</f>
        <v>16.13</v>
      </c>
      <c r="D16" s="285">
        <f>ROUND('USPS Base'!D13*(1+PostalMarkup),2)</f>
        <v>18.010000000000002</v>
      </c>
      <c r="E16" s="285">
        <f>ROUND('USPS Base'!E13*(1+PostalMarkup),2)</f>
        <v>21.61</v>
      </c>
      <c r="F16" s="285">
        <f>ROUND('USPS Base'!F13*(1+PostalMarkup),2)</f>
        <v>29.88</v>
      </c>
      <c r="G16" s="285">
        <f>ROUND('USPS Base'!G13*(1+PostalMarkup),2)</f>
        <v>35.14</v>
      </c>
      <c r="H16" s="285">
        <f>ROUND('USPS Base'!H13*(1+PostalMarkup),2)</f>
        <v>40.869999999999997</v>
      </c>
      <c r="I16" s="285">
        <f>ROUND('USPS Base'!I13*(1+PostalMarkup),2)</f>
        <v>44.24</v>
      </c>
      <c r="J16" s="285">
        <f>ROUND('USPS Base'!J13*(1+PostalMarkup),2)</f>
        <v>47.47</v>
      </c>
      <c r="K16" s="285">
        <f>ROUND('USPS Base'!K13*(1+PostalMarkup),2)</f>
        <v>101.32</v>
      </c>
      <c r="L16" s="60"/>
      <c r="N16" s="292" t="s">
        <v>135</v>
      </c>
      <c r="O16" s="293">
        <f>ROUNDUP((ROUND(O13,0)*ROUND(O14,0)*ROUND(O15,0))/1728,1)</f>
        <v>0.30000000000000004</v>
      </c>
    </row>
    <row r="17" spans="1:24" ht="12.75" customHeight="1">
      <c r="A17" s="284">
        <v>12</v>
      </c>
      <c r="B17" s="285">
        <f>ROUND('USPS Base'!B14*(1+PostalMarkup),2)</f>
        <v>16.57</v>
      </c>
      <c r="C17" s="285">
        <f>ROUND('USPS Base'!C14*(1+PostalMarkup),2)</f>
        <v>16.89</v>
      </c>
      <c r="D17" s="285">
        <f>ROUND('USPS Base'!D14*(1+PostalMarkup),2)</f>
        <v>18.68</v>
      </c>
      <c r="E17" s="285">
        <f>ROUND('USPS Base'!E14*(1+PostalMarkup),2)</f>
        <v>22.43</v>
      </c>
      <c r="F17" s="285">
        <f>ROUND('USPS Base'!F14*(1+PostalMarkup),2)</f>
        <v>30.35</v>
      </c>
      <c r="G17" s="285">
        <f>ROUND('USPS Base'!G14*(1+PostalMarkup),2)</f>
        <v>36.08</v>
      </c>
      <c r="H17" s="285">
        <f>ROUND('USPS Base'!H14*(1+PostalMarkup),2)</f>
        <v>42.79</v>
      </c>
      <c r="I17" s="285">
        <f>ROUND('USPS Base'!I14*(1+PostalMarkup),2)</f>
        <v>46.6</v>
      </c>
      <c r="J17" s="285">
        <f>ROUND('USPS Base'!J14*(1+PostalMarkup),2)</f>
        <v>50.66</v>
      </c>
      <c r="K17" s="285">
        <f>ROUND('USPS Base'!K14*(1+PostalMarkup),2)</f>
        <v>108.11</v>
      </c>
      <c r="L17" s="60"/>
      <c r="N17" s="292" t="s">
        <v>136</v>
      </c>
      <c r="O17" s="294"/>
      <c r="P17" s="294"/>
      <c r="Q17" s="294"/>
      <c r="R17" s="294"/>
      <c r="S17" s="294"/>
      <c r="T17" s="294"/>
      <c r="U17" s="294"/>
      <c r="V17" s="294"/>
      <c r="W17" s="294"/>
      <c r="X17" s="293"/>
    </row>
    <row r="18" spans="1:24" ht="12.75" customHeight="1">
      <c r="A18" s="284">
        <v>13</v>
      </c>
      <c r="B18" s="285">
        <f>ROUND('USPS Base'!B15*(1+PostalMarkup),2)</f>
        <v>17.28</v>
      </c>
      <c r="C18" s="285">
        <f>ROUND('USPS Base'!C15*(1+PostalMarkup),2)</f>
        <v>17.63</v>
      </c>
      <c r="D18" s="285">
        <f>ROUND('USPS Base'!D15*(1+PostalMarkup),2)</f>
        <v>19.38</v>
      </c>
      <c r="E18" s="285">
        <f>ROUND('USPS Base'!E15*(1+PostalMarkup),2)</f>
        <v>22.86</v>
      </c>
      <c r="F18" s="285">
        <f>ROUND('USPS Base'!F15*(1+PostalMarkup),2)</f>
        <v>31.73</v>
      </c>
      <c r="G18" s="285">
        <f>ROUND('USPS Base'!G15*(1+PostalMarkup),2)</f>
        <v>37.71</v>
      </c>
      <c r="H18" s="285">
        <f>ROUND('USPS Base'!H15*(1+PostalMarkup),2)</f>
        <v>44.86</v>
      </c>
      <c r="I18" s="285">
        <f>ROUND('USPS Base'!I15*(1+PostalMarkup),2)</f>
        <v>49.06</v>
      </c>
      <c r="J18" s="285">
        <f>ROUND('USPS Base'!J15*(1+PostalMarkup),2)</f>
        <v>53.19</v>
      </c>
      <c r="K18" s="285">
        <f>ROUND('USPS Base'!K15*(1+PostalMarkup),2)</f>
        <v>113.49</v>
      </c>
      <c r="L18" s="60"/>
      <c r="N18" s="290" t="s">
        <v>137</v>
      </c>
      <c r="O18" s="295"/>
      <c r="P18" s="295"/>
      <c r="Q18" s="295"/>
      <c r="R18" s="295"/>
      <c r="S18" s="295"/>
      <c r="T18" s="295"/>
      <c r="U18" s="295"/>
      <c r="V18" s="295"/>
      <c r="W18" s="295"/>
      <c r="X18" s="296"/>
    </row>
    <row r="19" spans="1:24" ht="12.75" customHeight="1">
      <c r="A19" s="284">
        <v>14</v>
      </c>
      <c r="B19" s="285">
        <f>ROUND('USPS Base'!B16*(1+PostalMarkup),2)</f>
        <v>17.96</v>
      </c>
      <c r="C19" s="285">
        <f>ROUND('USPS Base'!C16*(1+PostalMarkup),2)</f>
        <v>18.32</v>
      </c>
      <c r="D19" s="285">
        <f>ROUND('USPS Base'!D16*(1+PostalMarkup),2)</f>
        <v>20.100000000000001</v>
      </c>
      <c r="E19" s="285">
        <f>ROUND('USPS Base'!E16*(1+PostalMarkup),2)</f>
        <v>23.77</v>
      </c>
      <c r="F19" s="285">
        <f>ROUND('USPS Base'!F16*(1+PostalMarkup),2)</f>
        <v>33.26</v>
      </c>
      <c r="G19" s="285">
        <f>ROUND('USPS Base'!G16*(1+PostalMarkup),2)</f>
        <v>39.549999999999997</v>
      </c>
      <c r="H19" s="285">
        <f>ROUND('USPS Base'!H16*(1+PostalMarkup),2)</f>
        <v>47.17</v>
      </c>
      <c r="I19" s="285">
        <f>ROUND('USPS Base'!I16*(1+PostalMarkup),2)</f>
        <v>51.68</v>
      </c>
      <c r="J19" s="285">
        <f>ROUND('USPS Base'!J16*(1+PostalMarkup),2)</f>
        <v>55.82</v>
      </c>
      <c r="K19" s="285">
        <f>ROUND('USPS Base'!K16*(1+PostalMarkup),2)</f>
        <v>119.12</v>
      </c>
      <c r="L19" s="60"/>
    </row>
    <row r="20" spans="1:24" ht="12.75" customHeight="1">
      <c r="A20" s="284">
        <v>15</v>
      </c>
      <c r="B20" s="285">
        <f>ROUND('USPS Base'!B17*(1+PostalMarkup),2)</f>
        <v>18.600000000000001</v>
      </c>
      <c r="C20" s="285">
        <f>ROUND('USPS Base'!C17*(1+PostalMarkup),2)</f>
        <v>19</v>
      </c>
      <c r="D20" s="285">
        <f>ROUND('USPS Base'!D17*(1+PostalMarkup),2)</f>
        <v>20.86</v>
      </c>
      <c r="E20" s="285">
        <f>ROUND('USPS Base'!E17*(1+PostalMarkup),2)</f>
        <v>24.74</v>
      </c>
      <c r="F20" s="285">
        <f>ROUND('USPS Base'!F17*(1+PostalMarkup),2)</f>
        <v>34.97</v>
      </c>
      <c r="G20" s="285">
        <f>ROUND('USPS Base'!G17*(1+PostalMarkup),2)</f>
        <v>41.58</v>
      </c>
      <c r="H20" s="285">
        <f>ROUND('USPS Base'!H17*(1+PostalMarkup),2)</f>
        <v>49.68</v>
      </c>
      <c r="I20" s="285">
        <f>ROUND('USPS Base'!I17*(1+PostalMarkup),2)</f>
        <v>54.46</v>
      </c>
      <c r="J20" s="285">
        <f>ROUND('USPS Base'!J17*(1+PostalMarkup),2)</f>
        <v>58.65</v>
      </c>
      <c r="K20" s="285">
        <f>ROUND('USPS Base'!K17*(1+PostalMarkup),2)</f>
        <v>125.15</v>
      </c>
      <c r="L20" s="60"/>
      <c r="N20" s="60" t="s">
        <v>138</v>
      </c>
      <c r="O20" s="60"/>
    </row>
    <row r="21" spans="1:24" ht="12.75" customHeight="1">
      <c r="A21" s="284">
        <v>16</v>
      </c>
      <c r="B21" s="285">
        <f>ROUND('USPS Base'!B18*(1+PostalMarkup),2)</f>
        <v>19.22</v>
      </c>
      <c r="C21" s="285">
        <f>ROUND('USPS Base'!C18*(1+PostalMarkup),2)</f>
        <v>19.63</v>
      </c>
      <c r="D21" s="285">
        <f>ROUND('USPS Base'!D18*(1+PostalMarkup),2)</f>
        <v>21.64</v>
      </c>
      <c r="E21" s="285">
        <f>ROUND('USPS Base'!E18*(1+PostalMarkup),2)</f>
        <v>25.61</v>
      </c>
      <c r="F21" s="285">
        <f>ROUND('USPS Base'!F18*(1+PostalMarkup),2)</f>
        <v>36.92</v>
      </c>
      <c r="G21" s="285">
        <f>ROUND('USPS Base'!G18*(1+PostalMarkup),2)</f>
        <v>43.86</v>
      </c>
      <c r="H21" s="285">
        <f>ROUND('USPS Base'!H18*(1+PostalMarkup),2)</f>
        <v>52.46</v>
      </c>
      <c r="I21" s="285">
        <f>ROUND('USPS Base'!I18*(1+PostalMarkup),2)</f>
        <v>57.44</v>
      </c>
      <c r="J21" s="285">
        <f>ROUND('USPS Base'!J18*(1+PostalMarkup),2)</f>
        <v>61.64</v>
      </c>
      <c r="K21" s="285">
        <f>ROUND('USPS Base'!K18*(1+PostalMarkup),2)</f>
        <v>131.55000000000001</v>
      </c>
      <c r="L21" s="60"/>
      <c r="M21" s="60"/>
      <c r="N21" s="60"/>
      <c r="O21" s="60"/>
    </row>
    <row r="22" spans="1:24" ht="12.75" customHeight="1">
      <c r="A22" s="284">
        <v>17</v>
      </c>
      <c r="B22" s="285">
        <f>ROUND('USPS Base'!B19*(1+PostalMarkup),2)</f>
        <v>19.829999999999998</v>
      </c>
      <c r="C22" s="285">
        <f>ROUND('USPS Base'!C19*(1+PostalMarkup),2)</f>
        <v>20.29</v>
      </c>
      <c r="D22" s="285">
        <f>ROUND('USPS Base'!D19*(1+PostalMarkup),2)</f>
        <v>22.54</v>
      </c>
      <c r="E22" s="285">
        <f>ROUND('USPS Base'!E19*(1+PostalMarkup),2)</f>
        <v>27.86</v>
      </c>
      <c r="F22" s="285">
        <f>ROUND('USPS Base'!F19*(1+PostalMarkup),2)</f>
        <v>40.6</v>
      </c>
      <c r="G22" s="285">
        <f>ROUND('USPS Base'!G19*(1+PostalMarkup),2)</f>
        <v>46.22</v>
      </c>
      <c r="H22" s="285">
        <f>ROUND('USPS Base'!H19*(1+PostalMarkup),2)</f>
        <v>55.36</v>
      </c>
      <c r="I22" s="285">
        <f>ROUND('USPS Base'!I19*(1+PostalMarkup),2)</f>
        <v>60.44</v>
      </c>
      <c r="J22" s="285">
        <f>ROUND('USPS Base'!J19*(1+PostalMarkup),2)</f>
        <v>64.86</v>
      </c>
      <c r="K22" s="285">
        <f>ROUND('USPS Base'!K19*(1+PostalMarkup),2)</f>
        <v>138.43</v>
      </c>
      <c r="L22" s="60"/>
      <c r="M22" s="60"/>
      <c r="N22" s="60"/>
      <c r="O22" s="60"/>
    </row>
    <row r="23" spans="1:24" ht="12.75" customHeight="1">
      <c r="A23" s="284">
        <v>18</v>
      </c>
      <c r="B23" s="285">
        <f>ROUND('USPS Base'!B20*(1+PostalMarkup),2)</f>
        <v>20.329999999999998</v>
      </c>
      <c r="C23" s="285">
        <f>ROUND('USPS Base'!C20*(1+PostalMarkup),2)</f>
        <v>20.79</v>
      </c>
      <c r="D23" s="285">
        <f>ROUND('USPS Base'!D20*(1+PostalMarkup),2)</f>
        <v>23.48</v>
      </c>
      <c r="E23" s="285">
        <f>ROUND('USPS Base'!E20*(1+PostalMarkup),2)</f>
        <v>29.22</v>
      </c>
      <c r="F23" s="285">
        <f>ROUND('USPS Base'!F20*(1+PostalMarkup),2)</f>
        <v>42.96</v>
      </c>
      <c r="G23" s="285">
        <f>ROUND('USPS Base'!G20*(1+PostalMarkup),2)</f>
        <v>48.73</v>
      </c>
      <c r="H23" s="285">
        <f>ROUND('USPS Base'!H20*(1+PostalMarkup),2)</f>
        <v>58.42</v>
      </c>
      <c r="I23" s="285">
        <f>ROUND('USPS Base'!I20*(1+PostalMarkup),2)</f>
        <v>63.53</v>
      </c>
      <c r="J23" s="285">
        <f>ROUND('USPS Base'!J20*(1+PostalMarkup),2)</f>
        <v>68.099999999999994</v>
      </c>
      <c r="K23" s="285">
        <f>ROUND('USPS Base'!K20*(1+PostalMarkup),2)</f>
        <v>145.34</v>
      </c>
      <c r="L23" s="60"/>
      <c r="M23" s="60"/>
      <c r="N23" s="60"/>
      <c r="O23" s="60"/>
    </row>
    <row r="24" spans="1:24" ht="12.75" customHeight="1">
      <c r="A24" s="284">
        <v>19</v>
      </c>
      <c r="B24" s="285">
        <f>ROUND('USPS Base'!B21*(1+PostalMarkup),2)</f>
        <v>20.63</v>
      </c>
      <c r="C24" s="285">
        <f>ROUND('USPS Base'!C21*(1+PostalMarkup),2)</f>
        <v>21.11</v>
      </c>
      <c r="D24" s="285">
        <f>ROUND('USPS Base'!D21*(1+PostalMarkup),2)</f>
        <v>23.81</v>
      </c>
      <c r="E24" s="285">
        <f>ROUND('USPS Base'!E21*(1+PostalMarkup),2)</f>
        <v>29.83</v>
      </c>
      <c r="F24" s="285">
        <f>ROUND('USPS Base'!F21*(1+PostalMarkup),2)</f>
        <v>44.19</v>
      </c>
      <c r="G24" s="285">
        <f>ROUND('USPS Base'!G21*(1+PostalMarkup),2)</f>
        <v>50.11</v>
      </c>
      <c r="H24" s="285">
        <f>ROUND('USPS Base'!H21*(1+PostalMarkup),2)</f>
        <v>60.19</v>
      </c>
      <c r="I24" s="285">
        <f>ROUND('USPS Base'!I21*(1+PostalMarkup),2)</f>
        <v>65.650000000000006</v>
      </c>
      <c r="J24" s="285">
        <f>ROUND('USPS Base'!J21*(1+PostalMarkup),2)</f>
        <v>71.78</v>
      </c>
      <c r="K24" s="285">
        <f>ROUND('USPS Base'!K21*(1+PostalMarkup),2)</f>
        <v>153.19999999999999</v>
      </c>
      <c r="L24" s="60"/>
      <c r="M24" s="60"/>
      <c r="N24" s="60"/>
      <c r="O24" s="60"/>
    </row>
    <row r="25" spans="1:24" ht="12.75" customHeight="1">
      <c r="A25" s="284">
        <v>20</v>
      </c>
      <c r="B25" s="285">
        <f>ROUND('USPS Base'!B22*(1+PostalMarkup),2)</f>
        <v>20.92</v>
      </c>
      <c r="C25" s="285">
        <f>ROUND('USPS Base'!C22*(1+PostalMarkup),2)</f>
        <v>21.41</v>
      </c>
      <c r="D25" s="285">
        <f>ROUND('USPS Base'!D22*(1+PostalMarkup),2)</f>
        <v>24.25</v>
      </c>
      <c r="E25" s="285">
        <f>ROUND('USPS Base'!E22*(1+PostalMarkup),2)</f>
        <v>30.43</v>
      </c>
      <c r="F25" s="285">
        <f>ROUND('USPS Base'!F22*(1+PostalMarkup),2)</f>
        <v>45.53</v>
      </c>
      <c r="G25" s="285">
        <f>ROUND('USPS Base'!G22*(1+PostalMarkup),2)</f>
        <v>51.84</v>
      </c>
      <c r="H25" s="285">
        <f>ROUND('USPS Base'!H22*(1+PostalMarkup),2)</f>
        <v>62.24</v>
      </c>
      <c r="I25" s="285">
        <f>ROUND('USPS Base'!I22*(1+PostalMarkup),2)</f>
        <v>67.989999999999995</v>
      </c>
      <c r="J25" s="285">
        <f>ROUND('USPS Base'!J22*(1+PostalMarkup),2)</f>
        <v>74.14</v>
      </c>
      <c r="K25" s="285">
        <f>ROUND('USPS Base'!K22*(1+PostalMarkup),2)</f>
        <v>158.22</v>
      </c>
      <c r="L25" s="60"/>
      <c r="M25" s="60"/>
      <c r="N25" s="60"/>
      <c r="O25" s="60"/>
    </row>
    <row r="26" spans="1:24" ht="12.75" customHeight="1">
      <c r="A26" s="284">
        <v>21</v>
      </c>
      <c r="B26" s="285">
        <f>ROUND('USPS Base'!B23*(1+PostalMarkup),2)</f>
        <v>23.64</v>
      </c>
      <c r="C26" s="285">
        <f>ROUND('USPS Base'!C23*(1+PostalMarkup),2)</f>
        <v>23.79</v>
      </c>
      <c r="D26" s="285">
        <f>ROUND('USPS Base'!D23*(1+PostalMarkup),2)</f>
        <v>27.07</v>
      </c>
      <c r="E26" s="285">
        <f>ROUND('USPS Base'!E23*(1+PostalMarkup),2)</f>
        <v>32.53</v>
      </c>
      <c r="F26" s="285">
        <f>ROUND('USPS Base'!F23*(1+PostalMarkup),2)</f>
        <v>51.53</v>
      </c>
      <c r="G26" s="285">
        <f>ROUND('USPS Base'!G23*(1+PostalMarkup),2)</f>
        <v>60.97</v>
      </c>
      <c r="H26" s="285">
        <f>ROUND('USPS Base'!H23*(1+PostalMarkup),2)</f>
        <v>72.25</v>
      </c>
      <c r="I26" s="285">
        <f>ROUND('USPS Base'!I23*(1+PostalMarkup),2)</f>
        <v>78.27</v>
      </c>
      <c r="J26" s="285">
        <f>ROUND('USPS Base'!J23*(1+PostalMarkup),2)</f>
        <v>78.27</v>
      </c>
      <c r="K26" s="285">
        <f>ROUND('USPS Base'!K23*(1+PostalMarkup),2)</f>
        <v>167.04</v>
      </c>
      <c r="L26" s="60"/>
      <c r="M26" s="60"/>
      <c r="N26" s="60"/>
      <c r="O26" s="60"/>
    </row>
    <row r="27" spans="1:24" ht="12.75" customHeight="1">
      <c r="A27" s="284">
        <v>22</v>
      </c>
      <c r="B27" s="285">
        <f>ROUND('USPS Base'!B24*(1+PostalMarkup),2)</f>
        <v>25.65</v>
      </c>
      <c r="C27" s="285">
        <f>ROUND('USPS Base'!C24*(1+PostalMarkup),2)</f>
        <v>26.37</v>
      </c>
      <c r="D27" s="285">
        <f>ROUND('USPS Base'!D24*(1+PostalMarkup),2)</f>
        <v>29.83</v>
      </c>
      <c r="E27" s="285">
        <f>ROUND('USPS Base'!E24*(1+PostalMarkup),2)</f>
        <v>35.74</v>
      </c>
      <c r="F27" s="285">
        <f>ROUND('USPS Base'!F24*(1+PostalMarkup),2)</f>
        <v>54.91</v>
      </c>
      <c r="G27" s="285">
        <f>ROUND('USPS Base'!G24*(1+PostalMarkup),2)</f>
        <v>66.44</v>
      </c>
      <c r="H27" s="285">
        <f>ROUND('USPS Base'!H24*(1+PostalMarkup),2)</f>
        <v>79.430000000000007</v>
      </c>
      <c r="I27" s="285">
        <f>ROUND('USPS Base'!I24*(1+PostalMarkup),2)</f>
        <v>87.86</v>
      </c>
      <c r="J27" s="285">
        <f>ROUND('USPS Base'!J24*(1+PostalMarkup),2)</f>
        <v>87.86</v>
      </c>
      <c r="K27" s="285">
        <f>ROUND('USPS Base'!K24*(1+PostalMarkup),2)</f>
        <v>187.51</v>
      </c>
      <c r="L27" s="60"/>
      <c r="M27" s="60"/>
      <c r="N27" s="60"/>
      <c r="O27" s="60"/>
    </row>
    <row r="28" spans="1:24" ht="12.75" customHeight="1">
      <c r="A28" s="284">
        <v>23</v>
      </c>
      <c r="B28" s="285">
        <f>ROUND('USPS Base'!B25*(1+PostalMarkup),2)</f>
        <v>27.63</v>
      </c>
      <c r="C28" s="285">
        <f>ROUND('USPS Base'!C25*(1+PostalMarkup),2)</f>
        <v>28.92</v>
      </c>
      <c r="D28" s="285">
        <f>ROUND('USPS Base'!D25*(1+PostalMarkup),2)</f>
        <v>32.58</v>
      </c>
      <c r="E28" s="285">
        <f>ROUND('USPS Base'!E25*(1+PostalMarkup),2)</f>
        <v>38.97</v>
      </c>
      <c r="F28" s="285">
        <f>ROUND('USPS Base'!F25*(1+PostalMarkup),2)</f>
        <v>58.28</v>
      </c>
      <c r="G28" s="285">
        <f>ROUND('USPS Base'!G25*(1+PostalMarkup),2)</f>
        <v>71.900000000000006</v>
      </c>
      <c r="H28" s="285">
        <f>ROUND('USPS Base'!H25*(1+PostalMarkup),2)</f>
        <v>86.61</v>
      </c>
      <c r="I28" s="285">
        <f>ROUND('USPS Base'!I25*(1+PostalMarkup),2)</f>
        <v>97.44</v>
      </c>
      <c r="J28" s="285">
        <f>ROUND('USPS Base'!J25*(1+PostalMarkup),2)</f>
        <v>97.44</v>
      </c>
      <c r="K28" s="285">
        <f>ROUND('USPS Base'!K25*(1+PostalMarkup),2)</f>
        <v>207.93</v>
      </c>
      <c r="L28" s="60"/>
      <c r="M28" s="60"/>
      <c r="N28" s="60"/>
      <c r="O28" s="60"/>
    </row>
    <row r="29" spans="1:24" ht="12.75" customHeight="1">
      <c r="A29" s="284">
        <v>24</v>
      </c>
      <c r="B29" s="285">
        <f>ROUND('USPS Base'!B26*(1+PostalMarkup),2)</f>
        <v>29.64</v>
      </c>
      <c r="C29" s="285">
        <f>ROUND('USPS Base'!C26*(1+PostalMarkup),2)</f>
        <v>31.5</v>
      </c>
      <c r="D29" s="285">
        <f>ROUND('USPS Base'!D26*(1+PostalMarkup),2)</f>
        <v>35.340000000000003</v>
      </c>
      <c r="E29" s="285">
        <f>ROUND('USPS Base'!E26*(1+PostalMarkup),2)</f>
        <v>42.19</v>
      </c>
      <c r="F29" s="285">
        <f>ROUND('USPS Base'!F26*(1+PostalMarkup),2)</f>
        <v>61.67</v>
      </c>
      <c r="G29" s="285">
        <f>ROUND('USPS Base'!G26*(1+PostalMarkup),2)</f>
        <v>77.349999999999994</v>
      </c>
      <c r="H29" s="285">
        <f>ROUND('USPS Base'!H26*(1+PostalMarkup),2)</f>
        <v>93.77</v>
      </c>
      <c r="I29" s="285">
        <f>ROUND('USPS Base'!I26*(1+PostalMarkup),2)</f>
        <v>107.02</v>
      </c>
      <c r="J29" s="285">
        <f>ROUND('USPS Base'!J26*(1+PostalMarkup),2)</f>
        <v>107.02</v>
      </c>
      <c r="K29" s="285">
        <f>ROUND('USPS Base'!K26*(1+PostalMarkup),2)</f>
        <v>228.4</v>
      </c>
      <c r="L29" s="60"/>
      <c r="M29" s="60"/>
      <c r="N29" s="60"/>
      <c r="O29" s="60"/>
    </row>
    <row r="30" spans="1:24" ht="12.75" customHeight="1">
      <c r="A30" s="284">
        <v>25</v>
      </c>
      <c r="B30" s="285">
        <f>ROUND('USPS Base'!B27*(1+PostalMarkup),2)</f>
        <v>31.63</v>
      </c>
      <c r="C30" s="285">
        <f>ROUND('USPS Base'!C27*(1+PostalMarkup),2)</f>
        <v>34.049999999999997</v>
      </c>
      <c r="D30" s="285">
        <f>ROUND('USPS Base'!D27*(1+PostalMarkup),2)</f>
        <v>38.08</v>
      </c>
      <c r="E30" s="285">
        <f>ROUND('USPS Base'!E27*(1+PostalMarkup),2)</f>
        <v>45.43</v>
      </c>
      <c r="F30" s="285">
        <f>ROUND('USPS Base'!F27*(1+PostalMarkup),2)</f>
        <v>65.06</v>
      </c>
      <c r="G30" s="285">
        <f>ROUND('USPS Base'!G27*(1+PostalMarkup),2)</f>
        <v>82.81</v>
      </c>
      <c r="H30" s="285">
        <f>ROUND('USPS Base'!H27*(1+PostalMarkup),2)</f>
        <v>100.95</v>
      </c>
      <c r="I30" s="285">
        <f>ROUND('USPS Base'!I27*(1+PostalMarkup),2)</f>
        <v>116.6</v>
      </c>
      <c r="J30" s="285">
        <f>ROUND('USPS Base'!J27*(1+PostalMarkup),2)</f>
        <v>116.6</v>
      </c>
      <c r="K30" s="285">
        <f>ROUND('USPS Base'!K27*(1+PostalMarkup),2)</f>
        <v>248.84</v>
      </c>
      <c r="L30" s="60"/>
      <c r="M30" s="60"/>
      <c r="N30" s="60"/>
      <c r="O30" s="60"/>
    </row>
    <row r="31" spans="1:24" ht="12.75" customHeight="1">
      <c r="A31" s="284">
        <v>26</v>
      </c>
      <c r="B31" s="285">
        <f>ROUND('USPS Base'!B28*(1+PostalMarkup),2)</f>
        <v>33.630000000000003</v>
      </c>
      <c r="C31" s="285">
        <f>ROUND('USPS Base'!C28*(1+PostalMarkup),2)</f>
        <v>36.630000000000003</v>
      </c>
      <c r="D31" s="285">
        <f>ROUND('USPS Base'!D28*(1+PostalMarkup),2)</f>
        <v>40.840000000000003</v>
      </c>
      <c r="E31" s="285">
        <f>ROUND('USPS Base'!E28*(1+PostalMarkup),2)</f>
        <v>48.63</v>
      </c>
      <c r="F31" s="285">
        <f>ROUND('USPS Base'!F28*(1+PostalMarkup),2)</f>
        <v>68.44</v>
      </c>
      <c r="G31" s="285">
        <f>ROUND('USPS Base'!G28*(1+PostalMarkup),2)</f>
        <v>88.29</v>
      </c>
      <c r="H31" s="285">
        <f>ROUND('USPS Base'!H28*(1+PostalMarkup),2)</f>
        <v>108.11</v>
      </c>
      <c r="I31" s="285">
        <f>ROUND('USPS Base'!I28*(1+PostalMarkup),2)</f>
        <v>126.19</v>
      </c>
      <c r="J31" s="285">
        <f>ROUND('USPS Base'!J28*(1+PostalMarkup),2)</f>
        <v>126.19</v>
      </c>
      <c r="K31" s="285">
        <f>ROUND('USPS Base'!K28*(1+PostalMarkup),2)</f>
        <v>269.31</v>
      </c>
      <c r="L31" s="60"/>
      <c r="M31" s="60"/>
      <c r="N31" s="60"/>
      <c r="O31" s="60"/>
    </row>
    <row r="32" spans="1:24" ht="12.75" customHeight="1">
      <c r="A32" s="284">
        <v>27</v>
      </c>
      <c r="B32" s="285">
        <f>ROUND('USPS Base'!B29*(1+PostalMarkup),2)</f>
        <v>34.880000000000003</v>
      </c>
      <c r="C32" s="285">
        <f>ROUND('USPS Base'!C29*(1+PostalMarkup),2)</f>
        <v>38.15</v>
      </c>
      <c r="D32" s="285">
        <f>ROUND('USPS Base'!D29*(1+PostalMarkup),2)</f>
        <v>42.9</v>
      </c>
      <c r="E32" s="285">
        <f>ROUND('USPS Base'!E29*(1+PostalMarkup),2)</f>
        <v>51.92</v>
      </c>
      <c r="F32" s="285">
        <f>ROUND('USPS Base'!F29*(1+PostalMarkup),2)</f>
        <v>73.55</v>
      </c>
      <c r="G32" s="285">
        <f>ROUND('USPS Base'!G29*(1+PostalMarkup),2)</f>
        <v>96.28</v>
      </c>
      <c r="H32" s="285">
        <f>ROUND('USPS Base'!H29*(1+PostalMarkup),2)</f>
        <v>118.99</v>
      </c>
      <c r="I32" s="285">
        <f>ROUND('USPS Base'!I29*(1+PostalMarkup),2)</f>
        <v>139.30000000000001</v>
      </c>
      <c r="J32" s="285">
        <f>ROUND('USPS Base'!J29*(1+PostalMarkup),2)</f>
        <v>139.30000000000001</v>
      </c>
      <c r="K32" s="285">
        <f>ROUND('USPS Base'!K29*(1+PostalMarkup),2)</f>
        <v>297.3</v>
      </c>
      <c r="L32" s="60"/>
      <c r="M32" s="60"/>
      <c r="N32" s="60"/>
      <c r="O32" s="60"/>
    </row>
    <row r="33" spans="1:15" ht="12.75" customHeight="1">
      <c r="A33" s="284">
        <v>28</v>
      </c>
      <c r="B33" s="285">
        <f>ROUND('USPS Base'!B30*(1+PostalMarkup),2)</f>
        <v>36.14</v>
      </c>
      <c r="C33" s="285">
        <f>ROUND('USPS Base'!C30*(1+PostalMarkup),2)</f>
        <v>39.65</v>
      </c>
      <c r="D33" s="285">
        <f>ROUND('USPS Base'!D30*(1+PostalMarkup),2)</f>
        <v>44.97</v>
      </c>
      <c r="E33" s="285">
        <f>ROUND('USPS Base'!E30*(1+PostalMarkup),2)</f>
        <v>55.26</v>
      </c>
      <c r="F33" s="285">
        <f>ROUND('USPS Base'!F30*(1+PostalMarkup),2)</f>
        <v>78.66</v>
      </c>
      <c r="G33" s="285">
        <f>ROUND('USPS Base'!G30*(1+PostalMarkup),2)</f>
        <v>100</v>
      </c>
      <c r="H33" s="285">
        <f>ROUND('USPS Base'!H30*(1+PostalMarkup),2)</f>
        <v>121.36</v>
      </c>
      <c r="I33" s="285">
        <f>ROUND('USPS Base'!I30*(1+PostalMarkup),2)</f>
        <v>142.51</v>
      </c>
      <c r="J33" s="285">
        <f>ROUND('USPS Base'!J30*(1+PostalMarkup),2)</f>
        <v>142.51</v>
      </c>
      <c r="K33" s="285">
        <f>ROUND('USPS Base'!K30*(1+PostalMarkup),2)</f>
        <v>304.13</v>
      </c>
      <c r="L33" s="60"/>
      <c r="M33" s="60"/>
      <c r="N33" s="60"/>
      <c r="O33" s="60"/>
    </row>
    <row r="34" spans="1:15" ht="12.75" customHeight="1">
      <c r="A34" s="284">
        <v>29</v>
      </c>
      <c r="B34" s="285">
        <f>ROUND('USPS Base'!B31*(1+PostalMarkup),2)</f>
        <v>37.159999999999997</v>
      </c>
      <c r="C34" s="285">
        <f>ROUND('USPS Base'!C31*(1+PostalMarkup),2)</f>
        <v>40.83</v>
      </c>
      <c r="D34" s="285">
        <f>ROUND('USPS Base'!D31*(1+PostalMarkup),2)</f>
        <v>46.32</v>
      </c>
      <c r="E34" s="285">
        <f>ROUND('USPS Base'!E31*(1+PostalMarkup),2)</f>
        <v>56.94</v>
      </c>
      <c r="F34" s="285">
        <f>ROUND('USPS Base'!F31*(1+PostalMarkup),2)</f>
        <v>81.260000000000005</v>
      </c>
      <c r="G34" s="285">
        <f>ROUND('USPS Base'!G31*(1+PostalMarkup),2)</f>
        <v>102.49</v>
      </c>
      <c r="H34" s="285">
        <f>ROUND('USPS Base'!H31*(1+PostalMarkup),2)</f>
        <v>123.71</v>
      </c>
      <c r="I34" s="285">
        <f>ROUND('USPS Base'!I31*(1+PostalMarkup),2)</f>
        <v>145.87</v>
      </c>
      <c r="J34" s="285">
        <f>ROUND('USPS Base'!J31*(1+PostalMarkup),2)</f>
        <v>145.87</v>
      </c>
      <c r="K34" s="285">
        <f>ROUND('USPS Base'!K31*(1+PostalMarkup),2)</f>
        <v>311.27999999999997</v>
      </c>
      <c r="L34" s="60"/>
      <c r="M34" s="60"/>
      <c r="N34" s="60"/>
      <c r="O34" s="60"/>
    </row>
    <row r="35" spans="1:15" ht="12.75" customHeight="1">
      <c r="A35" s="284">
        <v>30</v>
      </c>
      <c r="B35" s="285">
        <f>ROUND('USPS Base'!B32*(1+PostalMarkup),2)</f>
        <v>38.130000000000003</v>
      </c>
      <c r="C35" s="285">
        <f>ROUND('USPS Base'!C32*(1+PostalMarkup),2)</f>
        <v>41.95</v>
      </c>
      <c r="D35" s="285">
        <f>ROUND('USPS Base'!D32*(1+PostalMarkup),2)</f>
        <v>47.68</v>
      </c>
      <c r="E35" s="285">
        <f>ROUND('USPS Base'!E32*(1+PostalMarkup),2)</f>
        <v>58.58</v>
      </c>
      <c r="F35" s="285">
        <f>ROUND('USPS Base'!F32*(1+PostalMarkup),2)</f>
        <v>83.85</v>
      </c>
      <c r="G35" s="285">
        <f>ROUND('USPS Base'!G32*(1+PostalMarkup),2)</f>
        <v>104.96</v>
      </c>
      <c r="H35" s="285">
        <f>ROUND('USPS Base'!H32*(1+PostalMarkup),2)</f>
        <v>126.05</v>
      </c>
      <c r="I35" s="285">
        <f>ROUND('USPS Base'!I32*(1+PostalMarkup),2)</f>
        <v>148.84</v>
      </c>
      <c r="J35" s="285">
        <f>ROUND('USPS Base'!J32*(1+PostalMarkup),2)</f>
        <v>148.84</v>
      </c>
      <c r="K35" s="285">
        <f>ROUND('USPS Base'!K32*(1+PostalMarkup),2)</f>
        <v>317.64999999999998</v>
      </c>
      <c r="L35" s="60"/>
      <c r="M35" s="60"/>
      <c r="N35" s="60"/>
      <c r="O35" s="60"/>
    </row>
    <row r="36" spans="1:15" ht="12.75" customHeight="1">
      <c r="A36" s="284">
        <v>31</v>
      </c>
      <c r="B36" s="285">
        <f>ROUND('USPS Base'!B33*(1+PostalMarkup),2)</f>
        <v>39.130000000000003</v>
      </c>
      <c r="C36" s="285">
        <f>ROUND('USPS Base'!C33*(1+PostalMarkup),2)</f>
        <v>43.07</v>
      </c>
      <c r="D36" s="285">
        <f>ROUND('USPS Base'!D33*(1+PostalMarkup),2)</f>
        <v>49.02</v>
      </c>
      <c r="E36" s="285">
        <f>ROUND('USPS Base'!E33*(1+PostalMarkup),2)</f>
        <v>60.24</v>
      </c>
      <c r="F36" s="285">
        <f>ROUND('USPS Base'!F33*(1+PostalMarkup),2)</f>
        <v>86.42</v>
      </c>
      <c r="G36" s="285">
        <f>ROUND('USPS Base'!G33*(1+PostalMarkup),2)</f>
        <v>107.41</v>
      </c>
      <c r="H36" s="285">
        <f>ROUND('USPS Base'!H33*(1+PostalMarkup),2)</f>
        <v>128.4</v>
      </c>
      <c r="I36" s="285">
        <f>ROUND('USPS Base'!I33*(1+PostalMarkup),2)</f>
        <v>151.58000000000001</v>
      </c>
      <c r="J36" s="285">
        <f>ROUND('USPS Base'!J33*(1+PostalMarkup),2)</f>
        <v>151.58000000000001</v>
      </c>
      <c r="K36" s="285">
        <f>ROUND('USPS Base'!K33*(1+PostalMarkup),2)</f>
        <v>323.51</v>
      </c>
      <c r="L36" s="60"/>
      <c r="M36" s="60"/>
      <c r="N36" s="60"/>
      <c r="O36" s="60"/>
    </row>
    <row r="37" spans="1:15" ht="12.75" customHeight="1">
      <c r="A37" s="284">
        <v>32</v>
      </c>
      <c r="B37" s="285">
        <f>ROUND('USPS Base'!B34*(1+PostalMarkup),2)</f>
        <v>40.090000000000003</v>
      </c>
      <c r="C37" s="285">
        <f>ROUND('USPS Base'!C34*(1+PostalMarkup),2)</f>
        <v>44.19</v>
      </c>
      <c r="D37" s="285">
        <f>ROUND('USPS Base'!D34*(1+PostalMarkup),2)</f>
        <v>50.32</v>
      </c>
      <c r="E37" s="285">
        <f>ROUND('USPS Base'!E34*(1+PostalMarkup),2)</f>
        <v>61.84</v>
      </c>
      <c r="F37" s="285">
        <f>ROUND('USPS Base'!F34*(1+PostalMarkup),2)</f>
        <v>88.92</v>
      </c>
      <c r="G37" s="285">
        <f>ROUND('USPS Base'!G34*(1+PostalMarkup),2)</f>
        <v>109.85</v>
      </c>
      <c r="H37" s="285">
        <f>ROUND('USPS Base'!H34*(1+PostalMarkup),2)</f>
        <v>130.76</v>
      </c>
      <c r="I37" s="285">
        <f>ROUND('USPS Base'!I34*(1+PostalMarkup),2)</f>
        <v>154.44999999999999</v>
      </c>
      <c r="J37" s="285">
        <f>ROUND('USPS Base'!J34*(1+PostalMarkup),2)</f>
        <v>154.44999999999999</v>
      </c>
      <c r="K37" s="285">
        <f>ROUND('USPS Base'!K34*(1+PostalMarkup),2)</f>
        <v>329.6</v>
      </c>
      <c r="L37" s="60"/>
      <c r="M37" s="60"/>
      <c r="N37" s="60"/>
      <c r="O37" s="60"/>
    </row>
    <row r="38" spans="1:15" ht="12.75" customHeight="1">
      <c r="A38" s="284">
        <v>33</v>
      </c>
      <c r="B38" s="285">
        <f>ROUND('USPS Base'!B35*(1+PostalMarkup),2)</f>
        <v>41.06</v>
      </c>
      <c r="C38" s="285">
        <f>ROUND('USPS Base'!C35*(1+PostalMarkup),2)</f>
        <v>45.29</v>
      </c>
      <c r="D38" s="285">
        <f>ROUND('USPS Base'!D35*(1+PostalMarkup),2)</f>
        <v>51.61</v>
      </c>
      <c r="E38" s="285">
        <f>ROUND('USPS Base'!E35*(1+PostalMarkup),2)</f>
        <v>63.41</v>
      </c>
      <c r="F38" s="285">
        <f>ROUND('USPS Base'!F35*(1+PostalMarkup),2)</f>
        <v>91.4</v>
      </c>
      <c r="G38" s="285">
        <f>ROUND('USPS Base'!G35*(1+PostalMarkup),2)</f>
        <v>112.26</v>
      </c>
      <c r="H38" s="285">
        <f>ROUND('USPS Base'!H35*(1+PostalMarkup),2)</f>
        <v>133.1</v>
      </c>
      <c r="I38" s="285">
        <f>ROUND('USPS Base'!I35*(1+PostalMarkup),2)</f>
        <v>157.1</v>
      </c>
      <c r="J38" s="285">
        <f>ROUND('USPS Base'!J35*(1+PostalMarkup),2)</f>
        <v>157.1</v>
      </c>
      <c r="K38" s="285">
        <f>ROUND('USPS Base'!K35*(1+PostalMarkup),2)</f>
        <v>335.28</v>
      </c>
      <c r="L38" s="60"/>
      <c r="M38" s="60"/>
      <c r="N38" s="60"/>
      <c r="O38" s="60"/>
    </row>
    <row r="39" spans="1:15" ht="12.75" customHeight="1">
      <c r="A39" s="284">
        <v>34</v>
      </c>
      <c r="B39" s="285">
        <f>ROUND('USPS Base'!B36*(1+PostalMarkup),2)</f>
        <v>42.03</v>
      </c>
      <c r="C39" s="285">
        <f>ROUND('USPS Base'!C36*(1+PostalMarkup),2)</f>
        <v>46.38</v>
      </c>
      <c r="D39" s="285">
        <f>ROUND('USPS Base'!D36*(1+PostalMarkup),2)</f>
        <v>52.9</v>
      </c>
      <c r="E39" s="285">
        <f>ROUND('USPS Base'!E36*(1+PostalMarkup),2)</f>
        <v>65</v>
      </c>
      <c r="F39" s="285">
        <f>ROUND('USPS Base'!F36*(1+PostalMarkup),2)</f>
        <v>93.84</v>
      </c>
      <c r="G39" s="285">
        <f>ROUND('USPS Base'!G36*(1+PostalMarkup),2)</f>
        <v>114.63</v>
      </c>
      <c r="H39" s="285">
        <f>ROUND('USPS Base'!H36*(1+PostalMarkup),2)</f>
        <v>135.44</v>
      </c>
      <c r="I39" s="285">
        <f>ROUND('USPS Base'!I36*(1+PostalMarkup),2)</f>
        <v>159.88</v>
      </c>
      <c r="J39" s="285">
        <f>ROUND('USPS Base'!J36*(1+PostalMarkup),2)</f>
        <v>159.88</v>
      </c>
      <c r="K39" s="285">
        <f>ROUND('USPS Base'!K36*(1+PostalMarkup),2)</f>
        <v>341.22</v>
      </c>
      <c r="L39" s="60"/>
      <c r="M39" s="60"/>
      <c r="N39" s="60"/>
      <c r="O39" s="60"/>
    </row>
    <row r="40" spans="1:15" ht="12.75" customHeight="1">
      <c r="A40" s="284">
        <v>35</v>
      </c>
      <c r="B40" s="285">
        <f>ROUND('USPS Base'!B37*(1+PostalMarkup),2)</f>
        <v>42.98</v>
      </c>
      <c r="C40" s="285">
        <f>ROUND('USPS Base'!C37*(1+PostalMarkup),2)</f>
        <v>47.44</v>
      </c>
      <c r="D40" s="285">
        <f>ROUND('USPS Base'!D37*(1+PostalMarkup),2)</f>
        <v>54.14</v>
      </c>
      <c r="E40" s="285">
        <f>ROUND('USPS Base'!E37*(1+PostalMarkup),2)</f>
        <v>66.5</v>
      </c>
      <c r="F40" s="285">
        <f>ROUND('USPS Base'!F37*(1+PostalMarkup),2)</f>
        <v>96.29</v>
      </c>
      <c r="G40" s="285">
        <f>ROUND('USPS Base'!G37*(1+PostalMarkup),2)</f>
        <v>117.05</v>
      </c>
      <c r="H40" s="285">
        <f>ROUND('USPS Base'!H37*(1+PostalMarkup),2)</f>
        <v>137.80000000000001</v>
      </c>
      <c r="I40" s="285">
        <f>ROUND('USPS Base'!I37*(1+PostalMarkup),2)</f>
        <v>162.63999999999999</v>
      </c>
      <c r="J40" s="285">
        <f>ROUND('USPS Base'!J37*(1+PostalMarkup),2)</f>
        <v>162.63999999999999</v>
      </c>
      <c r="K40" s="285">
        <f>ROUND('USPS Base'!K37*(1+PostalMarkup),2)</f>
        <v>347.1</v>
      </c>
      <c r="L40" s="60"/>
      <c r="M40" s="60"/>
      <c r="N40" s="60"/>
      <c r="O40" s="60"/>
    </row>
    <row r="41" spans="1:15" ht="12.75" customHeight="1">
      <c r="A41" s="284">
        <v>36</v>
      </c>
      <c r="B41" s="285">
        <f>ROUND('USPS Base'!B38*(1+PostalMarkup),2)</f>
        <v>43.91</v>
      </c>
      <c r="C41" s="285">
        <f>ROUND('USPS Base'!C38*(1+PostalMarkup),2)</f>
        <v>48.5</v>
      </c>
      <c r="D41" s="285">
        <f>ROUND('USPS Base'!D38*(1+PostalMarkup),2)</f>
        <v>55.36</v>
      </c>
      <c r="E41" s="285">
        <f>ROUND('USPS Base'!E38*(1+PostalMarkup),2)</f>
        <v>68.02</v>
      </c>
      <c r="F41" s="285">
        <f>ROUND('USPS Base'!F38*(1+PostalMarkup),2)</f>
        <v>98.68</v>
      </c>
      <c r="G41" s="285">
        <f>ROUND('USPS Base'!G38*(1+PostalMarkup),2)</f>
        <v>119.42</v>
      </c>
      <c r="H41" s="285">
        <f>ROUND('USPS Base'!H38*(1+PostalMarkup),2)</f>
        <v>140.16</v>
      </c>
      <c r="I41" s="285">
        <f>ROUND('USPS Base'!I38*(1+PostalMarkup),2)</f>
        <v>165.22</v>
      </c>
      <c r="J41" s="285">
        <f>ROUND('USPS Base'!J38*(1+PostalMarkup),2)</f>
        <v>165.22</v>
      </c>
      <c r="K41" s="285">
        <f>ROUND('USPS Base'!K38*(1+PostalMarkup),2)</f>
        <v>352.61</v>
      </c>
      <c r="L41" s="60"/>
      <c r="M41" s="60"/>
      <c r="N41" s="60"/>
      <c r="O41" s="60"/>
    </row>
    <row r="42" spans="1:15" ht="12.75" customHeight="1">
      <c r="A42" s="284">
        <v>37</v>
      </c>
      <c r="B42" s="285">
        <f>ROUND('USPS Base'!B39*(1+PostalMarkup),2)</f>
        <v>44.85</v>
      </c>
      <c r="C42" s="285">
        <f>ROUND('USPS Base'!C39*(1+PostalMarkup),2)</f>
        <v>49.53</v>
      </c>
      <c r="D42" s="285">
        <f>ROUND('USPS Base'!D39*(1+PostalMarkup),2)</f>
        <v>56.57</v>
      </c>
      <c r="E42" s="285">
        <f>ROUND('USPS Base'!E39*(1+PostalMarkup),2)</f>
        <v>69.52</v>
      </c>
      <c r="F42" s="285">
        <f>ROUND('USPS Base'!F39*(1+PostalMarkup),2)</f>
        <v>101.02</v>
      </c>
      <c r="G42" s="285">
        <f>ROUND('USPS Base'!G39*(1+PostalMarkup),2)</f>
        <v>121.66</v>
      </c>
      <c r="H42" s="285">
        <f>ROUND('USPS Base'!H39*(1+PostalMarkup),2)</f>
        <v>142.27000000000001</v>
      </c>
      <c r="I42" s="285">
        <f>ROUND('USPS Base'!I39*(1+PostalMarkup),2)</f>
        <v>167.93</v>
      </c>
      <c r="J42" s="285">
        <f>ROUND('USPS Base'!J39*(1+PostalMarkup),2)</f>
        <v>167.93</v>
      </c>
      <c r="K42" s="285">
        <f>ROUND('USPS Base'!K39*(1+PostalMarkup),2)</f>
        <v>358.39</v>
      </c>
      <c r="L42" s="60"/>
      <c r="M42" s="60"/>
      <c r="N42" s="60"/>
      <c r="O42" s="60"/>
    </row>
    <row r="43" spans="1:15" ht="12.75" customHeight="1">
      <c r="A43" s="284">
        <v>38</v>
      </c>
      <c r="B43" s="285">
        <f>ROUND('USPS Base'!B40*(1+PostalMarkup),2)</f>
        <v>45.75</v>
      </c>
      <c r="C43" s="285">
        <f>ROUND('USPS Base'!C40*(1+PostalMarkup),2)</f>
        <v>50.58</v>
      </c>
      <c r="D43" s="285">
        <f>ROUND('USPS Base'!D40*(1+PostalMarkup),2)</f>
        <v>57.76</v>
      </c>
      <c r="E43" s="285">
        <f>ROUND('USPS Base'!E40*(1+PostalMarkup),2)</f>
        <v>70.98</v>
      </c>
      <c r="F43" s="285">
        <f>ROUND('USPS Base'!F40*(1+PostalMarkup),2)</f>
        <v>103.36</v>
      </c>
      <c r="G43" s="285">
        <f>ROUND('USPS Base'!G40*(1+PostalMarkup),2)</f>
        <v>123.88</v>
      </c>
      <c r="H43" s="285">
        <f>ROUND('USPS Base'!H40*(1+PostalMarkup),2)</f>
        <v>144.38999999999999</v>
      </c>
      <c r="I43" s="285">
        <f>ROUND('USPS Base'!I40*(1+PostalMarkup),2)</f>
        <v>170.61</v>
      </c>
      <c r="J43" s="285">
        <f>ROUND('USPS Base'!J40*(1+PostalMarkup),2)</f>
        <v>170.61</v>
      </c>
      <c r="K43" s="285">
        <f>ROUND('USPS Base'!K40*(1+PostalMarkup),2)</f>
        <v>364.11</v>
      </c>
      <c r="L43" s="60"/>
      <c r="M43" s="60"/>
      <c r="N43" s="60"/>
      <c r="O43" s="60"/>
    </row>
    <row r="44" spans="1:15" ht="12.75" customHeight="1">
      <c r="A44" s="284">
        <v>39</v>
      </c>
      <c r="B44" s="285">
        <f>ROUND('USPS Base'!B41*(1+PostalMarkup),2)</f>
        <v>46.64</v>
      </c>
      <c r="C44" s="285">
        <f>ROUND('USPS Base'!C41*(1+PostalMarkup),2)</f>
        <v>51.55</v>
      </c>
      <c r="D44" s="285">
        <f>ROUND('USPS Base'!D41*(1+PostalMarkup),2)</f>
        <v>58.93</v>
      </c>
      <c r="E44" s="285">
        <f>ROUND('USPS Base'!E41*(1+PostalMarkup),2)</f>
        <v>72.400000000000006</v>
      </c>
      <c r="F44" s="285">
        <f>ROUND('USPS Base'!F41*(1+PostalMarkup),2)</f>
        <v>105.63</v>
      </c>
      <c r="G44" s="285">
        <f>ROUND('USPS Base'!G41*(1+PostalMarkup),2)</f>
        <v>126.04</v>
      </c>
      <c r="H44" s="285">
        <f>ROUND('USPS Base'!H41*(1+PostalMarkup),2)</f>
        <v>146.44</v>
      </c>
      <c r="I44" s="285">
        <f>ROUND('USPS Base'!I41*(1+PostalMarkup),2)</f>
        <v>173.29</v>
      </c>
      <c r="J44" s="285">
        <f>ROUND('USPS Base'!J41*(1+PostalMarkup),2)</f>
        <v>173.29</v>
      </c>
      <c r="K44" s="285">
        <f>ROUND('USPS Base'!K41*(1+PostalMarkup),2)</f>
        <v>369.84</v>
      </c>
      <c r="L44" s="60"/>
      <c r="M44" s="60"/>
      <c r="N44" s="60"/>
      <c r="O44" s="60"/>
    </row>
    <row r="45" spans="1:15" ht="12.75" customHeight="1">
      <c r="A45" s="284">
        <v>40</v>
      </c>
      <c r="B45" s="285">
        <f>ROUND('USPS Base'!B42*(1+PostalMarkup),2)</f>
        <v>47.56</v>
      </c>
      <c r="C45" s="285">
        <f>ROUND('USPS Base'!C42*(1+PostalMarkup),2)</f>
        <v>52.58</v>
      </c>
      <c r="D45" s="285">
        <f>ROUND('USPS Base'!D42*(1+PostalMarkup),2)</f>
        <v>60.06</v>
      </c>
      <c r="E45" s="285">
        <f>ROUND('USPS Base'!E42*(1+PostalMarkup),2)</f>
        <v>73.81</v>
      </c>
      <c r="F45" s="285">
        <f>ROUND('USPS Base'!F42*(1+PostalMarkup),2)</f>
        <v>107.89</v>
      </c>
      <c r="G45" s="285">
        <f>ROUND('USPS Base'!G42*(1+PostalMarkup),2)</f>
        <v>128.47999999999999</v>
      </c>
      <c r="H45" s="285">
        <f>ROUND('USPS Base'!H42*(1+PostalMarkup),2)</f>
        <v>149.07</v>
      </c>
      <c r="I45" s="285">
        <f>ROUND('USPS Base'!I42*(1+PostalMarkup),2)</f>
        <v>175.94</v>
      </c>
      <c r="J45" s="285">
        <f>ROUND('USPS Base'!J42*(1+PostalMarkup),2)</f>
        <v>175.94</v>
      </c>
      <c r="K45" s="285">
        <f>ROUND('USPS Base'!K42*(1+PostalMarkup),2)</f>
        <v>375.49</v>
      </c>
      <c r="L45" s="60"/>
      <c r="M45" s="60"/>
      <c r="N45" s="60"/>
      <c r="O45" s="60"/>
    </row>
    <row r="46" spans="1:15" ht="12.75" customHeight="1">
      <c r="A46" s="284">
        <v>41</v>
      </c>
      <c r="B46" s="285">
        <f>ROUND('USPS Base'!B43*(1+PostalMarkup),2)</f>
        <v>48.45</v>
      </c>
      <c r="C46" s="285">
        <f>ROUND('USPS Base'!C43*(1+PostalMarkup),2)</f>
        <v>53.56</v>
      </c>
      <c r="D46" s="285">
        <f>ROUND('USPS Base'!D43*(1+PostalMarkup),2)</f>
        <v>61.2</v>
      </c>
      <c r="E46" s="285">
        <f>ROUND('USPS Base'!E43*(1+PostalMarkup),2)</f>
        <v>75.2</v>
      </c>
      <c r="F46" s="285">
        <f>ROUND('USPS Base'!F43*(1+PostalMarkup),2)</f>
        <v>110.11</v>
      </c>
      <c r="G46" s="285">
        <f>ROUND('USPS Base'!G43*(1+PostalMarkup),2)</f>
        <v>130.85</v>
      </c>
      <c r="H46" s="285">
        <f>ROUND('USPS Base'!H43*(1+PostalMarkup),2)</f>
        <v>151.57</v>
      </c>
      <c r="I46" s="285">
        <f>ROUND('USPS Base'!I43*(1+PostalMarkup),2)</f>
        <v>178.55</v>
      </c>
      <c r="J46" s="285">
        <f>ROUND('USPS Base'!J43*(1+PostalMarkup),2)</f>
        <v>178.55</v>
      </c>
      <c r="K46" s="285">
        <f>ROUND('USPS Base'!K43*(1+PostalMarkup),2)</f>
        <v>381.04</v>
      </c>
      <c r="L46" s="60"/>
      <c r="M46" s="60"/>
      <c r="N46" s="60"/>
      <c r="O46" s="60"/>
    </row>
    <row r="47" spans="1:15" ht="12.75" customHeight="1">
      <c r="A47" s="284">
        <v>42</v>
      </c>
      <c r="B47" s="285">
        <f>ROUND('USPS Base'!B44*(1+PostalMarkup),2)</f>
        <v>49.34</v>
      </c>
      <c r="C47" s="285">
        <f>ROUND('USPS Base'!C44*(1+PostalMarkup),2)</f>
        <v>54.53</v>
      </c>
      <c r="D47" s="285">
        <f>ROUND('USPS Base'!D44*(1+PostalMarkup),2)</f>
        <v>62.3</v>
      </c>
      <c r="E47" s="285">
        <f>ROUND('USPS Base'!E44*(1+PostalMarkup),2)</f>
        <v>76.56</v>
      </c>
      <c r="F47" s="285">
        <f>ROUND('USPS Base'!F44*(1+PostalMarkup),2)</f>
        <v>112.3</v>
      </c>
      <c r="G47" s="285">
        <f>ROUND('USPS Base'!G44*(1+PostalMarkup),2)</f>
        <v>133.18</v>
      </c>
      <c r="H47" s="285">
        <f>ROUND('USPS Base'!H44*(1+PostalMarkup),2)</f>
        <v>154.05000000000001</v>
      </c>
      <c r="I47" s="285">
        <f>ROUND('USPS Base'!I44*(1+PostalMarkup),2)</f>
        <v>181.23</v>
      </c>
      <c r="J47" s="285">
        <f>ROUND('USPS Base'!J44*(1+PostalMarkup),2)</f>
        <v>181.23</v>
      </c>
      <c r="K47" s="285">
        <f>ROUND('USPS Base'!K44*(1+PostalMarkup),2)</f>
        <v>386.77</v>
      </c>
      <c r="L47" s="60"/>
      <c r="M47" s="60"/>
      <c r="N47" s="60"/>
      <c r="O47" s="60"/>
    </row>
    <row r="48" spans="1:15" ht="12.75" customHeight="1">
      <c r="A48" s="284">
        <v>43</v>
      </c>
      <c r="B48" s="285">
        <f>ROUND('USPS Base'!B45*(1+PostalMarkup),2)</f>
        <v>50.21</v>
      </c>
      <c r="C48" s="285">
        <f>ROUND('USPS Base'!C45*(1+PostalMarkup),2)</f>
        <v>55.48</v>
      </c>
      <c r="D48" s="285">
        <f>ROUND('USPS Base'!D45*(1+PostalMarkup),2)</f>
        <v>63.39</v>
      </c>
      <c r="E48" s="285">
        <f>ROUND('USPS Base'!E45*(1+PostalMarkup),2)</f>
        <v>77.89</v>
      </c>
      <c r="F48" s="285">
        <f>ROUND('USPS Base'!F45*(1+PostalMarkup),2)</f>
        <v>114.45</v>
      </c>
      <c r="G48" s="285">
        <f>ROUND('USPS Base'!G45*(1+PostalMarkup),2)</f>
        <v>135.34</v>
      </c>
      <c r="H48" s="285">
        <f>ROUND('USPS Base'!H45*(1+PostalMarkup),2)</f>
        <v>156.24</v>
      </c>
      <c r="I48" s="285">
        <f>ROUND('USPS Base'!I45*(1+PostalMarkup),2)</f>
        <v>183.78</v>
      </c>
      <c r="J48" s="285">
        <f>ROUND('USPS Base'!J45*(1+PostalMarkup),2)</f>
        <v>183.78</v>
      </c>
      <c r="K48" s="285">
        <f>ROUND('USPS Base'!K45*(1+PostalMarkup),2)</f>
        <v>392.21</v>
      </c>
      <c r="L48" s="60"/>
      <c r="M48" s="60"/>
      <c r="N48" s="60"/>
      <c r="O48" s="60"/>
    </row>
    <row r="49" spans="1:15" ht="12.75" customHeight="1">
      <c r="A49" s="284">
        <v>44</v>
      </c>
      <c r="B49" s="285">
        <f>ROUND('USPS Base'!B46*(1+PostalMarkup),2)</f>
        <v>51.07</v>
      </c>
      <c r="C49" s="285">
        <f>ROUND('USPS Base'!C46*(1+PostalMarkup),2)</f>
        <v>56.42</v>
      </c>
      <c r="D49" s="285">
        <f>ROUND('USPS Base'!D46*(1+PostalMarkup),2)</f>
        <v>64.459999999999994</v>
      </c>
      <c r="E49" s="285">
        <f>ROUND('USPS Base'!E46*(1+PostalMarkup),2)</f>
        <v>79.19</v>
      </c>
      <c r="F49" s="285">
        <f>ROUND('USPS Base'!F46*(1+PostalMarkup),2)</f>
        <v>116.58</v>
      </c>
      <c r="G49" s="285">
        <f>ROUND('USPS Base'!G46*(1+PostalMarkup),2)</f>
        <v>137.49</v>
      </c>
      <c r="H49" s="285">
        <f>ROUND('USPS Base'!H46*(1+PostalMarkup),2)</f>
        <v>158.38</v>
      </c>
      <c r="I49" s="285">
        <f>ROUND('USPS Base'!I46*(1+PostalMarkup),2)</f>
        <v>186.24</v>
      </c>
      <c r="J49" s="285">
        <f>ROUND('USPS Base'!J46*(1+PostalMarkup),2)</f>
        <v>186.24</v>
      </c>
      <c r="K49" s="285">
        <f>ROUND('USPS Base'!K46*(1+PostalMarkup),2)</f>
        <v>397.46</v>
      </c>
      <c r="L49" s="60"/>
      <c r="M49" s="60"/>
      <c r="N49" s="60"/>
      <c r="O49" s="60"/>
    </row>
    <row r="50" spans="1:15" ht="12.75" customHeight="1">
      <c r="A50" s="284">
        <v>45</v>
      </c>
      <c r="B50" s="285">
        <f>ROUND('USPS Base'!B47*(1+PostalMarkup),2)</f>
        <v>51.92</v>
      </c>
      <c r="C50" s="285">
        <f>ROUND('USPS Base'!C47*(1+PostalMarkup),2)</f>
        <v>57.34</v>
      </c>
      <c r="D50" s="285">
        <f>ROUND('USPS Base'!D47*(1+PostalMarkup),2)</f>
        <v>65.489999999999995</v>
      </c>
      <c r="E50" s="285">
        <f>ROUND('USPS Base'!E47*(1+PostalMarkup),2)</f>
        <v>80.48</v>
      </c>
      <c r="F50" s="285">
        <f>ROUND('USPS Base'!F47*(1+PostalMarkup),2)</f>
        <v>118.66</v>
      </c>
      <c r="G50" s="285">
        <f>ROUND('USPS Base'!G47*(1+PostalMarkup),2)</f>
        <v>139.59</v>
      </c>
      <c r="H50" s="285">
        <f>ROUND('USPS Base'!H47*(1+PostalMarkup),2)</f>
        <v>160.53</v>
      </c>
      <c r="I50" s="285">
        <f>ROUND('USPS Base'!I47*(1+PostalMarkup),2)</f>
        <v>188.88</v>
      </c>
      <c r="J50" s="285">
        <f>ROUND('USPS Base'!J47*(1+PostalMarkup),2)</f>
        <v>188.88</v>
      </c>
      <c r="K50" s="285">
        <f>ROUND('USPS Base'!K47*(1+PostalMarkup),2)</f>
        <v>403.08</v>
      </c>
      <c r="L50" s="60"/>
      <c r="M50" s="60"/>
      <c r="N50" s="60"/>
      <c r="O50" s="60"/>
    </row>
    <row r="51" spans="1:15" ht="12.75" customHeight="1">
      <c r="A51" s="284">
        <v>46</v>
      </c>
      <c r="B51" s="285">
        <f>ROUND('USPS Base'!B48*(1+PostalMarkup),2)</f>
        <v>52.77</v>
      </c>
      <c r="C51" s="285">
        <f>ROUND('USPS Base'!C48*(1+PostalMarkup),2)</f>
        <v>58.27</v>
      </c>
      <c r="D51" s="285">
        <f>ROUND('USPS Base'!D48*(1+PostalMarkup),2)</f>
        <v>66.52</v>
      </c>
      <c r="E51" s="285">
        <f>ROUND('USPS Base'!E48*(1+PostalMarkup),2)</f>
        <v>81.77</v>
      </c>
      <c r="F51" s="285">
        <f>ROUND('USPS Base'!F48*(1+PostalMarkup),2)</f>
        <v>120.73</v>
      </c>
      <c r="G51" s="285">
        <f>ROUND('USPS Base'!G48*(1+PostalMarkup),2)</f>
        <v>141.66</v>
      </c>
      <c r="H51" s="285">
        <f>ROUND('USPS Base'!H48*(1+PostalMarkup),2)</f>
        <v>162.6</v>
      </c>
      <c r="I51" s="285">
        <f>ROUND('USPS Base'!I48*(1+PostalMarkup),2)</f>
        <v>191.44</v>
      </c>
      <c r="J51" s="285">
        <f>ROUND('USPS Base'!J48*(1+PostalMarkup),2)</f>
        <v>191.44</v>
      </c>
      <c r="K51" s="285">
        <f>ROUND('USPS Base'!K48*(1+PostalMarkup),2)</f>
        <v>408.57</v>
      </c>
      <c r="L51" s="60"/>
      <c r="M51" s="60"/>
      <c r="N51" s="60"/>
      <c r="O51" s="60"/>
    </row>
    <row r="52" spans="1:15" ht="12.75" customHeight="1">
      <c r="A52" s="284">
        <v>47</v>
      </c>
      <c r="B52" s="285">
        <f>ROUND('USPS Base'!B49*(1+PostalMarkup),2)</f>
        <v>53.59</v>
      </c>
      <c r="C52" s="285">
        <f>ROUND('USPS Base'!C49*(1+PostalMarkup),2)</f>
        <v>59.17</v>
      </c>
      <c r="D52" s="285">
        <f>ROUND('USPS Base'!D49*(1+PostalMarkup),2)</f>
        <v>67.540000000000006</v>
      </c>
      <c r="E52" s="285">
        <f>ROUND('USPS Base'!E49*(1+PostalMarkup),2)</f>
        <v>82.97</v>
      </c>
      <c r="F52" s="285">
        <f>ROUND('USPS Base'!F49*(1+PostalMarkup),2)</f>
        <v>122.74</v>
      </c>
      <c r="G52" s="285">
        <f>ROUND('USPS Base'!G49*(1+PostalMarkup),2)</f>
        <v>143.72999999999999</v>
      </c>
      <c r="H52" s="285">
        <f>ROUND('USPS Base'!H49*(1+PostalMarkup),2)</f>
        <v>164.7</v>
      </c>
      <c r="I52" s="285">
        <f>ROUND('USPS Base'!I49*(1+PostalMarkup),2)</f>
        <v>193.96</v>
      </c>
      <c r="J52" s="285">
        <f>ROUND('USPS Base'!J49*(1+PostalMarkup),2)</f>
        <v>193.96</v>
      </c>
      <c r="K52" s="285">
        <f>ROUND('USPS Base'!K49*(1+PostalMarkup),2)</f>
        <v>413.94</v>
      </c>
      <c r="L52" s="60"/>
      <c r="M52" s="60"/>
      <c r="N52" s="60"/>
      <c r="O52" s="60"/>
    </row>
    <row r="53" spans="1:15" ht="12.75" customHeight="1">
      <c r="A53" s="284">
        <v>48</v>
      </c>
      <c r="B53" s="285">
        <f>ROUND('USPS Base'!B50*(1+PostalMarkup),2)</f>
        <v>54.44</v>
      </c>
      <c r="C53" s="285">
        <f>ROUND('USPS Base'!C50*(1+PostalMarkup),2)</f>
        <v>60.05</v>
      </c>
      <c r="D53" s="285">
        <f>ROUND('USPS Base'!D50*(1+PostalMarkup),2)</f>
        <v>68.489999999999995</v>
      </c>
      <c r="E53" s="285">
        <f>ROUND('USPS Base'!E50*(1+PostalMarkup),2)</f>
        <v>84.19</v>
      </c>
      <c r="F53" s="285">
        <f>ROUND('USPS Base'!F50*(1+PostalMarkup),2)</f>
        <v>124.75</v>
      </c>
      <c r="G53" s="285">
        <f>ROUND('USPS Base'!G50*(1+PostalMarkup),2)</f>
        <v>145.79</v>
      </c>
      <c r="H53" s="285">
        <f>ROUND('USPS Base'!H50*(1+PostalMarkup),2)</f>
        <v>166.83</v>
      </c>
      <c r="I53" s="285">
        <f>ROUND('USPS Base'!I50*(1+PostalMarkup),2)</f>
        <v>196.5</v>
      </c>
      <c r="J53" s="285">
        <f>ROUND('USPS Base'!J50*(1+PostalMarkup),2)</f>
        <v>196.5</v>
      </c>
      <c r="K53" s="285">
        <f>ROUND('USPS Base'!K50*(1+PostalMarkup),2)</f>
        <v>419.35</v>
      </c>
      <c r="L53" s="60"/>
      <c r="M53" s="60"/>
      <c r="N53" s="60"/>
      <c r="O53" s="60"/>
    </row>
    <row r="54" spans="1:15" ht="12.75" customHeight="1">
      <c r="A54" s="284">
        <v>49</v>
      </c>
      <c r="B54" s="285">
        <f>ROUND('USPS Base'!B51*(1+PostalMarkup),2)</f>
        <v>55.26</v>
      </c>
      <c r="C54" s="285">
        <f>ROUND('USPS Base'!C51*(1+PostalMarkup),2)</f>
        <v>60.93</v>
      </c>
      <c r="D54" s="285">
        <f>ROUND('USPS Base'!D51*(1+PostalMarkup),2)</f>
        <v>69.489999999999995</v>
      </c>
      <c r="E54" s="285">
        <f>ROUND('USPS Base'!E51*(1+PostalMarkup),2)</f>
        <v>85.36</v>
      </c>
      <c r="F54" s="285">
        <f>ROUND('USPS Base'!F51*(1+PostalMarkup),2)</f>
        <v>126.7</v>
      </c>
      <c r="G54" s="285">
        <f>ROUND('USPS Base'!G51*(1+PostalMarkup),2)</f>
        <v>147.80000000000001</v>
      </c>
      <c r="H54" s="285">
        <f>ROUND('USPS Base'!H51*(1+PostalMarkup),2)</f>
        <v>168.89</v>
      </c>
      <c r="I54" s="285">
        <f>ROUND('USPS Base'!I51*(1+PostalMarkup),2)</f>
        <v>198.98</v>
      </c>
      <c r="J54" s="285">
        <f>ROUND('USPS Base'!J51*(1+PostalMarkup),2)</f>
        <v>198.98</v>
      </c>
      <c r="K54" s="285">
        <f>ROUND('USPS Base'!K51*(1+PostalMarkup),2)</f>
        <v>424.65</v>
      </c>
      <c r="L54" s="60"/>
      <c r="M54" s="60"/>
      <c r="N54" s="60"/>
      <c r="O54" s="60"/>
    </row>
    <row r="55" spans="1:15" ht="12.75" customHeight="1">
      <c r="A55" s="284">
        <v>50</v>
      </c>
      <c r="B55" s="285">
        <f>ROUND('USPS Base'!B52*(1+PostalMarkup),2)</f>
        <v>56.05</v>
      </c>
      <c r="C55" s="285">
        <f>ROUND('USPS Base'!C52*(1+PostalMarkup),2)</f>
        <v>61.8</v>
      </c>
      <c r="D55" s="285">
        <f>ROUND('USPS Base'!D52*(1+PostalMarkup),2)</f>
        <v>70.430000000000007</v>
      </c>
      <c r="E55" s="285">
        <f>ROUND('USPS Base'!E52*(1+PostalMarkup),2)</f>
        <v>86.53</v>
      </c>
      <c r="F55" s="285">
        <f>ROUND('USPS Base'!F52*(1+PostalMarkup),2)</f>
        <v>128.63999999999999</v>
      </c>
      <c r="G55" s="285">
        <f>ROUND('USPS Base'!G52*(1+PostalMarkup),2)</f>
        <v>149.81</v>
      </c>
      <c r="H55" s="285">
        <f>ROUND('USPS Base'!H52*(1+PostalMarkup),2)</f>
        <v>170.97</v>
      </c>
      <c r="I55" s="285">
        <f>ROUND('USPS Base'!I52*(1+PostalMarkup),2)</f>
        <v>201.42</v>
      </c>
      <c r="J55" s="285">
        <f>ROUND('USPS Base'!J52*(1+PostalMarkup),2)</f>
        <v>201.42</v>
      </c>
      <c r="K55" s="285">
        <f>ROUND('USPS Base'!K52*(1+PostalMarkup),2)</f>
        <v>429.88</v>
      </c>
      <c r="L55" s="60"/>
      <c r="M55" s="60"/>
      <c r="N55" s="60"/>
      <c r="O55" s="60"/>
    </row>
    <row r="56" spans="1:15" ht="12.75" customHeight="1">
      <c r="A56" s="284">
        <v>51</v>
      </c>
      <c r="B56" s="285">
        <f>ROUND('USPS Base'!B53*(1+PostalMarkup),2)</f>
        <v>56.86</v>
      </c>
      <c r="C56" s="285">
        <f>ROUND('USPS Base'!C53*(1+PostalMarkup),2)</f>
        <v>62.65</v>
      </c>
      <c r="D56" s="285">
        <f>ROUND('USPS Base'!D53*(1+PostalMarkup),2)</f>
        <v>71.36</v>
      </c>
      <c r="E56" s="285">
        <f>ROUND('USPS Base'!E53*(1+PostalMarkup),2)</f>
        <v>87.66</v>
      </c>
      <c r="F56" s="285">
        <f>ROUND('USPS Base'!F53*(1+PostalMarkup),2)</f>
        <v>130.51</v>
      </c>
      <c r="G56" s="285">
        <f>ROUND('USPS Base'!G53*(1+PostalMarkup),2)</f>
        <v>151.85</v>
      </c>
      <c r="H56" s="285">
        <f>ROUND('USPS Base'!H53*(1+PostalMarkup),2)</f>
        <v>173.19</v>
      </c>
      <c r="I56" s="285">
        <f>ROUND('USPS Base'!I53*(1+PostalMarkup),2)</f>
        <v>203.94</v>
      </c>
      <c r="J56" s="285">
        <f>ROUND('USPS Base'!J53*(1+PostalMarkup),2)</f>
        <v>203.94</v>
      </c>
      <c r="K56" s="285">
        <f>ROUND('USPS Base'!K53*(1+PostalMarkup),2)</f>
        <v>435.23</v>
      </c>
      <c r="L56" s="60"/>
      <c r="M56" s="60"/>
      <c r="N56" s="60"/>
      <c r="O56" s="60"/>
    </row>
    <row r="57" spans="1:15" ht="12.75" customHeight="1">
      <c r="A57" s="284">
        <v>52</v>
      </c>
      <c r="B57" s="285">
        <f>ROUND('USPS Base'!B54*(1+PostalMarkup),2)</f>
        <v>57.64</v>
      </c>
      <c r="C57" s="285">
        <f>ROUND('USPS Base'!C54*(1+PostalMarkup),2)</f>
        <v>63.49</v>
      </c>
      <c r="D57" s="285">
        <f>ROUND('USPS Base'!D54*(1+PostalMarkup),2)</f>
        <v>72.23</v>
      </c>
      <c r="E57" s="285">
        <f>ROUND('USPS Base'!E54*(1+PostalMarkup),2)</f>
        <v>88.76</v>
      </c>
      <c r="F57" s="285">
        <f>ROUND('USPS Base'!F54*(1+PostalMarkup),2)</f>
        <v>132.38</v>
      </c>
      <c r="G57" s="285">
        <f>ROUND('USPS Base'!G54*(1+PostalMarkup),2)</f>
        <v>153.91999999999999</v>
      </c>
      <c r="H57" s="285">
        <f>ROUND('USPS Base'!H54*(1+PostalMarkup),2)</f>
        <v>175.46</v>
      </c>
      <c r="I57" s="285">
        <f>ROUND('USPS Base'!I54*(1+PostalMarkup),2)</f>
        <v>206.39</v>
      </c>
      <c r="J57" s="285">
        <f>ROUND('USPS Base'!J54*(1+PostalMarkup),2)</f>
        <v>206.39</v>
      </c>
      <c r="K57" s="285">
        <f>ROUND('USPS Base'!K54*(1+PostalMarkup),2)</f>
        <v>440.47</v>
      </c>
      <c r="L57" s="60"/>
      <c r="M57" s="60"/>
      <c r="N57" s="60"/>
      <c r="O57" s="60"/>
    </row>
    <row r="58" spans="1:15" ht="12.75" customHeight="1">
      <c r="A58" s="284">
        <v>53</v>
      </c>
      <c r="B58" s="285">
        <f>ROUND('USPS Base'!B55*(1+PostalMarkup),2)</f>
        <v>58.42</v>
      </c>
      <c r="C58" s="285">
        <f>ROUND('USPS Base'!C55*(1+PostalMarkup),2)</f>
        <v>64.290000000000006</v>
      </c>
      <c r="D58" s="285">
        <f>ROUND('USPS Base'!D55*(1+PostalMarkup),2)</f>
        <v>73.11</v>
      </c>
      <c r="E58" s="285">
        <f>ROUND('USPS Base'!E55*(1+PostalMarkup),2)</f>
        <v>89.85</v>
      </c>
      <c r="F58" s="285">
        <f>ROUND('USPS Base'!F55*(1+PostalMarkup),2)</f>
        <v>134.19</v>
      </c>
      <c r="G58" s="285">
        <f>ROUND('USPS Base'!G55*(1+PostalMarkup),2)</f>
        <v>156</v>
      </c>
      <c r="H58" s="285">
        <f>ROUND('USPS Base'!H55*(1+PostalMarkup),2)</f>
        <v>177.77</v>
      </c>
      <c r="I58" s="285">
        <f>ROUND('USPS Base'!I55*(1+PostalMarkup),2)</f>
        <v>208.94</v>
      </c>
      <c r="J58" s="285">
        <f>ROUND('USPS Base'!J55*(1+PostalMarkup),2)</f>
        <v>208.94</v>
      </c>
      <c r="K58" s="285">
        <f>ROUND('USPS Base'!K55*(1+PostalMarkup),2)</f>
        <v>445.91</v>
      </c>
      <c r="L58" s="60"/>
      <c r="M58" s="60"/>
      <c r="N58" s="60"/>
      <c r="O58" s="60"/>
    </row>
    <row r="59" spans="1:15" ht="12.75" customHeight="1">
      <c r="A59" s="284">
        <v>54</v>
      </c>
      <c r="B59" s="285">
        <f>ROUND('USPS Base'!B56*(1+PostalMarkup),2)</f>
        <v>59.19</v>
      </c>
      <c r="C59" s="285">
        <f>ROUND('USPS Base'!C56*(1+PostalMarkup),2)</f>
        <v>65.099999999999994</v>
      </c>
      <c r="D59" s="285">
        <f>ROUND('USPS Base'!D56*(1+PostalMarkup),2)</f>
        <v>73.97</v>
      </c>
      <c r="E59" s="285">
        <f>ROUND('USPS Base'!E56*(1+PostalMarkup),2)</f>
        <v>90.91</v>
      </c>
      <c r="F59" s="285">
        <f>ROUND('USPS Base'!F56*(1+PostalMarkup),2)</f>
        <v>135.99</v>
      </c>
      <c r="G59" s="285">
        <f>ROUND('USPS Base'!G56*(1+PostalMarkup),2)</f>
        <v>158.07</v>
      </c>
      <c r="H59" s="285">
        <f>ROUND('USPS Base'!H56*(1+PostalMarkup),2)</f>
        <v>180.16</v>
      </c>
      <c r="I59" s="285">
        <f>ROUND('USPS Base'!I56*(1+PostalMarkup),2)</f>
        <v>211.59</v>
      </c>
      <c r="J59" s="285">
        <f>ROUND('USPS Base'!J56*(1+PostalMarkup),2)</f>
        <v>211.59</v>
      </c>
      <c r="K59" s="285">
        <f>ROUND('USPS Base'!K56*(1+PostalMarkup),2)</f>
        <v>451.56</v>
      </c>
      <c r="L59" s="60"/>
      <c r="M59" s="60"/>
      <c r="N59" s="60"/>
      <c r="O59" s="60"/>
    </row>
    <row r="60" spans="1:15" ht="12.75" customHeight="1">
      <c r="A60" s="284">
        <v>55</v>
      </c>
      <c r="B60" s="285">
        <f>ROUND('USPS Base'!B57*(1+PostalMarkup),2)</f>
        <v>59.95</v>
      </c>
      <c r="C60" s="285">
        <f>ROUND('USPS Base'!C57*(1+PostalMarkup),2)</f>
        <v>65.88</v>
      </c>
      <c r="D60" s="285">
        <f>ROUND('USPS Base'!D57*(1+PostalMarkup),2)</f>
        <v>74.83</v>
      </c>
      <c r="E60" s="285">
        <f>ROUND('USPS Base'!E57*(1+PostalMarkup),2)</f>
        <v>91.92</v>
      </c>
      <c r="F60" s="285">
        <f>ROUND('USPS Base'!F57*(1+PostalMarkup),2)</f>
        <v>137.75</v>
      </c>
      <c r="G60" s="285">
        <f>ROUND('USPS Base'!G57*(1+PostalMarkup),2)</f>
        <v>160.11000000000001</v>
      </c>
      <c r="H60" s="285">
        <f>ROUND('USPS Base'!H57*(1+PostalMarkup),2)</f>
        <v>182.47</v>
      </c>
      <c r="I60" s="285">
        <f>ROUND('USPS Base'!I57*(1+PostalMarkup),2)</f>
        <v>214.3</v>
      </c>
      <c r="J60" s="285">
        <f>ROUND('USPS Base'!J57*(1+PostalMarkup),2)</f>
        <v>214.3</v>
      </c>
      <c r="K60" s="285">
        <f>ROUND('USPS Base'!K57*(1+PostalMarkup),2)</f>
        <v>457.37</v>
      </c>
      <c r="L60" s="60"/>
      <c r="M60" s="60"/>
      <c r="N60" s="60"/>
      <c r="O60" s="60"/>
    </row>
    <row r="61" spans="1:15" ht="12.75" customHeight="1">
      <c r="A61" s="284">
        <v>56</v>
      </c>
      <c r="B61" s="285">
        <f>ROUND('USPS Base'!B58*(1+PostalMarkup),2)</f>
        <v>60.7</v>
      </c>
      <c r="C61" s="285">
        <f>ROUND('USPS Base'!C58*(1+PostalMarkup),2)</f>
        <v>66.67</v>
      </c>
      <c r="D61" s="285">
        <f>ROUND('USPS Base'!D58*(1+PostalMarkup),2)</f>
        <v>75.62</v>
      </c>
      <c r="E61" s="285">
        <f>ROUND('USPS Base'!E58*(1+PostalMarkup),2)</f>
        <v>92.94</v>
      </c>
      <c r="F61" s="285">
        <f>ROUND('USPS Base'!F58*(1+PostalMarkup),2)</f>
        <v>139.47</v>
      </c>
      <c r="G61" s="285">
        <f>ROUND('USPS Base'!G58*(1+PostalMarkup),2)</f>
        <v>162.16999999999999</v>
      </c>
      <c r="H61" s="285">
        <f>ROUND('USPS Base'!H58*(1+PostalMarkup),2)</f>
        <v>184.86</v>
      </c>
      <c r="I61" s="285">
        <f>ROUND('USPS Base'!I58*(1+PostalMarkup),2)</f>
        <v>216.98</v>
      </c>
      <c r="J61" s="285">
        <f>ROUND('USPS Base'!J58*(1+PostalMarkup),2)</f>
        <v>216.98</v>
      </c>
      <c r="K61" s="285">
        <f>ROUND('USPS Base'!K58*(1+PostalMarkup),2)</f>
        <v>463.07</v>
      </c>
      <c r="L61" s="60"/>
      <c r="M61" s="60"/>
      <c r="N61" s="60"/>
      <c r="O61" s="60"/>
    </row>
    <row r="62" spans="1:15" ht="12.75" customHeight="1">
      <c r="A62" s="284">
        <v>57</v>
      </c>
      <c r="B62" s="285">
        <f>ROUND('USPS Base'!B59*(1+PostalMarkup),2)</f>
        <v>61.46</v>
      </c>
      <c r="C62" s="285">
        <f>ROUND('USPS Base'!C59*(1+PostalMarkup),2)</f>
        <v>67.42</v>
      </c>
      <c r="D62" s="285">
        <f>ROUND('USPS Base'!D59*(1+PostalMarkup),2)</f>
        <v>76.430000000000007</v>
      </c>
      <c r="E62" s="285">
        <f>ROUND('USPS Base'!E59*(1+PostalMarkup),2)</f>
        <v>93.92</v>
      </c>
      <c r="F62" s="285">
        <f>ROUND('USPS Base'!F59*(1+PostalMarkup),2)</f>
        <v>141.15</v>
      </c>
      <c r="G62" s="285">
        <f>ROUND('USPS Base'!G59*(1+PostalMarkup),2)</f>
        <v>164.15</v>
      </c>
      <c r="H62" s="285">
        <f>ROUND('USPS Base'!H59*(1+PostalMarkup),2)</f>
        <v>187.16</v>
      </c>
      <c r="I62" s="285">
        <f>ROUND('USPS Base'!I59*(1+PostalMarkup),2)</f>
        <v>219.51</v>
      </c>
      <c r="J62" s="285">
        <f>ROUND('USPS Base'!J59*(1+PostalMarkup),2)</f>
        <v>219.51</v>
      </c>
      <c r="K62" s="285">
        <f>ROUND('USPS Base'!K59*(1+PostalMarkup),2)</f>
        <v>468.48</v>
      </c>
      <c r="L62" s="60"/>
      <c r="M62" s="60"/>
      <c r="N62" s="60"/>
      <c r="O62" s="60"/>
    </row>
    <row r="63" spans="1:15" ht="12.75" customHeight="1">
      <c r="A63" s="284">
        <v>58</v>
      </c>
      <c r="B63" s="285">
        <f>ROUND('USPS Base'!B60*(1+PostalMarkup),2)</f>
        <v>62.19</v>
      </c>
      <c r="C63" s="285">
        <f>ROUND('USPS Base'!C60*(1+PostalMarkup),2)</f>
        <v>68.180000000000007</v>
      </c>
      <c r="D63" s="285">
        <f>ROUND('USPS Base'!D60*(1+PostalMarkup),2)</f>
        <v>77.2</v>
      </c>
      <c r="E63" s="285">
        <f>ROUND('USPS Base'!E60*(1+PostalMarkup),2)</f>
        <v>94.89</v>
      </c>
      <c r="F63" s="285">
        <f>ROUND('USPS Base'!F60*(1+PostalMarkup),2)</f>
        <v>142.84</v>
      </c>
      <c r="G63" s="285">
        <f>ROUND('USPS Base'!G60*(1+PostalMarkup),2)</f>
        <v>165.98</v>
      </c>
      <c r="H63" s="285">
        <f>ROUND('USPS Base'!H60*(1+PostalMarkup),2)</f>
        <v>189.11</v>
      </c>
      <c r="I63" s="285">
        <f>ROUND('USPS Base'!I60*(1+PostalMarkup),2)</f>
        <v>221.85</v>
      </c>
      <c r="J63" s="285">
        <f>ROUND('USPS Base'!J60*(1+PostalMarkup),2)</f>
        <v>221.85</v>
      </c>
      <c r="K63" s="285">
        <f>ROUND('USPS Base'!K60*(1+PostalMarkup),2)</f>
        <v>473.46</v>
      </c>
      <c r="L63" s="60"/>
      <c r="M63" s="60"/>
      <c r="N63" s="60"/>
      <c r="O63" s="60"/>
    </row>
    <row r="64" spans="1:15" ht="12.75" customHeight="1">
      <c r="A64" s="284">
        <v>59</v>
      </c>
      <c r="B64" s="285">
        <f>ROUND('USPS Base'!B61*(1+PostalMarkup),2)</f>
        <v>62.89</v>
      </c>
      <c r="C64" s="285">
        <f>ROUND('USPS Base'!C61*(1+PostalMarkup),2)</f>
        <v>68.92</v>
      </c>
      <c r="D64" s="285">
        <f>ROUND('USPS Base'!D61*(1+PostalMarkup),2)</f>
        <v>77.97</v>
      </c>
      <c r="E64" s="285">
        <f>ROUND('USPS Base'!E61*(1+PostalMarkup),2)</f>
        <v>95.81</v>
      </c>
      <c r="F64" s="285">
        <f>ROUND('USPS Base'!F61*(1+PostalMarkup),2)</f>
        <v>144.44999999999999</v>
      </c>
      <c r="G64" s="285">
        <f>ROUND('USPS Base'!G61*(1+PostalMarkup),2)</f>
        <v>167.83</v>
      </c>
      <c r="H64" s="285">
        <f>ROUND('USPS Base'!H61*(1+PostalMarkup),2)</f>
        <v>191.2</v>
      </c>
      <c r="I64" s="285">
        <f>ROUND('USPS Base'!I61*(1+PostalMarkup),2)</f>
        <v>224.3</v>
      </c>
      <c r="J64" s="285">
        <f>ROUND('USPS Base'!J61*(1+PostalMarkup),2)</f>
        <v>224.3</v>
      </c>
      <c r="K64" s="285">
        <f>ROUND('USPS Base'!K61*(1+PostalMarkup),2)</f>
        <v>478.68</v>
      </c>
      <c r="L64" s="60"/>
      <c r="M64" s="60"/>
      <c r="N64" s="60"/>
      <c r="O64" s="60"/>
    </row>
    <row r="65" spans="1:15" ht="12.75" customHeight="1">
      <c r="A65" s="284">
        <v>60</v>
      </c>
      <c r="B65" s="285">
        <f>ROUND('USPS Base'!B62*(1+PostalMarkup),2)</f>
        <v>63.62</v>
      </c>
      <c r="C65" s="285">
        <f>ROUND('USPS Base'!C62*(1+PostalMarkup),2)</f>
        <v>69.66</v>
      </c>
      <c r="D65" s="285">
        <f>ROUND('USPS Base'!D62*(1+PostalMarkup),2)</f>
        <v>78.709999999999994</v>
      </c>
      <c r="E65" s="285">
        <f>ROUND('USPS Base'!E62*(1+PostalMarkup),2)</f>
        <v>96.72</v>
      </c>
      <c r="F65" s="285">
        <f>ROUND('USPS Base'!F62*(1+PostalMarkup),2)</f>
        <v>146.05000000000001</v>
      </c>
      <c r="G65" s="285">
        <f>ROUND('USPS Base'!G62*(1+PostalMarkup),2)</f>
        <v>169.6</v>
      </c>
      <c r="H65" s="285">
        <f>ROUND('USPS Base'!H62*(1+PostalMarkup),2)</f>
        <v>193.15</v>
      </c>
      <c r="I65" s="285">
        <f>ROUND('USPS Base'!I62*(1+PostalMarkup),2)</f>
        <v>226.67</v>
      </c>
      <c r="J65" s="285">
        <f>ROUND('USPS Base'!J62*(1+PostalMarkup),2)</f>
        <v>226.67</v>
      </c>
      <c r="K65" s="285">
        <f>ROUND('USPS Base'!K62*(1+PostalMarkup),2)</f>
        <v>483.74</v>
      </c>
      <c r="L65" s="60"/>
      <c r="M65" s="60"/>
      <c r="N65" s="60"/>
      <c r="O65" s="60"/>
    </row>
    <row r="66" spans="1:15" ht="12.75" customHeight="1">
      <c r="A66" s="284">
        <v>61</v>
      </c>
      <c r="B66" s="285">
        <f>ROUND('USPS Base'!B63*(1+PostalMarkup),2)</f>
        <v>64.319999999999993</v>
      </c>
      <c r="C66" s="285">
        <f>ROUND('USPS Base'!C63*(1+PostalMarkup),2)</f>
        <v>70.36</v>
      </c>
      <c r="D66" s="285">
        <f>ROUND('USPS Base'!D63*(1+PostalMarkup),2)</f>
        <v>79.430000000000007</v>
      </c>
      <c r="E66" s="285">
        <f>ROUND('USPS Base'!E63*(1+PostalMarkup),2)</f>
        <v>97.6</v>
      </c>
      <c r="F66" s="285">
        <f>ROUND('USPS Base'!F63*(1+PostalMarkup),2)</f>
        <v>147.61000000000001</v>
      </c>
      <c r="G66" s="285">
        <f>ROUND('USPS Base'!G63*(1+PostalMarkup),2)</f>
        <v>171.37</v>
      </c>
      <c r="H66" s="285">
        <f>ROUND('USPS Base'!H63*(1+PostalMarkup),2)</f>
        <v>195.11</v>
      </c>
      <c r="I66" s="285">
        <f>ROUND('USPS Base'!I63*(1+PostalMarkup),2)</f>
        <v>228.98</v>
      </c>
      <c r="J66" s="285">
        <f>ROUND('USPS Base'!J63*(1+PostalMarkup),2)</f>
        <v>228.98</v>
      </c>
      <c r="K66" s="285">
        <f>ROUND('USPS Base'!K63*(1+PostalMarkup),2)</f>
        <v>488.67</v>
      </c>
      <c r="L66" s="60"/>
      <c r="M66" s="60"/>
      <c r="N66" s="60"/>
      <c r="O66" s="60"/>
    </row>
    <row r="67" spans="1:15" ht="12.75" customHeight="1">
      <c r="A67" s="284">
        <v>62</v>
      </c>
      <c r="B67" s="285">
        <f>ROUND('USPS Base'!B64*(1+PostalMarkup),2)</f>
        <v>65.02</v>
      </c>
      <c r="C67" s="285">
        <f>ROUND('USPS Base'!C64*(1+PostalMarkup),2)</f>
        <v>71.06</v>
      </c>
      <c r="D67" s="285">
        <f>ROUND('USPS Base'!D64*(1+PostalMarkup),2)</f>
        <v>80.099999999999994</v>
      </c>
      <c r="E67" s="285">
        <f>ROUND('USPS Base'!E64*(1+PostalMarkup),2)</f>
        <v>98.45</v>
      </c>
      <c r="F67" s="285">
        <f>ROUND('USPS Base'!F64*(1+PostalMarkup),2)</f>
        <v>149.13999999999999</v>
      </c>
      <c r="G67" s="285">
        <f>ROUND('USPS Base'!G64*(1+PostalMarkup),2)</f>
        <v>173.24</v>
      </c>
      <c r="H67" s="285">
        <f>ROUND('USPS Base'!H64*(1+PostalMarkup),2)</f>
        <v>197.32</v>
      </c>
      <c r="I67" s="285">
        <f>ROUND('USPS Base'!I64*(1+PostalMarkup),2)</f>
        <v>231.75</v>
      </c>
      <c r="J67" s="285">
        <f>ROUND('USPS Base'!J64*(1+PostalMarkup),2)</f>
        <v>231.75</v>
      </c>
      <c r="K67" s="285">
        <f>ROUND('USPS Base'!K64*(1+PostalMarkup),2)</f>
        <v>494.58</v>
      </c>
      <c r="L67" s="60"/>
      <c r="M67" s="60"/>
      <c r="N67" s="60"/>
      <c r="O67" s="60"/>
    </row>
    <row r="68" spans="1:15" ht="12.75" customHeight="1">
      <c r="A68" s="284">
        <v>63</v>
      </c>
      <c r="B68" s="285">
        <f>ROUND('USPS Base'!B65*(1+PostalMarkup),2)</f>
        <v>65.7</v>
      </c>
      <c r="C68" s="285">
        <f>ROUND('USPS Base'!C65*(1+PostalMarkup),2)</f>
        <v>71.75</v>
      </c>
      <c r="D68" s="285">
        <f>ROUND('USPS Base'!D65*(1+PostalMarkup),2)</f>
        <v>80.78</v>
      </c>
      <c r="E68" s="285">
        <f>ROUND('USPS Base'!E65*(1+PostalMarkup),2)</f>
        <v>99.27</v>
      </c>
      <c r="F68" s="285">
        <f>ROUND('USPS Base'!F65*(1+PostalMarkup),2)</f>
        <v>150.63</v>
      </c>
      <c r="G68" s="285">
        <f>ROUND('USPS Base'!G65*(1+PostalMarkup),2)</f>
        <v>175.1</v>
      </c>
      <c r="H68" s="285">
        <f>ROUND('USPS Base'!H65*(1+PostalMarkup),2)</f>
        <v>199.55</v>
      </c>
      <c r="I68" s="285">
        <f>ROUND('USPS Base'!I65*(1+PostalMarkup),2)</f>
        <v>234.67</v>
      </c>
      <c r="J68" s="285">
        <f>ROUND('USPS Base'!J65*(1+PostalMarkup),2)</f>
        <v>234.67</v>
      </c>
      <c r="K68" s="285">
        <f>ROUND('USPS Base'!K65*(1+PostalMarkup),2)</f>
        <v>500.81</v>
      </c>
      <c r="L68" s="60"/>
      <c r="M68" s="60"/>
      <c r="N68" s="60"/>
      <c r="O68" s="60"/>
    </row>
    <row r="69" spans="1:15" ht="12.75" customHeight="1">
      <c r="A69" s="284">
        <v>64</v>
      </c>
      <c r="B69" s="285">
        <f>ROUND('USPS Base'!B66*(1+PostalMarkup),2)</f>
        <v>66.38</v>
      </c>
      <c r="C69" s="285">
        <f>ROUND('USPS Base'!C66*(1+PostalMarkup),2)</f>
        <v>72.400000000000006</v>
      </c>
      <c r="D69" s="285">
        <f>ROUND('USPS Base'!D66*(1+PostalMarkup),2)</f>
        <v>81.44</v>
      </c>
      <c r="E69" s="285">
        <f>ROUND('USPS Base'!E66*(1+PostalMarkup),2)</f>
        <v>100.07</v>
      </c>
      <c r="F69" s="285">
        <f>ROUND('USPS Base'!F66*(1+PostalMarkup),2)</f>
        <v>152.1</v>
      </c>
      <c r="G69" s="285">
        <f>ROUND('USPS Base'!G66*(1+PostalMarkup),2)</f>
        <v>176.78</v>
      </c>
      <c r="H69" s="285">
        <f>ROUND('USPS Base'!H66*(1+PostalMarkup),2)</f>
        <v>201.46</v>
      </c>
      <c r="I69" s="285">
        <f>ROUND('USPS Base'!I66*(1+PostalMarkup),2)</f>
        <v>237.56</v>
      </c>
      <c r="J69" s="285">
        <f>ROUND('USPS Base'!J66*(1+PostalMarkup),2)</f>
        <v>237.56</v>
      </c>
      <c r="K69" s="285">
        <f>ROUND('USPS Base'!K66*(1+PostalMarkup),2)</f>
        <v>506.99</v>
      </c>
      <c r="L69" s="60"/>
      <c r="M69" s="60"/>
      <c r="N69" s="60"/>
      <c r="O69" s="60"/>
    </row>
    <row r="70" spans="1:15" ht="12.75" customHeight="1">
      <c r="A70" s="284">
        <v>65</v>
      </c>
      <c r="B70" s="285">
        <f>ROUND('USPS Base'!B67*(1+PostalMarkup),2)</f>
        <v>67.05</v>
      </c>
      <c r="C70" s="285">
        <f>ROUND('USPS Base'!C67*(1+PostalMarkup),2)</f>
        <v>73.069999999999993</v>
      </c>
      <c r="D70" s="285">
        <f>ROUND('USPS Base'!D67*(1+PostalMarkup),2)</f>
        <v>82.09</v>
      </c>
      <c r="E70" s="285">
        <f>ROUND('USPS Base'!E67*(1+PostalMarkup),2)</f>
        <v>100.86</v>
      </c>
      <c r="F70" s="285">
        <f>ROUND('USPS Base'!F67*(1+PostalMarkup),2)</f>
        <v>153.53</v>
      </c>
      <c r="G70" s="285">
        <f>ROUND('USPS Base'!G67*(1+PostalMarkup),2)</f>
        <v>178.42</v>
      </c>
      <c r="H70" s="285">
        <f>ROUND('USPS Base'!H67*(1+PostalMarkup),2)</f>
        <v>203.33</v>
      </c>
      <c r="I70" s="285">
        <f>ROUND('USPS Base'!I67*(1+PostalMarkup),2)</f>
        <v>240.45</v>
      </c>
      <c r="J70" s="285">
        <f>ROUND('USPS Base'!J67*(1+PostalMarkup),2)</f>
        <v>240.45</v>
      </c>
      <c r="K70" s="285">
        <f>ROUND('USPS Base'!K67*(1+PostalMarkup),2)</f>
        <v>513.15</v>
      </c>
      <c r="L70" s="60"/>
      <c r="M70" s="60"/>
      <c r="N70" s="60"/>
      <c r="O70" s="60"/>
    </row>
    <row r="71" spans="1:15" ht="12.75" customHeight="1">
      <c r="A71" s="284">
        <v>66</v>
      </c>
      <c r="B71" s="285">
        <f>ROUND('USPS Base'!B68*(1+PostalMarkup),2)</f>
        <v>67.7</v>
      </c>
      <c r="C71" s="285">
        <f>ROUND('USPS Base'!C68*(1+PostalMarkup),2)</f>
        <v>73.72</v>
      </c>
      <c r="D71" s="285">
        <f>ROUND('USPS Base'!D68*(1+PostalMarkup),2)</f>
        <v>82.7</v>
      </c>
      <c r="E71" s="285">
        <f>ROUND('USPS Base'!E68*(1+PostalMarkup),2)</f>
        <v>101.6</v>
      </c>
      <c r="F71" s="285">
        <f>ROUND('USPS Base'!F68*(1+PostalMarkup),2)</f>
        <v>154.91999999999999</v>
      </c>
      <c r="G71" s="285">
        <f>ROUND('USPS Base'!G68*(1+PostalMarkup),2)</f>
        <v>180.08</v>
      </c>
      <c r="H71" s="285">
        <f>ROUND('USPS Base'!H68*(1+PostalMarkup),2)</f>
        <v>205.23</v>
      </c>
      <c r="I71" s="285">
        <f>ROUND('USPS Base'!I68*(1+PostalMarkup),2)</f>
        <v>243.31</v>
      </c>
      <c r="J71" s="285">
        <f>ROUND('USPS Base'!J68*(1+PostalMarkup),2)</f>
        <v>243.31</v>
      </c>
      <c r="K71" s="285">
        <f>ROUND('USPS Base'!K68*(1+PostalMarkup),2)</f>
        <v>519.26</v>
      </c>
      <c r="L71" s="60"/>
      <c r="M71" s="60"/>
      <c r="N71" s="60"/>
      <c r="O71" s="60"/>
    </row>
    <row r="72" spans="1:15" ht="12.75" customHeight="1">
      <c r="A72" s="284">
        <v>67</v>
      </c>
      <c r="B72" s="285">
        <f>ROUND('USPS Base'!B69*(1+PostalMarkup),2)</f>
        <v>68.36</v>
      </c>
      <c r="C72" s="285">
        <f>ROUND('USPS Base'!C69*(1+PostalMarkup),2)</f>
        <v>74.31</v>
      </c>
      <c r="D72" s="285">
        <f>ROUND('USPS Base'!D69*(1+PostalMarkup),2)</f>
        <v>83.28</v>
      </c>
      <c r="E72" s="285">
        <f>ROUND('USPS Base'!E69*(1+PostalMarkup),2)</f>
        <v>102.33</v>
      </c>
      <c r="F72" s="285">
        <f>ROUND('USPS Base'!F69*(1+PostalMarkup),2)</f>
        <v>156.29</v>
      </c>
      <c r="G72" s="285">
        <f>ROUND('USPS Base'!G69*(1+PostalMarkup),2)</f>
        <v>181.65</v>
      </c>
      <c r="H72" s="285">
        <f>ROUND('USPS Base'!H69*(1+PostalMarkup),2)</f>
        <v>207.03</v>
      </c>
      <c r="I72" s="285">
        <f>ROUND('USPS Base'!I69*(1+PostalMarkup),2)</f>
        <v>246.26</v>
      </c>
      <c r="J72" s="285">
        <f>ROUND('USPS Base'!J69*(1+PostalMarkup),2)</f>
        <v>246.26</v>
      </c>
      <c r="K72" s="285">
        <f>ROUND('USPS Base'!K69*(1+PostalMarkup),2)</f>
        <v>525.55999999999995</v>
      </c>
      <c r="L72" s="60"/>
      <c r="M72" s="60"/>
      <c r="N72" s="60"/>
      <c r="O72" s="60"/>
    </row>
    <row r="73" spans="1:15" ht="12.75" customHeight="1">
      <c r="A73" s="284">
        <v>68</v>
      </c>
      <c r="B73" s="285">
        <f>ROUND('USPS Base'!B70*(1+PostalMarkup),2)</f>
        <v>68.97</v>
      </c>
      <c r="C73" s="285">
        <f>ROUND('USPS Base'!C70*(1+PostalMarkup),2)</f>
        <v>74.930000000000007</v>
      </c>
      <c r="D73" s="285">
        <f>ROUND('USPS Base'!D70*(1+PostalMarkup),2)</f>
        <v>83.85</v>
      </c>
      <c r="E73" s="285">
        <f>ROUND('USPS Base'!E70*(1+PostalMarkup),2)</f>
        <v>103.04</v>
      </c>
      <c r="F73" s="285">
        <f>ROUND('USPS Base'!F70*(1+PostalMarkup),2)</f>
        <v>157.61000000000001</v>
      </c>
      <c r="G73" s="285">
        <f>ROUND('USPS Base'!G70*(1+PostalMarkup),2)</f>
        <v>183.24</v>
      </c>
      <c r="H73" s="285">
        <f>ROUND('USPS Base'!H70*(1+PostalMarkup),2)</f>
        <v>208.86</v>
      </c>
      <c r="I73" s="285">
        <f>ROUND('USPS Base'!I70*(1+PostalMarkup),2)</f>
        <v>249.01</v>
      </c>
      <c r="J73" s="285">
        <f>ROUND('USPS Base'!J70*(1+PostalMarkup),2)</f>
        <v>249.01</v>
      </c>
      <c r="K73" s="285">
        <f>ROUND('USPS Base'!K70*(1+PostalMarkup),2)</f>
        <v>531.41999999999996</v>
      </c>
      <c r="L73" s="60"/>
      <c r="M73" s="60"/>
      <c r="N73" s="60"/>
      <c r="O73" s="60"/>
    </row>
    <row r="74" spans="1:15" ht="12.75" customHeight="1">
      <c r="A74" s="284">
        <v>69</v>
      </c>
      <c r="B74" s="285">
        <f>ROUND('USPS Base'!B71*(1+PostalMarkup),2)</f>
        <v>69.61</v>
      </c>
      <c r="C74" s="285">
        <f>ROUND('USPS Base'!C71*(1+PostalMarkup),2)</f>
        <v>75.540000000000006</v>
      </c>
      <c r="D74" s="285">
        <f>ROUND('USPS Base'!D71*(1+PostalMarkup),2)</f>
        <v>84.42</v>
      </c>
      <c r="E74" s="285">
        <f>ROUND('USPS Base'!E71*(1+PostalMarkup),2)</f>
        <v>103.72</v>
      </c>
      <c r="F74" s="285">
        <f>ROUND('USPS Base'!F71*(1+PostalMarkup),2)</f>
        <v>158.91</v>
      </c>
      <c r="G74" s="285">
        <f>ROUND('USPS Base'!G71*(1+PostalMarkup),2)</f>
        <v>184.85</v>
      </c>
      <c r="H74" s="285">
        <f>ROUND('USPS Base'!H71*(1+PostalMarkup),2)</f>
        <v>210.77</v>
      </c>
      <c r="I74" s="285">
        <f>ROUND('USPS Base'!I71*(1+PostalMarkup),2)</f>
        <v>251.65</v>
      </c>
      <c r="J74" s="285">
        <f>ROUND('USPS Base'!J71*(1+PostalMarkup),2)</f>
        <v>251.65</v>
      </c>
      <c r="K74" s="285">
        <f>ROUND('USPS Base'!K71*(1+PostalMarkup),2)</f>
        <v>537.05999999999995</v>
      </c>
      <c r="L74" s="60"/>
      <c r="M74" s="60"/>
      <c r="N74" s="60"/>
      <c r="O74" s="60"/>
    </row>
    <row r="75" spans="1:15" ht="12.75" customHeight="1">
      <c r="A75" s="284">
        <v>70</v>
      </c>
      <c r="B75" s="285">
        <f>ROUND('USPS Base'!B72*(1+PostalMarkup),2)</f>
        <v>70.239999999999995</v>
      </c>
      <c r="C75" s="285">
        <f>ROUND('USPS Base'!C72*(1+PostalMarkup),2)</f>
        <v>76.12</v>
      </c>
      <c r="D75" s="285">
        <f>ROUND('USPS Base'!D72*(1+PostalMarkup),2)</f>
        <v>84.94</v>
      </c>
      <c r="E75" s="285">
        <f>ROUND('USPS Base'!E72*(1+PostalMarkup),2)</f>
        <v>104.37</v>
      </c>
      <c r="F75" s="285">
        <f>ROUND('USPS Base'!F72*(1+PostalMarkup),2)</f>
        <v>160.18</v>
      </c>
      <c r="G75" s="285">
        <f>ROUND('USPS Base'!G72*(1+PostalMarkup),2)</f>
        <v>186.43</v>
      </c>
      <c r="H75" s="285">
        <f>ROUND('USPS Base'!H72*(1+PostalMarkup),2)</f>
        <v>212.67</v>
      </c>
      <c r="I75" s="285">
        <f>ROUND('USPS Base'!I72*(1+PostalMarkup),2)</f>
        <v>254.3</v>
      </c>
      <c r="J75" s="285">
        <f>ROUND('USPS Base'!J72*(1+PostalMarkup),2)</f>
        <v>254.3</v>
      </c>
      <c r="K75" s="285">
        <f>ROUND('USPS Base'!K72*(1+PostalMarkup),2)</f>
        <v>542.72</v>
      </c>
      <c r="L75" s="60"/>
      <c r="M75" s="60"/>
    </row>
    <row r="76" spans="1:15" ht="12.75" customHeight="1"/>
    <row r="77" spans="1:15" ht="12.75" customHeight="1"/>
    <row r="78" spans="1:15" ht="12.75" customHeight="1"/>
    <row r="79" spans="1:15" ht="12.75" customHeight="1"/>
    <row r="80" spans="1:1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K75">
    <cfRule type="expression" dxfId="11" priority="1">
      <formula>MOD(ROW(),2)=0</formula>
    </cfRule>
  </conditionalFormatting>
  <conditionalFormatting sqref="N6:X10">
    <cfRule type="expression" dxfId="10" priority="2">
      <formula>MOD(ROW(),2)=0</formula>
    </cfRule>
  </conditionalFormatting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F5496"/>
  </sheetPr>
  <dimension ref="A1:W1004"/>
  <sheetViews>
    <sheetView workbookViewId="0"/>
  </sheetViews>
  <sheetFormatPr defaultColWidth="12.5703125" defaultRowHeight="15" customHeight="1"/>
  <cols>
    <col min="1" max="1" width="14.5703125" customWidth="1"/>
    <col min="2" max="8" width="8.5703125" customWidth="1"/>
    <col min="9" max="10" width="10.42578125" customWidth="1"/>
    <col min="11" max="11" width="9.5703125" customWidth="1"/>
    <col min="12" max="12" width="8.5703125" customWidth="1"/>
    <col min="13" max="13" width="13" customWidth="1"/>
    <col min="14" max="22" width="8.5703125" customWidth="1"/>
    <col min="23" max="23" width="13.5703125" customWidth="1"/>
    <col min="24" max="26" width="8.5703125" customWidth="1"/>
  </cols>
  <sheetData>
    <row r="1" spans="1:23" ht="12.75" customHeight="1">
      <c r="B1" s="226"/>
      <c r="G1" s="212" t="s">
        <v>84</v>
      </c>
      <c r="M1" s="131"/>
    </row>
    <row r="2" spans="1:23" ht="12.75" customHeight="1">
      <c r="B2" s="226"/>
      <c r="G2" s="297" t="s">
        <v>139</v>
      </c>
      <c r="M2" s="131"/>
    </row>
    <row r="3" spans="1:23" ht="12.75" customHeight="1">
      <c r="B3" s="226"/>
      <c r="G3" s="297" t="s">
        <v>140</v>
      </c>
      <c r="M3" s="131"/>
    </row>
    <row r="4" spans="1:23" ht="12.75" customHeight="1">
      <c r="B4" s="226"/>
      <c r="M4" s="131"/>
    </row>
    <row r="5" spans="1:23" ht="12.75" customHeight="1">
      <c r="B5" s="226" t="s">
        <v>98</v>
      </c>
      <c r="M5" s="131" t="s">
        <v>141</v>
      </c>
    </row>
    <row r="6" spans="1:23" ht="12.75" customHeight="1">
      <c r="B6" s="213" t="s">
        <v>142</v>
      </c>
    </row>
    <row r="7" spans="1:23" ht="20.25" customHeight="1">
      <c r="A7" s="298" t="s">
        <v>5</v>
      </c>
      <c r="B7" s="214" t="s">
        <v>67</v>
      </c>
      <c r="C7" s="214" t="s">
        <v>67</v>
      </c>
      <c r="D7" s="214" t="s">
        <v>67</v>
      </c>
      <c r="E7" s="214" t="s">
        <v>67</v>
      </c>
      <c r="F7" s="214" t="s">
        <v>67</v>
      </c>
      <c r="G7" s="214" t="s">
        <v>67</v>
      </c>
      <c r="H7" s="214" t="s">
        <v>67</v>
      </c>
      <c r="I7" s="214" t="s">
        <v>67</v>
      </c>
      <c r="J7" s="214" t="s">
        <v>67</v>
      </c>
      <c r="K7" s="223" t="s">
        <v>126</v>
      </c>
      <c r="M7" s="298" t="s">
        <v>5</v>
      </c>
      <c r="N7" s="214" t="s">
        <v>67</v>
      </c>
      <c r="O7" s="214" t="s">
        <v>67</v>
      </c>
      <c r="P7" s="214" t="s">
        <v>67</v>
      </c>
      <c r="Q7" s="214" t="s">
        <v>67</v>
      </c>
      <c r="R7" s="214" t="s">
        <v>67</v>
      </c>
      <c r="S7" s="214" t="s">
        <v>67</v>
      </c>
      <c r="T7" s="214" t="s">
        <v>67</v>
      </c>
      <c r="U7" s="214" t="s">
        <v>67</v>
      </c>
      <c r="V7" s="214" t="s">
        <v>67</v>
      </c>
      <c r="W7" s="223" t="s">
        <v>126</v>
      </c>
    </row>
    <row r="8" spans="1:23" ht="33.75">
      <c r="A8" s="216" t="s">
        <v>143</v>
      </c>
      <c r="B8" s="216">
        <v>1</v>
      </c>
      <c r="C8" s="216">
        <v>2</v>
      </c>
      <c r="D8" s="216">
        <v>3</v>
      </c>
      <c r="E8" s="216">
        <v>4</v>
      </c>
      <c r="F8" s="216">
        <v>5</v>
      </c>
      <c r="G8" s="216">
        <v>6</v>
      </c>
      <c r="H8" s="216">
        <v>7</v>
      </c>
      <c r="I8" s="216">
        <v>8</v>
      </c>
      <c r="J8" s="282" t="s">
        <v>128</v>
      </c>
      <c r="K8" s="216">
        <v>9</v>
      </c>
      <c r="M8" s="216" t="s">
        <v>144</v>
      </c>
      <c r="N8" s="216">
        <v>1</v>
      </c>
      <c r="O8" s="216">
        <v>2</v>
      </c>
      <c r="P8" s="216">
        <v>3</v>
      </c>
      <c r="Q8" s="216">
        <v>4</v>
      </c>
      <c r="R8" s="216">
        <v>5</v>
      </c>
      <c r="S8" s="216">
        <v>6</v>
      </c>
      <c r="T8" s="216">
        <v>7</v>
      </c>
      <c r="U8" s="216">
        <v>8</v>
      </c>
      <c r="V8" s="282" t="s">
        <v>128</v>
      </c>
      <c r="W8" s="216">
        <v>9</v>
      </c>
    </row>
    <row r="9" spans="1:23" ht="12.75" customHeight="1">
      <c r="A9" s="299">
        <v>1</v>
      </c>
      <c r="B9" s="300">
        <f>ROUND('USPS Base'!O2*(1+PostalMarkup),2)</f>
        <v>5.47</v>
      </c>
      <c r="C9" s="300">
        <f>ROUND('USPS Base'!P2*(1+PostalMarkup),2)</f>
        <v>5.54</v>
      </c>
      <c r="D9" s="300">
        <f>ROUND('USPS Base'!Q2*(1+PostalMarkup),2)</f>
        <v>5.57</v>
      </c>
      <c r="E9" s="300">
        <f>ROUND('USPS Base'!R2*(1+PostalMarkup),2)</f>
        <v>5.72</v>
      </c>
      <c r="F9" s="300">
        <f>ROUND('USPS Base'!S2*(1+PostalMarkup),2)</f>
        <v>5.8</v>
      </c>
      <c r="G9" s="300">
        <f>ROUND('USPS Base'!T2*(1+PostalMarkup),2)</f>
        <v>5.95</v>
      </c>
      <c r="H9" s="300">
        <f>ROUND('USPS Base'!U2*(1+PostalMarkup),2)</f>
        <v>6.05</v>
      </c>
      <c r="I9" s="300">
        <f>ROUND('USPS Base'!V2*(1+PostalMarkup),2)</f>
        <v>6.31</v>
      </c>
      <c r="J9" s="300">
        <f>ROUND('USPS Base'!W2*(1+PostalMarkup),2)</f>
        <v>7.31</v>
      </c>
      <c r="K9" s="300">
        <f>ROUND('USPS Base'!X2*(1+PostalMarkup),2)</f>
        <v>7.31</v>
      </c>
      <c r="M9" s="301">
        <v>0.1</v>
      </c>
      <c r="N9" s="300">
        <f>ROUND('USPS Base'!O92*(1+PostalMarkup),2)</f>
        <v>6.42</v>
      </c>
      <c r="O9" s="300">
        <f>ROUND('USPS Base'!P92*(1+PostalMarkup),2)</f>
        <v>6.45</v>
      </c>
      <c r="P9" s="300">
        <f>ROUND('USPS Base'!Q92*(1+PostalMarkup),2)</f>
        <v>6.62</v>
      </c>
      <c r="Q9" s="300">
        <f>ROUND('USPS Base'!R92*(1+PostalMarkup),2)</f>
        <v>7.02</v>
      </c>
      <c r="R9" s="300">
        <f>ROUND('USPS Base'!S92*(1+PostalMarkup),2)</f>
        <v>7.83</v>
      </c>
      <c r="S9" s="300">
        <f>ROUND('USPS Base'!T92*(1+PostalMarkup),2)</f>
        <v>8.89</v>
      </c>
      <c r="T9" s="300">
        <f>ROUND('USPS Base'!U92*(1+PostalMarkup),2)</f>
        <v>9.1999999999999993</v>
      </c>
      <c r="U9" s="300">
        <f>ROUND('USPS Base'!V92*(1+PostalMarkup),2)</f>
        <v>9.92</v>
      </c>
      <c r="V9" s="300">
        <f>ROUND('USPS Base'!W92*(1+PostalMarkup),2)</f>
        <v>11.65</v>
      </c>
      <c r="W9" s="300">
        <f>ROUND('USPS Base'!X92*(1+PostalMarkup),2)</f>
        <v>11.65</v>
      </c>
    </row>
    <row r="10" spans="1:23" ht="12.75" customHeight="1">
      <c r="A10" s="299">
        <v>2</v>
      </c>
      <c r="B10" s="300">
        <f>ROUND('USPS Base'!O3*(1+PostalMarkup),2)</f>
        <v>5.47</v>
      </c>
      <c r="C10" s="300">
        <f>ROUND('USPS Base'!P3*(1+PostalMarkup),2)</f>
        <v>5.54</v>
      </c>
      <c r="D10" s="300">
        <f>ROUND('USPS Base'!Q3*(1+PostalMarkup),2)</f>
        <v>5.57</v>
      </c>
      <c r="E10" s="300">
        <f>ROUND('USPS Base'!R3*(1+PostalMarkup),2)</f>
        <v>5.72</v>
      </c>
      <c r="F10" s="300">
        <f>ROUND('USPS Base'!S3*(1+PostalMarkup),2)</f>
        <v>5.8</v>
      </c>
      <c r="G10" s="300">
        <f>ROUND('USPS Base'!T3*(1+PostalMarkup),2)</f>
        <v>5.95</v>
      </c>
      <c r="H10" s="300">
        <f>ROUND('USPS Base'!U3*(1+PostalMarkup),2)</f>
        <v>6.05</v>
      </c>
      <c r="I10" s="300">
        <f>ROUND('USPS Base'!V3*(1+PostalMarkup),2)</f>
        <v>6.31</v>
      </c>
      <c r="J10" s="300">
        <f>ROUND('USPS Base'!W3*(1+PostalMarkup),2)</f>
        <v>7.31</v>
      </c>
      <c r="K10" s="300">
        <f>ROUND('USPS Base'!X3*(1+PostalMarkup),2)</f>
        <v>7.31</v>
      </c>
      <c r="M10" s="301">
        <v>0.2</v>
      </c>
      <c r="N10" s="300">
        <f>ROUND('USPS Base'!O93*(1+PostalMarkup),2)</f>
        <v>6.95</v>
      </c>
      <c r="O10" s="300">
        <f>ROUND('USPS Base'!P93*(1+PostalMarkup),2)</f>
        <v>6.98</v>
      </c>
      <c r="P10" s="300">
        <f>ROUND('USPS Base'!Q93*(1+PostalMarkup),2)</f>
        <v>7.21</v>
      </c>
      <c r="Q10" s="300">
        <f>ROUND('USPS Base'!R93*(1+PostalMarkup),2)</f>
        <v>7.72</v>
      </c>
      <c r="R10" s="300">
        <f>ROUND('USPS Base'!S93*(1+PostalMarkup),2)</f>
        <v>8.82</v>
      </c>
      <c r="S10" s="300">
        <f>ROUND('USPS Base'!T93*(1+PostalMarkup),2)</f>
        <v>10.24</v>
      </c>
      <c r="T10" s="300">
        <f>ROUND('USPS Base'!U93*(1+PostalMarkup),2)</f>
        <v>10.63</v>
      </c>
      <c r="U10" s="300">
        <f>ROUND('USPS Base'!V93*(1+PostalMarkup),2)</f>
        <v>11.59</v>
      </c>
      <c r="V10" s="300">
        <f>ROUND('USPS Base'!W93*(1+PostalMarkup),2)</f>
        <v>13.62</v>
      </c>
      <c r="W10" s="300">
        <f>ROUND('USPS Base'!X93*(1+PostalMarkup),2)</f>
        <v>13.62</v>
      </c>
    </row>
    <row r="11" spans="1:23" ht="12.75" customHeight="1">
      <c r="A11" s="299">
        <v>3</v>
      </c>
      <c r="B11" s="300">
        <f>ROUND('USPS Base'!O4*(1+PostalMarkup),2)</f>
        <v>5.47</v>
      </c>
      <c r="C11" s="300">
        <f>ROUND('USPS Base'!P4*(1+PostalMarkup),2)</f>
        <v>5.54</v>
      </c>
      <c r="D11" s="300">
        <f>ROUND('USPS Base'!Q4*(1+PostalMarkup),2)</f>
        <v>5.57</v>
      </c>
      <c r="E11" s="300">
        <f>ROUND('USPS Base'!R4*(1+PostalMarkup),2)</f>
        <v>5.72</v>
      </c>
      <c r="F11" s="300">
        <f>ROUND('USPS Base'!S4*(1+PostalMarkup),2)</f>
        <v>5.8</v>
      </c>
      <c r="G11" s="300">
        <f>ROUND('USPS Base'!T4*(1+PostalMarkup),2)</f>
        <v>5.95</v>
      </c>
      <c r="H11" s="300">
        <f>ROUND('USPS Base'!U4*(1+PostalMarkup),2)</f>
        <v>6.05</v>
      </c>
      <c r="I11" s="300">
        <f>ROUND('USPS Base'!V4*(1+PostalMarkup),2)</f>
        <v>6.31</v>
      </c>
      <c r="J11" s="300">
        <f>ROUND('USPS Base'!W4*(1+PostalMarkup),2)</f>
        <v>7.31</v>
      </c>
      <c r="K11" s="300">
        <f>ROUND('USPS Base'!X4*(1+PostalMarkup),2)</f>
        <v>7.31</v>
      </c>
      <c r="M11" s="301">
        <v>0.3</v>
      </c>
      <c r="N11" s="300">
        <f>ROUND('USPS Base'!O94*(1+PostalMarkup),2)</f>
        <v>7.36</v>
      </c>
      <c r="O11" s="300">
        <f>ROUND('USPS Base'!P94*(1+PostalMarkup),2)</f>
        <v>7.41</v>
      </c>
      <c r="P11" s="300">
        <f>ROUND('USPS Base'!Q94*(1+PostalMarkup),2)</f>
        <v>7.74</v>
      </c>
      <c r="Q11" s="300">
        <f>ROUND('USPS Base'!R94*(1+PostalMarkup),2)</f>
        <v>8.4499999999999993</v>
      </c>
      <c r="R11" s="300">
        <f>ROUND('USPS Base'!S94*(1+PostalMarkup),2)</f>
        <v>9.9</v>
      </c>
      <c r="S11" s="300">
        <f>ROUND('USPS Base'!T94*(1+PostalMarkup),2)</f>
        <v>11.78</v>
      </c>
      <c r="T11" s="300">
        <f>ROUND('USPS Base'!U94*(1+PostalMarkup),2)</f>
        <v>12.36</v>
      </c>
      <c r="U11" s="300">
        <f>ROUND('USPS Base'!V94*(1+PostalMarkup),2)</f>
        <v>13.74</v>
      </c>
      <c r="V11" s="300">
        <f>ROUND('USPS Base'!W94*(1+PostalMarkup),2)</f>
        <v>16.87</v>
      </c>
      <c r="W11" s="300">
        <f>ROUND('USPS Base'!X94*(1+PostalMarkup),2)</f>
        <v>16.87</v>
      </c>
    </row>
    <row r="12" spans="1:23" ht="12.75" customHeight="1">
      <c r="A12" s="299">
        <v>4</v>
      </c>
      <c r="B12" s="300">
        <f>ROUND('USPS Base'!O5*(1+PostalMarkup),2)</f>
        <v>5.47</v>
      </c>
      <c r="C12" s="300">
        <f>ROUND('USPS Base'!P5*(1+PostalMarkup),2)</f>
        <v>5.54</v>
      </c>
      <c r="D12" s="300">
        <f>ROUND('USPS Base'!Q5*(1+PostalMarkup),2)</f>
        <v>5.57</v>
      </c>
      <c r="E12" s="300">
        <f>ROUND('USPS Base'!R5*(1+PostalMarkup),2)</f>
        <v>5.72</v>
      </c>
      <c r="F12" s="300">
        <f>ROUND('USPS Base'!S5*(1+PostalMarkup),2)</f>
        <v>5.8</v>
      </c>
      <c r="G12" s="300">
        <f>ROUND('USPS Base'!T5*(1+PostalMarkup),2)</f>
        <v>5.95</v>
      </c>
      <c r="H12" s="300">
        <f>ROUND('USPS Base'!U5*(1+PostalMarkup),2)</f>
        <v>6.05</v>
      </c>
      <c r="I12" s="300">
        <f>ROUND('USPS Base'!V5*(1+PostalMarkup),2)</f>
        <v>6.31</v>
      </c>
      <c r="J12" s="300">
        <f>ROUND('USPS Base'!W5*(1+PostalMarkup),2)</f>
        <v>7.31</v>
      </c>
      <c r="K12" s="300">
        <f>ROUND('USPS Base'!X5*(1+PostalMarkup),2)</f>
        <v>7.31</v>
      </c>
      <c r="M12" s="301">
        <v>0.4</v>
      </c>
      <c r="N12" s="300">
        <f>ROUND('USPS Base'!O95*(1+PostalMarkup),2)</f>
        <v>7.73</v>
      </c>
      <c r="O12" s="300">
        <f>ROUND('USPS Base'!P95*(1+PostalMarkup),2)</f>
        <v>7.79</v>
      </c>
      <c r="P12" s="300">
        <f>ROUND('USPS Base'!Q95*(1+PostalMarkup),2)</f>
        <v>8.2100000000000009</v>
      </c>
      <c r="Q12" s="300">
        <f>ROUND('USPS Base'!R95*(1+PostalMarkup),2)</f>
        <v>9.1</v>
      </c>
      <c r="R12" s="300">
        <f>ROUND('USPS Base'!S95*(1+PostalMarkup),2)</f>
        <v>10.83</v>
      </c>
      <c r="S12" s="300">
        <f>ROUND('USPS Base'!T95*(1+PostalMarkup),2)</f>
        <v>13.09</v>
      </c>
      <c r="T12" s="300">
        <f>ROUND('USPS Base'!U95*(1+PostalMarkup),2)</f>
        <v>13.86</v>
      </c>
      <c r="U12" s="300">
        <f>ROUND('USPS Base'!V95*(1+PostalMarkup),2)</f>
        <v>15.59</v>
      </c>
      <c r="V12" s="300">
        <f>ROUND('USPS Base'!W95*(1+PostalMarkup),2)</f>
        <v>19.88</v>
      </c>
      <c r="W12" s="300">
        <f>ROUND('USPS Base'!X95*(1+PostalMarkup),2)</f>
        <v>19.88</v>
      </c>
    </row>
    <row r="13" spans="1:23" ht="12.75" customHeight="1">
      <c r="A13" s="299">
        <v>5</v>
      </c>
      <c r="B13" s="300">
        <f>ROUND('USPS Base'!O6*(1+PostalMarkup),2)</f>
        <v>5.9</v>
      </c>
      <c r="C13" s="300">
        <f>ROUND('USPS Base'!P6*(1+PostalMarkup),2)</f>
        <v>6.01</v>
      </c>
      <c r="D13" s="300">
        <f>ROUND('USPS Base'!Q6*(1+PostalMarkup),2)</f>
        <v>6.07</v>
      </c>
      <c r="E13" s="300">
        <f>ROUND('USPS Base'!R6*(1+PostalMarkup),2)</f>
        <v>6.16</v>
      </c>
      <c r="F13" s="300">
        <f>ROUND('USPS Base'!S6*(1+PostalMarkup),2)</f>
        <v>6.23</v>
      </c>
      <c r="G13" s="300">
        <f>ROUND('USPS Base'!T6*(1+PostalMarkup),2)</f>
        <v>6.31</v>
      </c>
      <c r="H13" s="300">
        <f>ROUND('USPS Base'!U6*(1+PostalMarkup),2)</f>
        <v>6.43</v>
      </c>
      <c r="I13" s="300">
        <f>ROUND('USPS Base'!V6*(1+PostalMarkup),2)</f>
        <v>6.6</v>
      </c>
      <c r="J13" s="300">
        <f>ROUND('USPS Base'!W6*(1+PostalMarkup),2)</f>
        <v>7.75</v>
      </c>
      <c r="K13" s="300">
        <f>ROUND('USPS Base'!X6*(1+PostalMarkup),2)</f>
        <v>7.75</v>
      </c>
      <c r="M13" s="301">
        <v>0.5</v>
      </c>
      <c r="N13" s="300">
        <f>ROUND('USPS Base'!O96*(1+PostalMarkup),2)</f>
        <v>7.97</v>
      </c>
      <c r="O13" s="300">
        <f>ROUND('USPS Base'!P96*(1+PostalMarkup),2)</f>
        <v>8.02</v>
      </c>
      <c r="P13" s="300">
        <f>ROUND('USPS Base'!Q96*(1+PostalMarkup),2)</f>
        <v>8.52</v>
      </c>
      <c r="Q13" s="300">
        <f>ROUND('USPS Base'!R96*(1+PostalMarkup),2)</f>
        <v>9.52</v>
      </c>
      <c r="R13" s="300">
        <f>ROUND('USPS Base'!S96*(1+PostalMarkup),2)</f>
        <v>11.47</v>
      </c>
      <c r="S13" s="300">
        <f>ROUND('USPS Base'!T96*(1+PostalMarkup),2)</f>
        <v>13.95</v>
      </c>
      <c r="T13" s="300">
        <f>ROUND('USPS Base'!U96*(1+PostalMarkup),2)</f>
        <v>14.85</v>
      </c>
      <c r="U13" s="300">
        <f>ROUND('USPS Base'!V96*(1+PostalMarkup),2)</f>
        <v>16.86</v>
      </c>
      <c r="V13" s="300">
        <f>ROUND('USPS Base'!W96*(1+PostalMarkup),2)</f>
        <v>21.74</v>
      </c>
      <c r="W13" s="300">
        <f>ROUND('USPS Base'!X96*(1+PostalMarkup),2)</f>
        <v>21.74</v>
      </c>
    </row>
    <row r="14" spans="1:23" ht="12.75" customHeight="1">
      <c r="A14" s="299">
        <v>6</v>
      </c>
      <c r="B14" s="300">
        <f>ROUND('USPS Base'!O7*(1+PostalMarkup),2)</f>
        <v>5.9</v>
      </c>
      <c r="C14" s="300">
        <f>ROUND('USPS Base'!P7*(1+PostalMarkup),2)</f>
        <v>6.01</v>
      </c>
      <c r="D14" s="300">
        <f>ROUND('USPS Base'!Q7*(1+PostalMarkup),2)</f>
        <v>6.07</v>
      </c>
      <c r="E14" s="300">
        <f>ROUND('USPS Base'!R7*(1+PostalMarkup),2)</f>
        <v>6.16</v>
      </c>
      <c r="F14" s="300">
        <f>ROUND('USPS Base'!S7*(1+PostalMarkup),2)</f>
        <v>6.23</v>
      </c>
      <c r="G14" s="300">
        <f>ROUND('USPS Base'!T7*(1+PostalMarkup),2)</f>
        <v>6.31</v>
      </c>
      <c r="H14" s="300">
        <f>ROUND('USPS Base'!U7*(1+PostalMarkup),2)</f>
        <v>6.43</v>
      </c>
      <c r="I14" s="300">
        <f>ROUND('USPS Base'!V7*(1+PostalMarkup),2)</f>
        <v>6.6</v>
      </c>
      <c r="J14" s="300">
        <f>ROUND('USPS Base'!W7*(1+PostalMarkup),2)</f>
        <v>7.75</v>
      </c>
      <c r="K14" s="300">
        <f>ROUND('USPS Base'!X7*(1+PostalMarkup),2)</f>
        <v>7.75</v>
      </c>
      <c r="M14" s="301">
        <v>0.6</v>
      </c>
      <c r="N14" s="300">
        <f>ROUND('USPS Base'!O97*(1+PostalMarkup),2)</f>
        <v>8.2200000000000006</v>
      </c>
      <c r="O14" s="300">
        <f>ROUND('USPS Base'!P97*(1+PostalMarkup),2)</f>
        <v>8.3000000000000007</v>
      </c>
      <c r="P14" s="300">
        <f>ROUND('USPS Base'!Q97*(1+PostalMarkup),2)</f>
        <v>8.84</v>
      </c>
      <c r="Q14" s="300">
        <f>ROUND('USPS Base'!R97*(1+PostalMarkup),2)</f>
        <v>9.98</v>
      </c>
      <c r="R14" s="300">
        <f>ROUND('USPS Base'!S97*(1+PostalMarkup),2)</f>
        <v>12.17</v>
      </c>
      <c r="S14" s="300">
        <f>ROUND('USPS Base'!T97*(1+PostalMarkup),2)</f>
        <v>14.9</v>
      </c>
      <c r="T14" s="300">
        <f>ROUND('USPS Base'!U97*(1+PostalMarkup),2)</f>
        <v>15.93</v>
      </c>
      <c r="U14" s="300">
        <f>ROUND('USPS Base'!V97*(1+PostalMarkup),2)</f>
        <v>18.22</v>
      </c>
      <c r="V14" s="300">
        <f>ROUND('USPS Base'!W97*(1+PostalMarkup),2)</f>
        <v>23.41</v>
      </c>
      <c r="W14" s="300">
        <f>ROUND('USPS Base'!X97*(1+PostalMarkup),2)</f>
        <v>23.41</v>
      </c>
    </row>
    <row r="15" spans="1:23" ht="12.75" customHeight="1">
      <c r="A15" s="299">
        <v>7</v>
      </c>
      <c r="B15" s="300">
        <f>ROUND('USPS Base'!O8*(1+PostalMarkup),2)</f>
        <v>5.9</v>
      </c>
      <c r="C15" s="300">
        <f>ROUND('USPS Base'!P8*(1+PostalMarkup),2)</f>
        <v>6.01</v>
      </c>
      <c r="D15" s="300">
        <f>ROUND('USPS Base'!Q8*(1+PostalMarkup),2)</f>
        <v>6.07</v>
      </c>
      <c r="E15" s="300">
        <f>ROUND('USPS Base'!R8*(1+PostalMarkup),2)</f>
        <v>6.16</v>
      </c>
      <c r="F15" s="300">
        <f>ROUND('USPS Base'!S8*(1+PostalMarkup),2)</f>
        <v>6.23</v>
      </c>
      <c r="G15" s="300">
        <f>ROUND('USPS Base'!T8*(1+PostalMarkup),2)</f>
        <v>6.31</v>
      </c>
      <c r="H15" s="300">
        <f>ROUND('USPS Base'!U8*(1+PostalMarkup),2)</f>
        <v>6.43</v>
      </c>
      <c r="I15" s="300">
        <f>ROUND('USPS Base'!V8*(1+PostalMarkup),2)</f>
        <v>6.6</v>
      </c>
      <c r="J15" s="300">
        <f>ROUND('USPS Base'!W8*(1+PostalMarkup),2)</f>
        <v>7.75</v>
      </c>
      <c r="K15" s="300">
        <f>ROUND('USPS Base'!X8*(1+PostalMarkup),2)</f>
        <v>7.75</v>
      </c>
      <c r="M15" s="301">
        <v>0.7</v>
      </c>
      <c r="N15" s="300">
        <f>ROUND('USPS Base'!O98*(1+PostalMarkup),2)</f>
        <v>8.43</v>
      </c>
      <c r="O15" s="300">
        <f>ROUND('USPS Base'!P98*(1+PostalMarkup),2)</f>
        <v>8.48</v>
      </c>
      <c r="P15" s="300">
        <f>ROUND('USPS Base'!Q98*(1+PostalMarkup),2)</f>
        <v>9.1</v>
      </c>
      <c r="Q15" s="300">
        <f>ROUND('USPS Base'!R98*(1+PostalMarkup),2)</f>
        <v>10.33</v>
      </c>
      <c r="R15" s="300">
        <f>ROUND('USPS Base'!S98*(1+PostalMarkup),2)</f>
        <v>12.71</v>
      </c>
      <c r="S15" s="300">
        <f>ROUND('USPS Base'!T98*(1+PostalMarkup),2)</f>
        <v>15.67</v>
      </c>
      <c r="T15" s="300">
        <f>ROUND('USPS Base'!U98*(1+PostalMarkup),2)</f>
        <v>16.8</v>
      </c>
      <c r="U15" s="300">
        <f>ROUND('USPS Base'!V98*(1+PostalMarkup),2)</f>
        <v>19.309999999999999</v>
      </c>
      <c r="V15" s="300">
        <f>ROUND('USPS Base'!W98*(1+PostalMarkup),2)</f>
        <v>24.81</v>
      </c>
      <c r="W15" s="300">
        <f>ROUND('USPS Base'!X98*(1+PostalMarkup),2)</f>
        <v>24.81</v>
      </c>
    </row>
    <row r="16" spans="1:23" ht="12.75" customHeight="1">
      <c r="A16" s="299">
        <v>8</v>
      </c>
      <c r="B16" s="300">
        <f>ROUND('USPS Base'!O9*(1+PostalMarkup),2)</f>
        <v>5.9</v>
      </c>
      <c r="C16" s="300">
        <f>ROUND('USPS Base'!P9*(1+PostalMarkup),2)</f>
        <v>6.01</v>
      </c>
      <c r="D16" s="300">
        <f>ROUND('USPS Base'!Q9*(1+PostalMarkup),2)</f>
        <v>6.07</v>
      </c>
      <c r="E16" s="300">
        <f>ROUND('USPS Base'!R9*(1+PostalMarkup),2)</f>
        <v>6.16</v>
      </c>
      <c r="F16" s="300">
        <f>ROUND('USPS Base'!S9*(1+PostalMarkup),2)</f>
        <v>6.23</v>
      </c>
      <c r="G16" s="300">
        <f>ROUND('USPS Base'!T9*(1+PostalMarkup),2)</f>
        <v>6.31</v>
      </c>
      <c r="H16" s="300">
        <f>ROUND('USPS Base'!U9*(1+PostalMarkup),2)</f>
        <v>6.43</v>
      </c>
      <c r="I16" s="300">
        <f>ROUND('USPS Base'!V9*(1+PostalMarkup),2)</f>
        <v>6.6</v>
      </c>
      <c r="J16" s="300">
        <f>ROUND('USPS Base'!W9*(1+PostalMarkup),2)</f>
        <v>7.75</v>
      </c>
      <c r="K16" s="300">
        <f>ROUND('USPS Base'!X9*(1+PostalMarkup),2)</f>
        <v>7.75</v>
      </c>
      <c r="M16" s="301">
        <v>0.8</v>
      </c>
      <c r="N16" s="300">
        <f>ROUND('USPS Base'!O99*(1+PostalMarkup),2)</f>
        <v>8.5299999999999994</v>
      </c>
      <c r="O16" s="300">
        <f>ROUND('USPS Base'!P99*(1+PostalMarkup),2)</f>
        <v>8.6</v>
      </c>
      <c r="P16" s="300">
        <f>ROUND('USPS Base'!Q99*(1+PostalMarkup),2)</f>
        <v>9.25</v>
      </c>
      <c r="Q16" s="300">
        <f>ROUND('USPS Base'!R99*(1+PostalMarkup),2)</f>
        <v>10.55</v>
      </c>
      <c r="R16" s="300">
        <f>ROUND('USPS Base'!S99*(1+PostalMarkup),2)</f>
        <v>13.04</v>
      </c>
      <c r="S16" s="300">
        <f>ROUND('USPS Base'!T99*(1+PostalMarkup),2)</f>
        <v>16.55</v>
      </c>
      <c r="T16" s="300">
        <f>ROUND('USPS Base'!U99*(1+PostalMarkup),2)</f>
        <v>17.600000000000001</v>
      </c>
      <c r="U16" s="300">
        <f>ROUND('USPS Base'!V99*(1+PostalMarkup),2)</f>
        <v>20.52</v>
      </c>
      <c r="V16" s="300">
        <f>ROUND('USPS Base'!W99*(1+PostalMarkup),2)</f>
        <v>26.12</v>
      </c>
      <c r="W16" s="300">
        <f>ROUND('USPS Base'!X99*(1+PostalMarkup),2)</f>
        <v>26.12</v>
      </c>
    </row>
    <row r="17" spans="1:23" ht="12.75" customHeight="1">
      <c r="A17" s="299">
        <v>9</v>
      </c>
      <c r="B17" s="300">
        <f>ROUND('USPS Base'!O10*(1+PostalMarkup),2)</f>
        <v>6.82</v>
      </c>
      <c r="C17" s="300">
        <f>ROUND('USPS Base'!P10*(1+PostalMarkup),2)</f>
        <v>6.95</v>
      </c>
      <c r="D17" s="300">
        <f>ROUND('USPS Base'!Q10*(1+PostalMarkup),2)</f>
        <v>7.03</v>
      </c>
      <c r="E17" s="300">
        <f>ROUND('USPS Base'!R10*(1+PostalMarkup),2)</f>
        <v>7.11</v>
      </c>
      <c r="F17" s="300">
        <f>ROUND('USPS Base'!S10*(1+PostalMarkup),2)</f>
        <v>7.25</v>
      </c>
      <c r="G17" s="300">
        <f>ROUND('USPS Base'!T10*(1+PostalMarkup),2)</f>
        <v>7.5</v>
      </c>
      <c r="H17" s="300">
        <f>ROUND('USPS Base'!U10*(1+PostalMarkup),2)</f>
        <v>7.67</v>
      </c>
      <c r="I17" s="300">
        <f>ROUND('USPS Base'!V10*(1+PostalMarkup),2)</f>
        <v>7.91</v>
      </c>
      <c r="J17" s="300">
        <f>ROUND('USPS Base'!W10*(1+PostalMarkup),2)</f>
        <v>8.1999999999999993</v>
      </c>
      <c r="K17" s="300">
        <f>ROUND('USPS Base'!X10*(1+PostalMarkup),2)</f>
        <v>8.1999999999999993</v>
      </c>
      <c r="M17" s="301">
        <v>0.9</v>
      </c>
      <c r="N17" s="300">
        <f>ROUND('USPS Base'!O100*(1+PostalMarkup),2)</f>
        <v>8.9499999999999993</v>
      </c>
      <c r="O17" s="300">
        <f>ROUND('USPS Base'!P100*(1+PostalMarkup),2)</f>
        <v>9.0299999999999994</v>
      </c>
      <c r="P17" s="300">
        <f>ROUND('USPS Base'!Q100*(1+PostalMarkup),2)</f>
        <v>9.7200000000000006</v>
      </c>
      <c r="Q17" s="300">
        <f>ROUND('USPS Base'!R100*(1+PostalMarkup),2)</f>
        <v>11.32</v>
      </c>
      <c r="R17" s="300">
        <f>ROUND('USPS Base'!S100*(1+PostalMarkup),2)</f>
        <v>13.92</v>
      </c>
      <c r="S17" s="300">
        <f>ROUND('USPS Base'!T100*(1+PostalMarkup),2)</f>
        <v>18.09</v>
      </c>
      <c r="T17" s="300">
        <f>ROUND('USPS Base'!U100*(1+PostalMarkup),2)</f>
        <v>19.27</v>
      </c>
      <c r="U17" s="300">
        <f>ROUND('USPS Base'!V100*(1+PostalMarkup),2)</f>
        <v>22.57</v>
      </c>
      <c r="V17" s="300">
        <f>ROUND('USPS Base'!W100*(1+PostalMarkup),2)</f>
        <v>27.47</v>
      </c>
      <c r="W17" s="300">
        <f>ROUND('USPS Base'!X100*(1+PostalMarkup),2)</f>
        <v>27.47</v>
      </c>
    </row>
    <row r="18" spans="1:23" ht="12.75" customHeight="1">
      <c r="A18" s="299">
        <v>10</v>
      </c>
      <c r="B18" s="300">
        <f>ROUND('USPS Base'!O11*(1+PostalMarkup),2)</f>
        <v>6.82</v>
      </c>
      <c r="C18" s="300">
        <f>ROUND('USPS Base'!P11*(1+PostalMarkup),2)</f>
        <v>6.95</v>
      </c>
      <c r="D18" s="300">
        <f>ROUND('USPS Base'!Q11*(1+PostalMarkup),2)</f>
        <v>7.03</v>
      </c>
      <c r="E18" s="300">
        <f>ROUND('USPS Base'!R11*(1+PostalMarkup),2)</f>
        <v>7.11</v>
      </c>
      <c r="F18" s="300">
        <f>ROUND('USPS Base'!S11*(1+PostalMarkup),2)</f>
        <v>7.25</v>
      </c>
      <c r="G18" s="300">
        <f>ROUND('USPS Base'!T11*(1+PostalMarkup),2)</f>
        <v>7.5</v>
      </c>
      <c r="H18" s="300">
        <f>ROUND('USPS Base'!U11*(1+PostalMarkup),2)</f>
        <v>7.67</v>
      </c>
      <c r="I18" s="300">
        <f>ROUND('USPS Base'!V11*(1+PostalMarkup),2)</f>
        <v>7.91</v>
      </c>
      <c r="J18" s="300">
        <f>ROUND('USPS Base'!W11*(1+PostalMarkup),2)</f>
        <v>8.1999999999999993</v>
      </c>
      <c r="K18" s="300">
        <f>ROUND('USPS Base'!X11*(1+PostalMarkup),2)</f>
        <v>8.1999999999999993</v>
      </c>
    </row>
    <row r="19" spans="1:23" ht="12.75" customHeight="1">
      <c r="A19" s="299">
        <v>11</v>
      </c>
      <c r="B19" s="300">
        <f>ROUND('USPS Base'!O12*(1+PostalMarkup),2)</f>
        <v>6.82</v>
      </c>
      <c r="C19" s="300">
        <f>ROUND('USPS Base'!P12*(1+PostalMarkup),2)</f>
        <v>6.95</v>
      </c>
      <c r="D19" s="300">
        <f>ROUND('USPS Base'!Q12*(1+PostalMarkup),2)</f>
        <v>7.03</v>
      </c>
      <c r="E19" s="300">
        <f>ROUND('USPS Base'!R12*(1+PostalMarkup),2)</f>
        <v>7.11</v>
      </c>
      <c r="F19" s="300">
        <f>ROUND('USPS Base'!S12*(1+PostalMarkup),2)</f>
        <v>7.25</v>
      </c>
      <c r="G19" s="300">
        <f>ROUND('USPS Base'!T12*(1+PostalMarkup),2)</f>
        <v>7.5</v>
      </c>
      <c r="H19" s="300">
        <f>ROUND('USPS Base'!U12*(1+PostalMarkup),2)</f>
        <v>7.67</v>
      </c>
      <c r="I19" s="300">
        <f>ROUND('USPS Base'!V12*(1+PostalMarkup),2)</f>
        <v>7.91</v>
      </c>
      <c r="J19" s="300">
        <f>ROUND('USPS Base'!W12*(1+PostalMarkup),2)</f>
        <v>8.1999999999999993</v>
      </c>
      <c r="K19" s="300">
        <f>ROUND('USPS Base'!X12*(1+PostalMarkup),2)</f>
        <v>8.1999999999999993</v>
      </c>
    </row>
    <row r="20" spans="1:23" ht="12.75" customHeight="1">
      <c r="A20" s="299">
        <v>12</v>
      </c>
      <c r="B20" s="300">
        <f>ROUND('USPS Base'!O13*(1+PostalMarkup),2)</f>
        <v>6.82</v>
      </c>
      <c r="C20" s="300">
        <f>ROUND('USPS Base'!P13*(1+PostalMarkup),2)</f>
        <v>6.95</v>
      </c>
      <c r="D20" s="300">
        <f>ROUND('USPS Base'!Q13*(1+PostalMarkup),2)</f>
        <v>7.03</v>
      </c>
      <c r="E20" s="300">
        <f>ROUND('USPS Base'!R13*(1+PostalMarkup),2)</f>
        <v>7.11</v>
      </c>
      <c r="F20" s="300">
        <f>ROUND('USPS Base'!S13*(1+PostalMarkup),2)</f>
        <v>7.25</v>
      </c>
      <c r="G20" s="300">
        <f>ROUND('USPS Base'!T13*(1+PostalMarkup),2)</f>
        <v>7.5</v>
      </c>
      <c r="H20" s="300">
        <f>ROUND('USPS Base'!U13*(1+PostalMarkup),2)</f>
        <v>7.67</v>
      </c>
      <c r="I20" s="300">
        <f>ROUND('USPS Base'!V13*(1+PostalMarkup),2)</f>
        <v>7.91</v>
      </c>
      <c r="J20" s="300">
        <f>ROUND('USPS Base'!W13*(1+PostalMarkup),2)</f>
        <v>8.1999999999999993</v>
      </c>
      <c r="K20" s="300">
        <f>ROUND('USPS Base'!X13*(1+PostalMarkup),2)</f>
        <v>8.1999999999999993</v>
      </c>
      <c r="M20" s="286" t="s">
        <v>130</v>
      </c>
      <c r="N20" s="287" t="s">
        <v>131</v>
      </c>
      <c r="O20" s="287"/>
      <c r="P20" s="287"/>
      <c r="Q20" s="287"/>
      <c r="R20" s="287"/>
      <c r="S20" s="287"/>
      <c r="T20" s="287"/>
      <c r="U20" s="287"/>
      <c r="V20" s="287"/>
      <c r="W20" s="288"/>
    </row>
    <row r="21" spans="1:23" ht="12.75" customHeight="1">
      <c r="A21" s="299">
        <v>13</v>
      </c>
      <c r="B21" s="300">
        <f>ROUND('USPS Base'!O14*(1+PostalMarkup),2)</f>
        <v>6.91</v>
      </c>
      <c r="C21" s="300">
        <f>ROUND('USPS Base'!P14*(1+PostalMarkup),2)</f>
        <v>7.03</v>
      </c>
      <c r="D21" s="300">
        <f>ROUND('USPS Base'!Q14*(1+PostalMarkup),2)</f>
        <v>7.13</v>
      </c>
      <c r="E21" s="300">
        <f>ROUND('USPS Base'!R14*(1+PostalMarkup),2)</f>
        <v>7.75</v>
      </c>
      <c r="F21" s="300">
        <f>ROUND('USPS Base'!S14*(1+PostalMarkup),2)</f>
        <v>8.42</v>
      </c>
      <c r="G21" s="300">
        <f>ROUND('USPS Base'!T14*(1+PostalMarkup),2)</f>
        <v>8.74</v>
      </c>
      <c r="H21" s="300">
        <f>ROUND('USPS Base'!U14*(1+PostalMarkup),2)</f>
        <v>8.9700000000000006</v>
      </c>
      <c r="I21" s="300">
        <f>ROUND('USPS Base'!V14*(1+PostalMarkup),2)</f>
        <v>9.34</v>
      </c>
      <c r="J21" s="300">
        <f>ROUND('USPS Base'!W14*(1+PostalMarkup),2)</f>
        <v>9.66</v>
      </c>
      <c r="K21" s="300">
        <f>ROUND('USPS Base'!X14*(1+PostalMarkup),2)</f>
        <v>9.66</v>
      </c>
      <c r="M21" s="286" t="s">
        <v>132</v>
      </c>
      <c r="N21" s="289">
        <v>12</v>
      </c>
    </row>
    <row r="22" spans="1:23" ht="12.75" customHeight="1">
      <c r="A22" s="299">
        <v>14</v>
      </c>
      <c r="B22" s="300">
        <f>ROUND('USPS Base'!O15*(1+PostalMarkup),2)</f>
        <v>6.91</v>
      </c>
      <c r="C22" s="300">
        <f>ROUND('USPS Base'!P15*(1+PostalMarkup),2)</f>
        <v>7.03</v>
      </c>
      <c r="D22" s="300">
        <f>ROUND('USPS Base'!Q15*(1+PostalMarkup),2)</f>
        <v>7.13</v>
      </c>
      <c r="E22" s="300">
        <f>ROUND('USPS Base'!R15*(1+PostalMarkup),2)</f>
        <v>7.75</v>
      </c>
      <c r="F22" s="300">
        <f>ROUND('USPS Base'!S15*(1+PostalMarkup),2)</f>
        <v>8.42</v>
      </c>
      <c r="G22" s="300">
        <f>ROUND('USPS Base'!T15*(1+PostalMarkup),2)</f>
        <v>8.74</v>
      </c>
      <c r="H22" s="300">
        <f>ROUND('USPS Base'!U15*(1+PostalMarkup),2)</f>
        <v>8.9700000000000006</v>
      </c>
      <c r="I22" s="300">
        <f>ROUND('USPS Base'!V15*(1+PostalMarkup),2)</f>
        <v>9.34</v>
      </c>
      <c r="J22" s="300">
        <f>ROUND('USPS Base'!W15*(1+PostalMarkup),2)</f>
        <v>9.66</v>
      </c>
      <c r="K22" s="300">
        <f>ROUND('USPS Base'!X15*(1+PostalMarkup),2)</f>
        <v>9.66</v>
      </c>
      <c r="M22" s="286" t="s">
        <v>133</v>
      </c>
      <c r="N22" s="289">
        <v>12</v>
      </c>
    </row>
    <row r="23" spans="1:23" ht="12.75" customHeight="1">
      <c r="A23" s="299">
        <v>15</v>
      </c>
      <c r="B23" s="300">
        <f>ROUND('USPS Base'!O16*(1+PostalMarkup),2)</f>
        <v>6.91</v>
      </c>
      <c r="C23" s="300">
        <f>ROUND('USPS Base'!P16*(1+PostalMarkup),2)</f>
        <v>7.03</v>
      </c>
      <c r="D23" s="300">
        <f>ROUND('USPS Base'!Q16*(1+PostalMarkup),2)</f>
        <v>7.13</v>
      </c>
      <c r="E23" s="300">
        <f>ROUND('USPS Base'!R16*(1+PostalMarkup),2)</f>
        <v>7.75</v>
      </c>
      <c r="F23" s="300">
        <f>ROUND('USPS Base'!S16*(1+PostalMarkup),2)</f>
        <v>8.42</v>
      </c>
      <c r="G23" s="300">
        <f>ROUND('USPS Base'!T16*(1+PostalMarkup),2)</f>
        <v>8.74</v>
      </c>
      <c r="H23" s="300">
        <f>ROUND('USPS Base'!U16*(1+PostalMarkup),2)</f>
        <v>8.9700000000000006</v>
      </c>
      <c r="I23" s="300">
        <f>ROUND('USPS Base'!V16*(1+PostalMarkup),2)</f>
        <v>9.34</v>
      </c>
      <c r="J23" s="300">
        <f>ROUND('USPS Base'!W16*(1+PostalMarkup),2)</f>
        <v>9.66</v>
      </c>
      <c r="K23" s="300">
        <f>ROUND('USPS Base'!X16*(1+PostalMarkup),2)</f>
        <v>9.66</v>
      </c>
      <c r="M23" s="290" t="s">
        <v>134</v>
      </c>
      <c r="N23" s="291">
        <v>6</v>
      </c>
    </row>
    <row r="24" spans="1:23" ht="12.75" customHeight="1">
      <c r="A24" s="302">
        <v>15.999000000000001</v>
      </c>
      <c r="B24" s="300">
        <f>ROUND('USPS Base'!O17*(1+PostalMarkup),2)</f>
        <v>6.91</v>
      </c>
      <c r="C24" s="300">
        <f>ROUND('USPS Base'!P17*(1+PostalMarkup),2)</f>
        <v>7.03</v>
      </c>
      <c r="D24" s="300">
        <f>ROUND('USPS Base'!Q17*(1+PostalMarkup),2)</f>
        <v>7.13</v>
      </c>
      <c r="E24" s="300">
        <f>ROUND('USPS Base'!R17*(1+PostalMarkup),2)</f>
        <v>7.75</v>
      </c>
      <c r="F24" s="300">
        <f>ROUND('USPS Base'!S17*(1+PostalMarkup),2)</f>
        <v>8.42</v>
      </c>
      <c r="G24" s="300">
        <f>ROUND('USPS Base'!T17*(1+PostalMarkup),2)</f>
        <v>8.74</v>
      </c>
      <c r="H24" s="300">
        <f>ROUND('USPS Base'!U17*(1+PostalMarkup),2)</f>
        <v>8.9700000000000006</v>
      </c>
      <c r="I24" s="300">
        <f>ROUND('USPS Base'!V17*(1+PostalMarkup),2)</f>
        <v>9.34</v>
      </c>
      <c r="J24" s="300">
        <f>ROUND('USPS Base'!W17*(1+PostalMarkup),2)</f>
        <v>9.66</v>
      </c>
      <c r="K24" s="300">
        <f>ROUND('USPS Base'!X17*(1+PostalMarkup),2)</f>
        <v>9.66</v>
      </c>
      <c r="M24" s="292" t="s">
        <v>135</v>
      </c>
      <c r="N24" s="293">
        <f>ROUNDUP((ROUND(N21,0)*ROUND(N22,0)*ROUND(N23,0))/1728,1)</f>
        <v>0.5</v>
      </c>
    </row>
    <row r="25" spans="1:23" ht="12.75" customHeight="1">
      <c r="A25" s="299" t="s">
        <v>88</v>
      </c>
      <c r="B25" s="300">
        <f>ROUND('USPS Base'!O18*(1+PostalMarkup),2)</f>
        <v>6.91</v>
      </c>
      <c r="C25" s="300">
        <f>ROUND('USPS Base'!P18*(1+PostalMarkup),2)</f>
        <v>7.03</v>
      </c>
      <c r="D25" s="300">
        <f>ROUND('USPS Base'!Q18*(1+PostalMarkup),2)</f>
        <v>7.13</v>
      </c>
      <c r="E25" s="300">
        <f>ROUND('USPS Base'!R18*(1+PostalMarkup),2)</f>
        <v>7.75</v>
      </c>
      <c r="F25" s="300">
        <f>ROUND('USPS Base'!S18*(1+PostalMarkup),2)</f>
        <v>8.42</v>
      </c>
      <c r="G25" s="300">
        <f>ROUND('USPS Base'!T18*(1+PostalMarkup),2)</f>
        <v>9.6</v>
      </c>
      <c r="H25" s="300">
        <f>ROUND('USPS Base'!U18*(1+PostalMarkup),2)</f>
        <v>9.91</v>
      </c>
      <c r="I25" s="300">
        <f>ROUND('USPS Base'!V18*(1+PostalMarkup),2)</f>
        <v>10.75</v>
      </c>
      <c r="J25" s="300">
        <f>ROUND('USPS Base'!W18*(1+PostalMarkup),2)</f>
        <v>12.27</v>
      </c>
      <c r="K25" s="300">
        <f>ROUND('USPS Base'!X18*(1+PostalMarkup),2)</f>
        <v>12.27</v>
      </c>
      <c r="M25" s="292" t="s">
        <v>136</v>
      </c>
      <c r="N25" s="294"/>
      <c r="O25" s="294"/>
      <c r="P25" s="294"/>
      <c r="Q25" s="294"/>
      <c r="R25" s="294"/>
      <c r="S25" s="294"/>
      <c r="T25" s="294"/>
      <c r="U25" s="294"/>
      <c r="V25" s="294"/>
      <c r="W25" s="293"/>
    </row>
    <row r="26" spans="1:23" ht="12.75" customHeight="1">
      <c r="A26" s="299">
        <v>2</v>
      </c>
      <c r="B26" s="300">
        <f>ROUND('USPS Base'!O19*(1+PostalMarkup),2)</f>
        <v>6.91</v>
      </c>
      <c r="C26" s="300">
        <f>ROUND('USPS Base'!P19*(1+PostalMarkup),2)</f>
        <v>7.03</v>
      </c>
      <c r="D26" s="300">
        <f>ROUND('USPS Base'!Q19*(1+PostalMarkup),2)</f>
        <v>7.13</v>
      </c>
      <c r="E26" s="300">
        <f>ROUND('USPS Base'!R19*(1+PostalMarkup),2)</f>
        <v>7.75</v>
      </c>
      <c r="F26" s="300">
        <f>ROUND('USPS Base'!S19*(1+PostalMarkup),2)</f>
        <v>8.42</v>
      </c>
      <c r="G26" s="300">
        <f>ROUND('USPS Base'!T19*(1+PostalMarkup),2)</f>
        <v>9.83</v>
      </c>
      <c r="H26" s="300">
        <f>ROUND('USPS Base'!U19*(1+PostalMarkup),2)</f>
        <v>10.29</v>
      </c>
      <c r="I26" s="300">
        <f>ROUND('USPS Base'!V19*(1+PostalMarkup),2)</f>
        <v>11.45</v>
      </c>
      <c r="J26" s="300">
        <f>ROUND('USPS Base'!W19*(1+PostalMarkup),2)</f>
        <v>14.8</v>
      </c>
      <c r="K26" s="300">
        <f>ROUND('USPS Base'!X19*(1+PostalMarkup),2)</f>
        <v>14.8</v>
      </c>
      <c r="M26" s="290" t="s">
        <v>137</v>
      </c>
      <c r="N26" s="295"/>
      <c r="O26" s="295"/>
      <c r="P26" s="295"/>
      <c r="Q26" s="295"/>
      <c r="R26" s="295"/>
      <c r="S26" s="295"/>
      <c r="T26" s="295"/>
      <c r="U26" s="295"/>
      <c r="V26" s="295"/>
      <c r="W26" s="296"/>
    </row>
    <row r="27" spans="1:23" ht="12.75" customHeight="1">
      <c r="A27" s="299">
        <v>3</v>
      </c>
      <c r="B27" s="300">
        <f>ROUND('USPS Base'!O20*(1+PostalMarkup),2)</f>
        <v>7.49</v>
      </c>
      <c r="C27" s="300">
        <f>ROUND('USPS Base'!P20*(1+PostalMarkup),2)</f>
        <v>7.49</v>
      </c>
      <c r="D27" s="300">
        <f>ROUND('USPS Base'!Q20*(1+PostalMarkup),2)</f>
        <v>7.87</v>
      </c>
      <c r="E27" s="300">
        <f>ROUND('USPS Base'!R20*(1+PostalMarkup),2)</f>
        <v>8.42</v>
      </c>
      <c r="F27" s="300">
        <f>ROUND('USPS Base'!S20*(1+PostalMarkup),2)</f>
        <v>9.92</v>
      </c>
      <c r="G27" s="300">
        <f>ROUND('USPS Base'!T20*(1+PostalMarkup),2)</f>
        <v>11.87</v>
      </c>
      <c r="H27" s="300">
        <f>ROUND('USPS Base'!U20*(1+PostalMarkup),2)</f>
        <v>12.51</v>
      </c>
      <c r="I27" s="300">
        <f>ROUND('USPS Base'!V20*(1+PostalMarkup),2)</f>
        <v>13.95</v>
      </c>
      <c r="J27" s="300">
        <f>ROUND('USPS Base'!W20*(1+PostalMarkup),2)</f>
        <v>18.11</v>
      </c>
      <c r="K27" s="300">
        <f>ROUND('USPS Base'!X20*(1+PostalMarkup),2)</f>
        <v>18.11</v>
      </c>
    </row>
    <row r="28" spans="1:23" ht="12.75" customHeight="1">
      <c r="A28" s="299">
        <v>4</v>
      </c>
      <c r="B28" s="300">
        <f>ROUND('USPS Base'!O21*(1+PostalMarkup),2)</f>
        <v>7.85</v>
      </c>
      <c r="C28" s="300">
        <f>ROUND('USPS Base'!P21*(1+PostalMarkup),2)</f>
        <v>7.9</v>
      </c>
      <c r="D28" s="300">
        <f>ROUND('USPS Base'!Q21*(1+PostalMarkup),2)</f>
        <v>8.36</v>
      </c>
      <c r="E28" s="300">
        <f>ROUND('USPS Base'!R21*(1+PostalMarkup),2)</f>
        <v>9.3000000000000007</v>
      </c>
      <c r="F28" s="300">
        <f>ROUND('USPS Base'!S21*(1+PostalMarkup),2)</f>
        <v>11.12</v>
      </c>
      <c r="G28" s="300">
        <f>ROUND('USPS Base'!T21*(1+PostalMarkup),2)</f>
        <v>13.49</v>
      </c>
      <c r="H28" s="300">
        <f>ROUND('USPS Base'!U21*(1+PostalMarkup),2)</f>
        <v>14.32</v>
      </c>
      <c r="I28" s="300">
        <f>ROUND('USPS Base'!V21*(1+PostalMarkup),2)</f>
        <v>16.18</v>
      </c>
      <c r="J28" s="300">
        <f>ROUND('USPS Base'!W21*(1+PostalMarkup),2)</f>
        <v>20.71</v>
      </c>
      <c r="K28" s="300">
        <f>ROUND('USPS Base'!X21*(1+PostalMarkup),2)</f>
        <v>20.71</v>
      </c>
    </row>
    <row r="29" spans="1:23" ht="12.75" customHeight="1">
      <c r="A29" s="299">
        <v>5</v>
      </c>
      <c r="B29" s="300">
        <f>ROUND('USPS Base'!O22*(1+PostalMarkup),2)</f>
        <v>8.02</v>
      </c>
      <c r="C29" s="300">
        <f>ROUND('USPS Base'!P22*(1+PostalMarkup),2)</f>
        <v>8.07</v>
      </c>
      <c r="D29" s="300">
        <f>ROUND('USPS Base'!Q22*(1+PostalMarkup),2)</f>
        <v>8.59</v>
      </c>
      <c r="E29" s="300">
        <f>ROUND('USPS Base'!R22*(1+PostalMarkup),2)</f>
        <v>9.61</v>
      </c>
      <c r="F29" s="300">
        <f>ROUND('USPS Base'!S22*(1+PostalMarkup),2)</f>
        <v>11.62</v>
      </c>
      <c r="G29" s="300">
        <f>ROUND('USPS Base'!T22*(1+PostalMarkup),2)</f>
        <v>14.15</v>
      </c>
      <c r="H29" s="300">
        <f>ROUND('USPS Base'!U22*(1+PostalMarkup),2)</f>
        <v>15.05</v>
      </c>
      <c r="I29" s="300">
        <f>ROUND('USPS Base'!V22*(1+PostalMarkup),2)</f>
        <v>17.12</v>
      </c>
      <c r="J29" s="300">
        <f>ROUND('USPS Base'!W22*(1+PostalMarkup),2)</f>
        <v>22.07</v>
      </c>
      <c r="K29" s="300">
        <f>ROUND('USPS Base'!X22*(1+PostalMarkup),2)</f>
        <v>22.07</v>
      </c>
    </row>
    <row r="30" spans="1:23" ht="12.75" customHeight="1">
      <c r="A30" s="299">
        <v>6</v>
      </c>
      <c r="B30" s="300">
        <f>ROUND('USPS Base'!O23*(1+PostalMarkup),2)</f>
        <v>8.3000000000000007</v>
      </c>
      <c r="C30" s="300">
        <f>ROUND('USPS Base'!P23*(1+PostalMarkup),2)</f>
        <v>8.36</v>
      </c>
      <c r="D30" s="300">
        <f>ROUND('USPS Base'!Q23*(1+PostalMarkup),2)</f>
        <v>8.94</v>
      </c>
      <c r="E30" s="300">
        <f>ROUND('USPS Base'!R23*(1+PostalMarkup),2)</f>
        <v>10.09</v>
      </c>
      <c r="F30" s="300">
        <f>ROUND('USPS Base'!S23*(1+PostalMarkup),2)</f>
        <v>12.34</v>
      </c>
      <c r="G30" s="300">
        <f>ROUND('USPS Base'!T23*(1+PostalMarkup),2)</f>
        <v>15.15</v>
      </c>
      <c r="H30" s="300">
        <f>ROUND('USPS Base'!U23*(1+PostalMarkup),2)</f>
        <v>16.190000000000001</v>
      </c>
      <c r="I30" s="300">
        <f>ROUND('USPS Base'!V23*(1+PostalMarkup),2)</f>
        <v>18.55</v>
      </c>
      <c r="J30" s="300">
        <f>ROUND('USPS Base'!W23*(1+PostalMarkup),2)</f>
        <v>23.78</v>
      </c>
      <c r="K30" s="300">
        <f>ROUND('USPS Base'!X23*(1+PostalMarkup),2)</f>
        <v>23.78</v>
      </c>
    </row>
    <row r="31" spans="1:23" ht="12.75" customHeight="1">
      <c r="A31" s="299">
        <v>7</v>
      </c>
      <c r="B31" s="300">
        <f>ROUND('USPS Base'!O24*(1+PostalMarkup),2)</f>
        <v>8.44</v>
      </c>
      <c r="C31" s="300">
        <f>ROUND('USPS Base'!P24*(1+PostalMarkup),2)</f>
        <v>8.5</v>
      </c>
      <c r="D31" s="300">
        <f>ROUND('USPS Base'!Q24*(1+PostalMarkup),2)</f>
        <v>9.11</v>
      </c>
      <c r="E31" s="300">
        <f>ROUND('USPS Base'!R24*(1+PostalMarkup),2)</f>
        <v>10.34</v>
      </c>
      <c r="F31" s="300">
        <f>ROUND('USPS Base'!S24*(1+PostalMarkup),2)</f>
        <v>12.75</v>
      </c>
      <c r="G31" s="300">
        <f>ROUND('USPS Base'!T24*(1+PostalMarkup),2)</f>
        <v>15.71</v>
      </c>
      <c r="H31" s="300">
        <f>ROUND('USPS Base'!U24*(1+PostalMarkup),2)</f>
        <v>16.84</v>
      </c>
      <c r="I31" s="300">
        <f>ROUND('USPS Base'!V24*(1+PostalMarkup),2)</f>
        <v>19.34</v>
      </c>
      <c r="J31" s="300">
        <f>ROUND('USPS Base'!W24*(1+PostalMarkup),2)</f>
        <v>25.1</v>
      </c>
      <c r="K31" s="300">
        <f>ROUND('USPS Base'!X24*(1+PostalMarkup),2)</f>
        <v>25.1</v>
      </c>
    </row>
    <row r="32" spans="1:23" ht="12.75" customHeight="1">
      <c r="A32" s="299">
        <v>8</v>
      </c>
      <c r="B32" s="300">
        <f>ROUND('USPS Base'!O25*(1+PostalMarkup),2)</f>
        <v>8.57</v>
      </c>
      <c r="C32" s="300">
        <f>ROUND('USPS Base'!P25*(1+PostalMarkup),2)</f>
        <v>8.6300000000000008</v>
      </c>
      <c r="D32" s="300">
        <f>ROUND('USPS Base'!Q25*(1+PostalMarkup),2)</f>
        <v>9.27</v>
      </c>
      <c r="E32" s="300">
        <f>ROUND('USPS Base'!R25*(1+PostalMarkup),2)</f>
        <v>10.55</v>
      </c>
      <c r="F32" s="300">
        <f>ROUND('USPS Base'!S25*(1+PostalMarkup),2)</f>
        <v>13.11</v>
      </c>
      <c r="G32" s="300">
        <f>ROUND('USPS Base'!T25*(1+PostalMarkup),2)</f>
        <v>16.18</v>
      </c>
      <c r="H32" s="300">
        <f>ROUND('USPS Base'!U25*(1+PostalMarkup),2)</f>
        <v>17.39</v>
      </c>
      <c r="I32" s="300">
        <f>ROUND('USPS Base'!V25*(1+PostalMarkup),2)</f>
        <v>20.02</v>
      </c>
      <c r="J32" s="300">
        <f>ROUND('USPS Base'!W25*(1+PostalMarkup),2)</f>
        <v>26.34</v>
      </c>
      <c r="K32" s="300">
        <f>ROUND('USPS Base'!X25*(1+PostalMarkup),2)</f>
        <v>26.34</v>
      </c>
    </row>
    <row r="33" spans="1:11" ht="12.75" customHeight="1">
      <c r="A33" s="299">
        <v>9</v>
      </c>
      <c r="B33" s="300">
        <f>ROUND('USPS Base'!O26*(1+PostalMarkup),2)</f>
        <v>8.74</v>
      </c>
      <c r="C33" s="300">
        <f>ROUND('USPS Base'!P26*(1+PostalMarkup),2)</f>
        <v>8.8000000000000007</v>
      </c>
      <c r="D33" s="300">
        <f>ROUND('USPS Base'!Q26*(1+PostalMarkup),2)</f>
        <v>9.4600000000000009</v>
      </c>
      <c r="E33" s="300">
        <f>ROUND('USPS Base'!R26*(1+PostalMarkup),2)</f>
        <v>10.81</v>
      </c>
      <c r="F33" s="300">
        <f>ROUND('USPS Base'!S26*(1+PostalMarkup),2)</f>
        <v>13.55</v>
      </c>
      <c r="G33" s="300">
        <f>ROUND('USPS Base'!T26*(1+PostalMarkup),2)</f>
        <v>16.77</v>
      </c>
      <c r="H33" s="300">
        <f>ROUND('USPS Base'!U26*(1+PostalMarkup),2)</f>
        <v>18.079999999999998</v>
      </c>
      <c r="I33" s="300">
        <f>ROUND('USPS Base'!V26*(1+PostalMarkup),2)</f>
        <v>20.88</v>
      </c>
      <c r="J33" s="300">
        <f>ROUND('USPS Base'!W26*(1+PostalMarkup),2)</f>
        <v>27.7</v>
      </c>
      <c r="K33" s="300">
        <f>ROUND('USPS Base'!X26*(1+PostalMarkup),2)</f>
        <v>27.7</v>
      </c>
    </row>
    <row r="34" spans="1:11" ht="12.75" customHeight="1">
      <c r="A34" s="299">
        <v>10</v>
      </c>
      <c r="B34" s="300">
        <f>ROUND('USPS Base'!O27*(1+PostalMarkup),2)</f>
        <v>8.94</v>
      </c>
      <c r="C34" s="300">
        <f>ROUND('USPS Base'!P27*(1+PostalMarkup),2)</f>
        <v>9</v>
      </c>
      <c r="D34" s="300">
        <f>ROUND('USPS Base'!Q27*(1+PostalMarkup),2)</f>
        <v>9.69</v>
      </c>
      <c r="E34" s="300">
        <f>ROUND('USPS Base'!R27*(1+PostalMarkup),2)</f>
        <v>11.11</v>
      </c>
      <c r="F34" s="300">
        <f>ROUND('USPS Base'!S27*(1+PostalMarkup),2)</f>
        <v>14.01</v>
      </c>
      <c r="G34" s="300">
        <f>ROUND('USPS Base'!T27*(1+PostalMarkup),2)</f>
        <v>17.39</v>
      </c>
      <c r="H34" s="300">
        <f>ROUND('USPS Base'!U27*(1+PostalMarkup),2)</f>
        <v>18.8</v>
      </c>
      <c r="I34" s="300">
        <f>ROUND('USPS Base'!V27*(1+PostalMarkup),2)</f>
        <v>21.79</v>
      </c>
      <c r="J34" s="300">
        <f>ROUND('USPS Base'!W27*(1+PostalMarkup),2)</f>
        <v>29.14</v>
      </c>
      <c r="K34" s="300">
        <f>ROUND('USPS Base'!X27*(1+PostalMarkup),2)</f>
        <v>29.14</v>
      </c>
    </row>
    <row r="35" spans="1:11" ht="12.75" customHeight="1">
      <c r="A35" s="299">
        <v>11</v>
      </c>
      <c r="B35" s="300">
        <f>ROUND('USPS Base'!O28*(1+PostalMarkup),2)</f>
        <v>9.4600000000000009</v>
      </c>
      <c r="C35" s="300">
        <f>ROUND('USPS Base'!P28*(1+PostalMarkup),2)</f>
        <v>9.5299999999999994</v>
      </c>
      <c r="D35" s="300">
        <f>ROUND('USPS Base'!Q28*(1+PostalMarkup),2)</f>
        <v>10.24</v>
      </c>
      <c r="E35" s="300">
        <f>ROUND('USPS Base'!R28*(1+PostalMarkup),2)</f>
        <v>11.73</v>
      </c>
      <c r="F35" s="300">
        <f>ROUND('USPS Base'!S28*(1+PostalMarkup),2)</f>
        <v>14.74</v>
      </c>
      <c r="G35" s="300">
        <f>ROUND('USPS Base'!T28*(1+PostalMarkup),2)</f>
        <v>18.25</v>
      </c>
      <c r="H35" s="300">
        <f>ROUND('USPS Base'!U28*(1+PostalMarkup),2)</f>
        <v>19.809999999999999</v>
      </c>
      <c r="I35" s="300">
        <f>ROUND('USPS Base'!V28*(1+PostalMarkup),2)</f>
        <v>23.05</v>
      </c>
      <c r="J35" s="300">
        <f>ROUND('USPS Base'!W28*(1+PostalMarkup),2)</f>
        <v>31.48</v>
      </c>
      <c r="K35" s="300">
        <f>ROUND('USPS Base'!X28*(1+PostalMarkup),2)</f>
        <v>31.48</v>
      </c>
    </row>
    <row r="36" spans="1:11" ht="12.75" customHeight="1">
      <c r="A36" s="299">
        <v>12</v>
      </c>
      <c r="B36" s="300">
        <f>ROUND('USPS Base'!O29*(1+PostalMarkup),2)</f>
        <v>9.7100000000000009</v>
      </c>
      <c r="C36" s="300">
        <f>ROUND('USPS Base'!P29*(1+PostalMarkup),2)</f>
        <v>9.7799999999999994</v>
      </c>
      <c r="D36" s="300">
        <f>ROUND('USPS Base'!Q29*(1+PostalMarkup),2)</f>
        <v>10.52</v>
      </c>
      <c r="E36" s="300">
        <f>ROUND('USPS Base'!R29*(1+PostalMarkup),2)</f>
        <v>12.09</v>
      </c>
      <c r="F36" s="300">
        <f>ROUND('USPS Base'!S29*(1+PostalMarkup),2)</f>
        <v>15.27</v>
      </c>
      <c r="G36" s="300">
        <f>ROUND('USPS Base'!T29*(1+PostalMarkup),2)</f>
        <v>18.989999999999998</v>
      </c>
      <c r="H36" s="300">
        <f>ROUND('USPS Base'!U29*(1+PostalMarkup),2)</f>
        <v>20.63</v>
      </c>
      <c r="I36" s="300">
        <f>ROUND('USPS Base'!V29*(1+PostalMarkup),2)</f>
        <v>24.06</v>
      </c>
      <c r="J36" s="300">
        <f>ROUND('USPS Base'!W29*(1+PostalMarkup),2)</f>
        <v>33.04</v>
      </c>
      <c r="K36" s="300">
        <f>ROUND('USPS Base'!X29*(1+PostalMarkup),2)</f>
        <v>33.04</v>
      </c>
    </row>
    <row r="37" spans="1:11" ht="12.75" customHeight="1">
      <c r="A37" s="299">
        <v>13</v>
      </c>
      <c r="B37" s="300">
        <f>ROUND('USPS Base'!O30*(1+PostalMarkup),2)</f>
        <v>9.94</v>
      </c>
      <c r="C37" s="300">
        <f>ROUND('USPS Base'!P30*(1+PostalMarkup),2)</f>
        <v>10.029999999999999</v>
      </c>
      <c r="D37" s="300">
        <f>ROUND('USPS Base'!Q30*(1+PostalMarkup),2)</f>
        <v>10.8</v>
      </c>
      <c r="E37" s="300">
        <f>ROUND('USPS Base'!R30*(1+PostalMarkup),2)</f>
        <v>12.44</v>
      </c>
      <c r="F37" s="300">
        <f>ROUND('USPS Base'!S30*(1+PostalMarkup),2)</f>
        <v>15.81</v>
      </c>
      <c r="G37" s="300">
        <f>ROUND('USPS Base'!T30*(1+PostalMarkup),2)</f>
        <v>19.73</v>
      </c>
      <c r="H37" s="300">
        <f>ROUND('USPS Base'!U30*(1+PostalMarkup),2)</f>
        <v>21.48</v>
      </c>
      <c r="I37" s="300">
        <f>ROUND('USPS Base'!V30*(1+PostalMarkup),2)</f>
        <v>25.1</v>
      </c>
      <c r="J37" s="300">
        <f>ROUND('USPS Base'!W30*(1+PostalMarkup),2)</f>
        <v>34.630000000000003</v>
      </c>
      <c r="K37" s="300">
        <f>ROUND('USPS Base'!X30*(1+PostalMarkup),2)</f>
        <v>34.630000000000003</v>
      </c>
    </row>
    <row r="38" spans="1:11" ht="12.75" customHeight="1">
      <c r="A38" s="299">
        <v>14</v>
      </c>
      <c r="B38" s="300">
        <f>ROUND('USPS Base'!O31*(1+PostalMarkup),2)</f>
        <v>10.18</v>
      </c>
      <c r="C38" s="300">
        <f>ROUND('USPS Base'!P31*(1+PostalMarkup),2)</f>
        <v>10.28</v>
      </c>
      <c r="D38" s="300">
        <f>ROUND('USPS Base'!Q31*(1+PostalMarkup),2)</f>
        <v>11.06</v>
      </c>
      <c r="E38" s="300">
        <f>ROUND('USPS Base'!R31*(1+PostalMarkup),2)</f>
        <v>12.81</v>
      </c>
      <c r="F38" s="300">
        <f>ROUND('USPS Base'!S31*(1+PostalMarkup),2)</f>
        <v>16.38</v>
      </c>
      <c r="G38" s="300">
        <f>ROUND('USPS Base'!T31*(1+PostalMarkup),2)</f>
        <v>20.48</v>
      </c>
      <c r="H38" s="300">
        <f>ROUND('USPS Base'!U31*(1+PostalMarkup),2)</f>
        <v>22.33</v>
      </c>
      <c r="I38" s="300">
        <f>ROUND('USPS Base'!V31*(1+PostalMarkup),2)</f>
        <v>26.19</v>
      </c>
      <c r="J38" s="300">
        <f>ROUND('USPS Base'!W31*(1+PostalMarkup),2)</f>
        <v>36.26</v>
      </c>
      <c r="K38" s="300">
        <f>ROUND('USPS Base'!X31*(1+PostalMarkup),2)</f>
        <v>36.26</v>
      </c>
    </row>
    <row r="39" spans="1:11" ht="12.75" customHeight="1">
      <c r="A39" s="299">
        <v>15</v>
      </c>
      <c r="B39" s="300">
        <f>ROUND('USPS Base'!O32*(1+PostalMarkup),2)</f>
        <v>10.4</v>
      </c>
      <c r="C39" s="300">
        <f>ROUND('USPS Base'!P32*(1+PostalMarkup),2)</f>
        <v>10.5</v>
      </c>
      <c r="D39" s="300">
        <f>ROUND('USPS Base'!Q32*(1+PostalMarkup),2)</f>
        <v>11.33</v>
      </c>
      <c r="E39" s="300">
        <f>ROUND('USPS Base'!R32*(1+PostalMarkup),2)</f>
        <v>13.16</v>
      </c>
      <c r="F39" s="300">
        <f>ROUND('USPS Base'!S32*(1+PostalMarkup),2)</f>
        <v>16.920000000000002</v>
      </c>
      <c r="G39" s="300">
        <f>ROUND('USPS Base'!T32*(1+PostalMarkup),2)</f>
        <v>21.26</v>
      </c>
      <c r="H39" s="300">
        <f>ROUND('USPS Base'!U32*(1+PostalMarkup),2)</f>
        <v>23.21</v>
      </c>
      <c r="I39" s="300">
        <f>ROUND('USPS Base'!V32*(1+PostalMarkup),2)</f>
        <v>27.27</v>
      </c>
      <c r="J39" s="300">
        <f>ROUND('USPS Base'!W32*(1+PostalMarkup),2)</f>
        <v>37.85</v>
      </c>
      <c r="K39" s="300">
        <f>ROUND('USPS Base'!X32*(1+PostalMarkup),2)</f>
        <v>37.85</v>
      </c>
    </row>
    <row r="40" spans="1:11" ht="12.75" customHeight="1">
      <c r="A40" s="299">
        <v>16</v>
      </c>
      <c r="B40" s="300">
        <f>ROUND('USPS Base'!O33*(1+PostalMarkup),2)</f>
        <v>10.61</v>
      </c>
      <c r="C40" s="300">
        <f>ROUND('USPS Base'!P33*(1+PostalMarkup),2)</f>
        <v>10.73</v>
      </c>
      <c r="D40" s="300">
        <f>ROUND('USPS Base'!Q33*(1+PostalMarkup),2)</f>
        <v>11.58</v>
      </c>
      <c r="E40" s="300">
        <f>ROUND('USPS Base'!R33*(1+PostalMarkup),2)</f>
        <v>13.5</v>
      </c>
      <c r="F40" s="300">
        <f>ROUND('USPS Base'!S33*(1+PostalMarkup),2)</f>
        <v>17.489999999999998</v>
      </c>
      <c r="G40" s="300">
        <f>ROUND('USPS Base'!T33*(1+PostalMarkup),2)</f>
        <v>22.05</v>
      </c>
      <c r="H40" s="300">
        <f>ROUND('USPS Base'!U33*(1+PostalMarkup),2)</f>
        <v>24.08</v>
      </c>
      <c r="I40" s="300">
        <f>ROUND('USPS Base'!V33*(1+PostalMarkup),2)</f>
        <v>28.35</v>
      </c>
      <c r="J40" s="300">
        <f>ROUND('USPS Base'!W33*(1+PostalMarkup),2)</f>
        <v>39.43</v>
      </c>
      <c r="K40" s="300">
        <f>ROUND('USPS Base'!X33*(1+PostalMarkup),2)</f>
        <v>39.43</v>
      </c>
    </row>
    <row r="41" spans="1:11" ht="12.75" customHeight="1">
      <c r="A41" s="299">
        <v>17</v>
      </c>
      <c r="B41" s="300">
        <f>ROUND('USPS Base'!O34*(1+PostalMarkup),2)</f>
        <v>10.82</v>
      </c>
      <c r="C41" s="300">
        <f>ROUND('USPS Base'!P34*(1+PostalMarkup),2)</f>
        <v>10.95</v>
      </c>
      <c r="D41" s="300">
        <f>ROUND('USPS Base'!Q34*(1+PostalMarkup),2)</f>
        <v>11.86</v>
      </c>
      <c r="E41" s="300">
        <f>ROUND('USPS Base'!R34*(1+PostalMarkup),2)</f>
        <v>13.87</v>
      </c>
      <c r="F41" s="300">
        <f>ROUND('USPS Base'!S34*(1+PostalMarkup),2)</f>
        <v>17.989999999999998</v>
      </c>
      <c r="G41" s="300">
        <f>ROUND('USPS Base'!T34*(1+PostalMarkup),2)</f>
        <v>22.76</v>
      </c>
      <c r="H41" s="300">
        <f>ROUND('USPS Base'!U34*(1+PostalMarkup),2)</f>
        <v>24.87</v>
      </c>
      <c r="I41" s="300">
        <f>ROUND('USPS Base'!V34*(1+PostalMarkup),2)</f>
        <v>29.34</v>
      </c>
      <c r="J41" s="300">
        <f>ROUND('USPS Base'!W34*(1+PostalMarkup),2)</f>
        <v>40.729999999999997</v>
      </c>
      <c r="K41" s="300">
        <f>ROUND('USPS Base'!X34*(1+PostalMarkup),2)</f>
        <v>40.729999999999997</v>
      </c>
    </row>
    <row r="42" spans="1:11" ht="12.75" customHeight="1">
      <c r="A42" s="299">
        <v>18</v>
      </c>
      <c r="B42" s="300">
        <f>ROUND('USPS Base'!O35*(1+PostalMarkup),2)</f>
        <v>11.05</v>
      </c>
      <c r="C42" s="300">
        <f>ROUND('USPS Base'!P35*(1+PostalMarkup),2)</f>
        <v>11.17</v>
      </c>
      <c r="D42" s="300">
        <f>ROUND('USPS Base'!Q35*(1+PostalMarkup),2)</f>
        <v>12.13</v>
      </c>
      <c r="E42" s="300">
        <f>ROUND('USPS Base'!R35*(1+PostalMarkup),2)</f>
        <v>14.23</v>
      </c>
      <c r="F42" s="300">
        <f>ROUND('USPS Base'!S35*(1+PostalMarkup),2)</f>
        <v>18.53</v>
      </c>
      <c r="G42" s="300">
        <f>ROUND('USPS Base'!T35*(1+PostalMarkup),2)</f>
        <v>23.51</v>
      </c>
      <c r="H42" s="300">
        <f>ROUND('USPS Base'!U35*(1+PostalMarkup),2)</f>
        <v>25.71</v>
      </c>
      <c r="I42" s="300">
        <f>ROUND('USPS Base'!V35*(1+PostalMarkup),2)</f>
        <v>30.39</v>
      </c>
      <c r="J42" s="300">
        <f>ROUND('USPS Base'!W35*(1+PostalMarkup),2)</f>
        <v>42.14</v>
      </c>
      <c r="K42" s="300">
        <f>ROUND('USPS Base'!X35*(1+PostalMarkup),2)</f>
        <v>42.14</v>
      </c>
    </row>
    <row r="43" spans="1:11" ht="12.75" customHeight="1">
      <c r="A43" s="299">
        <v>19</v>
      </c>
      <c r="B43" s="300">
        <f>ROUND('USPS Base'!O36*(1+PostalMarkup),2)</f>
        <v>11.27</v>
      </c>
      <c r="C43" s="300">
        <f>ROUND('USPS Base'!P36*(1+PostalMarkup),2)</f>
        <v>11.41</v>
      </c>
      <c r="D43" s="300">
        <f>ROUND('USPS Base'!Q36*(1+PostalMarkup),2)</f>
        <v>12.39</v>
      </c>
      <c r="E43" s="300">
        <f>ROUND('USPS Base'!R36*(1+PostalMarkup),2)</f>
        <v>14.58</v>
      </c>
      <c r="F43" s="300">
        <f>ROUND('USPS Base'!S36*(1+PostalMarkup),2)</f>
        <v>19.059999999999999</v>
      </c>
      <c r="G43" s="300">
        <f>ROUND('USPS Base'!T36*(1+PostalMarkup),2)</f>
        <v>24.24</v>
      </c>
      <c r="H43" s="300">
        <f>ROUND('USPS Base'!U36*(1+PostalMarkup),2)</f>
        <v>26.54</v>
      </c>
      <c r="I43" s="300">
        <f>ROUND('USPS Base'!V36*(1+PostalMarkup),2)</f>
        <v>31.43</v>
      </c>
      <c r="J43" s="300">
        <f>ROUND('USPS Base'!W36*(1+PostalMarkup),2)</f>
        <v>43.52</v>
      </c>
      <c r="K43" s="300">
        <f>ROUND('USPS Base'!X36*(1+PostalMarkup),2)</f>
        <v>43.52</v>
      </c>
    </row>
    <row r="44" spans="1:11" ht="12.75" customHeight="1">
      <c r="A44" s="299">
        <v>20</v>
      </c>
      <c r="B44" s="300">
        <f>ROUND('USPS Base'!O37*(1+PostalMarkup),2)</f>
        <v>11.55</v>
      </c>
      <c r="C44" s="300">
        <f>ROUND('USPS Base'!P37*(1+PostalMarkup),2)</f>
        <v>11.71</v>
      </c>
      <c r="D44" s="300">
        <f>ROUND('USPS Base'!Q37*(1+PostalMarkup),2)</f>
        <v>12.78</v>
      </c>
      <c r="E44" s="300">
        <f>ROUND('USPS Base'!R37*(1+PostalMarkup),2)</f>
        <v>14.97</v>
      </c>
      <c r="F44" s="300">
        <f>ROUND('USPS Base'!S37*(1+PostalMarkup),2)</f>
        <v>19.77</v>
      </c>
      <c r="G44" s="300">
        <f>ROUND('USPS Base'!T37*(1+PostalMarkup),2)</f>
        <v>25.36</v>
      </c>
      <c r="H44" s="300">
        <f>ROUND('USPS Base'!U37*(1+PostalMarkup),2)</f>
        <v>28</v>
      </c>
      <c r="I44" s="300">
        <f>ROUND('USPS Base'!V37*(1+PostalMarkup),2)</f>
        <v>32.97</v>
      </c>
      <c r="J44" s="300">
        <f>ROUND('USPS Base'!W37*(1+PostalMarkup),2)</f>
        <v>46.45</v>
      </c>
      <c r="K44" s="300">
        <f>ROUND('USPS Base'!X37*(1+PostalMarkup),2)</f>
        <v>46.45</v>
      </c>
    </row>
    <row r="45" spans="1:11" ht="12.75" customHeight="1">
      <c r="A45" s="299">
        <v>21</v>
      </c>
      <c r="B45" s="300">
        <f>ROUND('USPS Base'!O38*(1+PostalMarkup),2)</f>
        <v>21.25</v>
      </c>
      <c r="C45" s="300">
        <f>ROUND('USPS Base'!P38*(1+PostalMarkup),2)</f>
        <v>22.47</v>
      </c>
      <c r="D45" s="300">
        <f>ROUND('USPS Base'!Q38*(1+PostalMarkup),2)</f>
        <v>23.76</v>
      </c>
      <c r="E45" s="300">
        <f>ROUND('USPS Base'!R38*(1+PostalMarkup),2)</f>
        <v>25.06</v>
      </c>
      <c r="F45" s="300">
        <f>ROUND('USPS Base'!S38*(1+PostalMarkup),2)</f>
        <v>30.05</v>
      </c>
      <c r="G45" s="300">
        <f>ROUND('USPS Base'!T38*(1+PostalMarkup),2)</f>
        <v>36.44</v>
      </c>
      <c r="H45" s="300">
        <f>ROUND('USPS Base'!U38*(1+PostalMarkup),2)</f>
        <v>43.65</v>
      </c>
      <c r="I45" s="300">
        <f>ROUND('USPS Base'!V38*(1+PostalMarkup),2)</f>
        <v>49.46</v>
      </c>
      <c r="J45" s="300">
        <f>ROUND('USPS Base'!W38*(1+PostalMarkup),2)</f>
        <v>49.46</v>
      </c>
      <c r="K45" s="300">
        <f>ROUND('USPS Base'!X38*(1+PostalMarkup),2)</f>
        <v>49.46</v>
      </c>
    </row>
    <row r="46" spans="1:11" ht="12.75" customHeight="1">
      <c r="A46" s="299">
        <v>22</v>
      </c>
      <c r="B46" s="300">
        <f>ROUND('USPS Base'!O39*(1+PostalMarkup),2)</f>
        <v>22.84</v>
      </c>
      <c r="C46" s="300">
        <f>ROUND('USPS Base'!P39*(1+PostalMarkup),2)</f>
        <v>24.4</v>
      </c>
      <c r="D46" s="300">
        <f>ROUND('USPS Base'!Q39*(1+PostalMarkup),2)</f>
        <v>25.98</v>
      </c>
      <c r="E46" s="300">
        <f>ROUND('USPS Base'!R39*(1+PostalMarkup),2)</f>
        <v>27.68</v>
      </c>
      <c r="F46" s="300">
        <f>ROUND('USPS Base'!S39*(1+PostalMarkup),2)</f>
        <v>33.869999999999997</v>
      </c>
      <c r="G46" s="300">
        <f>ROUND('USPS Base'!T39*(1+PostalMarkup),2)</f>
        <v>42.24</v>
      </c>
      <c r="H46" s="300">
        <f>ROUND('USPS Base'!U39*(1+PostalMarkup),2)</f>
        <v>50.98</v>
      </c>
      <c r="I46" s="300">
        <f>ROUND('USPS Base'!V39*(1+PostalMarkup),2)</f>
        <v>57.2</v>
      </c>
      <c r="J46" s="300">
        <f>ROUND('USPS Base'!W39*(1+PostalMarkup),2)</f>
        <v>57.2</v>
      </c>
      <c r="K46" s="300">
        <f>ROUND('USPS Base'!X39*(1+PostalMarkup),2)</f>
        <v>57.2</v>
      </c>
    </row>
    <row r="47" spans="1:11" ht="12.75" customHeight="1">
      <c r="A47" s="299">
        <v>23</v>
      </c>
      <c r="B47" s="300">
        <f>ROUND('USPS Base'!O40*(1+PostalMarkup),2)</f>
        <v>24.74</v>
      </c>
      <c r="C47" s="300">
        <f>ROUND('USPS Base'!P40*(1+PostalMarkup),2)</f>
        <v>26.63</v>
      </c>
      <c r="D47" s="300">
        <f>ROUND('USPS Base'!Q40*(1+PostalMarkup),2)</f>
        <v>28.66</v>
      </c>
      <c r="E47" s="300">
        <f>ROUND('USPS Base'!R40*(1+PostalMarkup),2)</f>
        <v>31.43</v>
      </c>
      <c r="F47" s="300">
        <f>ROUND('USPS Base'!S40*(1+PostalMarkup),2)</f>
        <v>39.159999999999997</v>
      </c>
      <c r="G47" s="300">
        <f>ROUND('USPS Base'!T40*(1+PostalMarkup),2)</f>
        <v>49.78</v>
      </c>
      <c r="H47" s="300">
        <f>ROUND('USPS Base'!U40*(1+PostalMarkup),2)</f>
        <v>59.96</v>
      </c>
      <c r="I47" s="300">
        <f>ROUND('USPS Base'!V40*(1+PostalMarkup),2)</f>
        <v>67.17</v>
      </c>
      <c r="J47" s="300">
        <f>ROUND('USPS Base'!W40*(1+PostalMarkup),2)</f>
        <v>67.17</v>
      </c>
      <c r="K47" s="300">
        <f>ROUND('USPS Base'!X40*(1+PostalMarkup),2)</f>
        <v>67.17</v>
      </c>
    </row>
    <row r="48" spans="1:11" ht="12.75" customHeight="1">
      <c r="A48" s="299">
        <v>24</v>
      </c>
      <c r="B48" s="300">
        <f>ROUND('USPS Base'!O41*(1+PostalMarkup),2)</f>
        <v>26.96</v>
      </c>
      <c r="C48" s="300">
        <f>ROUND('USPS Base'!P41*(1+PostalMarkup),2)</f>
        <v>29.06</v>
      </c>
      <c r="D48" s="300">
        <f>ROUND('USPS Base'!Q41*(1+PostalMarkup),2)</f>
        <v>31.79</v>
      </c>
      <c r="E48" s="300">
        <f>ROUND('USPS Base'!R41*(1+PostalMarkup),2)</f>
        <v>36.36</v>
      </c>
      <c r="F48" s="300">
        <f>ROUND('USPS Base'!S41*(1+PostalMarkup),2)</f>
        <v>45.93</v>
      </c>
      <c r="G48" s="300">
        <f>ROUND('USPS Base'!T41*(1+PostalMarkup),2)</f>
        <v>58.97</v>
      </c>
      <c r="H48" s="300">
        <f>ROUND('USPS Base'!U41*(1+PostalMarkup),2)</f>
        <v>70.61</v>
      </c>
      <c r="I48" s="300">
        <f>ROUND('USPS Base'!V41*(1+PostalMarkup),2)</f>
        <v>79.319999999999993</v>
      </c>
      <c r="J48" s="300">
        <f>ROUND('USPS Base'!W41*(1+PostalMarkup),2)</f>
        <v>79.319999999999993</v>
      </c>
      <c r="K48" s="300">
        <f>ROUND('USPS Base'!X41*(1+PostalMarkup),2)</f>
        <v>79.319999999999993</v>
      </c>
    </row>
    <row r="49" spans="1:11" ht="12.75" customHeight="1">
      <c r="A49" s="299">
        <v>25</v>
      </c>
      <c r="B49" s="300">
        <f>ROUND('USPS Base'!O42*(1+PostalMarkup),2)</f>
        <v>29.12</v>
      </c>
      <c r="C49" s="300">
        <f>ROUND('USPS Base'!P42*(1+PostalMarkup),2)</f>
        <v>31.67</v>
      </c>
      <c r="D49" s="300">
        <f>ROUND('USPS Base'!Q42*(1+PostalMarkup),2)</f>
        <v>35.33</v>
      </c>
      <c r="E49" s="300">
        <f>ROUND('USPS Base'!R42*(1+PostalMarkup),2)</f>
        <v>42.09</v>
      </c>
      <c r="F49" s="300">
        <f>ROUND('USPS Base'!S42*(1+PostalMarkup),2)</f>
        <v>53.98</v>
      </c>
      <c r="G49" s="300">
        <f>ROUND('USPS Base'!T42*(1+PostalMarkup),2)</f>
        <v>66.98</v>
      </c>
      <c r="H49" s="300">
        <f>ROUND('USPS Base'!U42*(1+PostalMarkup),2)</f>
        <v>79.19</v>
      </c>
      <c r="I49" s="300">
        <f>ROUND('USPS Base'!V42*(1+PostalMarkup),2)</f>
        <v>89.92</v>
      </c>
      <c r="J49" s="300">
        <f>ROUND('USPS Base'!W42*(1+PostalMarkup),2)</f>
        <v>89.92</v>
      </c>
      <c r="K49" s="300">
        <f>ROUND('USPS Base'!X42*(1+PostalMarkup),2)</f>
        <v>89.92</v>
      </c>
    </row>
    <row r="50" spans="1:11" ht="12.75" customHeight="1">
      <c r="A50" s="299">
        <v>26</v>
      </c>
      <c r="B50" s="300">
        <f>ROUND('USPS Base'!O43*(1+PostalMarkup),2)</f>
        <v>30.21</v>
      </c>
      <c r="C50" s="300">
        <f>ROUND('USPS Base'!P43*(1+PostalMarkup),2)</f>
        <v>32.979999999999997</v>
      </c>
      <c r="D50" s="300">
        <f>ROUND('USPS Base'!Q43*(1+PostalMarkup),2)</f>
        <v>37.1</v>
      </c>
      <c r="E50" s="300">
        <f>ROUND('USPS Base'!R43*(1+PostalMarkup),2)</f>
        <v>44.93</v>
      </c>
      <c r="F50" s="300">
        <f>ROUND('USPS Base'!S43*(1+PostalMarkup),2)</f>
        <v>58.03</v>
      </c>
      <c r="G50" s="300">
        <f>ROUND('USPS Base'!T43*(1+PostalMarkup),2)</f>
        <v>70.989999999999995</v>
      </c>
      <c r="H50" s="300">
        <f>ROUND('USPS Base'!U43*(1+PostalMarkup),2)</f>
        <v>83.5</v>
      </c>
      <c r="I50" s="300">
        <f>ROUND('USPS Base'!V43*(1+PostalMarkup),2)</f>
        <v>95.22</v>
      </c>
      <c r="J50" s="300">
        <f>ROUND('USPS Base'!W43*(1+PostalMarkup),2)</f>
        <v>95.22</v>
      </c>
      <c r="K50" s="300">
        <f>ROUND('USPS Base'!X43*(1+PostalMarkup),2)</f>
        <v>95.22</v>
      </c>
    </row>
    <row r="51" spans="1:11" ht="12.75" customHeight="1">
      <c r="A51" s="299">
        <v>27</v>
      </c>
      <c r="B51" s="300">
        <f>ROUND('USPS Base'!O44*(1+PostalMarkup),2)</f>
        <v>31.29</v>
      </c>
      <c r="C51" s="300">
        <f>ROUND('USPS Base'!P44*(1+PostalMarkup),2)</f>
        <v>34.32</v>
      </c>
      <c r="D51" s="300">
        <f>ROUND('USPS Base'!Q44*(1+PostalMarkup),2)</f>
        <v>38.880000000000003</v>
      </c>
      <c r="E51" s="300">
        <f>ROUND('USPS Base'!R44*(1+PostalMarkup),2)</f>
        <v>47.82</v>
      </c>
      <c r="F51" s="300">
        <f>ROUND('USPS Base'!S44*(1+PostalMarkup),2)</f>
        <v>62.05</v>
      </c>
      <c r="G51" s="300">
        <f>ROUND('USPS Base'!T44*(1+PostalMarkup),2)</f>
        <v>75.03</v>
      </c>
      <c r="H51" s="300">
        <f>ROUND('USPS Base'!U44*(1+PostalMarkup),2)</f>
        <v>87.8</v>
      </c>
      <c r="I51" s="300">
        <f>ROUND('USPS Base'!V44*(1+PostalMarkup),2)</f>
        <v>100.58</v>
      </c>
      <c r="J51" s="300">
        <f>ROUND('USPS Base'!W44*(1+PostalMarkup),2)</f>
        <v>100.58</v>
      </c>
      <c r="K51" s="300">
        <f>ROUND('USPS Base'!X44*(1+PostalMarkup),2)</f>
        <v>100.58</v>
      </c>
    </row>
    <row r="52" spans="1:11" ht="12.75" customHeight="1">
      <c r="A52" s="299">
        <v>28</v>
      </c>
      <c r="B52" s="300">
        <f>ROUND('USPS Base'!O45*(1+PostalMarkup),2)</f>
        <v>32.17</v>
      </c>
      <c r="C52" s="300">
        <f>ROUND('USPS Base'!P45*(1+PostalMarkup),2)</f>
        <v>35.31</v>
      </c>
      <c r="D52" s="300">
        <f>ROUND('USPS Base'!Q45*(1+PostalMarkup),2)</f>
        <v>40.08</v>
      </c>
      <c r="E52" s="300">
        <f>ROUND('USPS Base'!R45*(1+PostalMarkup),2)</f>
        <v>49.28</v>
      </c>
      <c r="F52" s="300">
        <f>ROUND('USPS Base'!S45*(1+PostalMarkup),2)</f>
        <v>64.11</v>
      </c>
      <c r="G52" s="300">
        <f>ROUND('USPS Base'!T45*(1+PostalMarkup),2)</f>
        <v>77.61</v>
      </c>
      <c r="H52" s="300">
        <f>ROUND('USPS Base'!U45*(1+PostalMarkup),2)</f>
        <v>90.87</v>
      </c>
      <c r="I52" s="300">
        <f>ROUND('USPS Base'!V45*(1+PostalMarkup),2)</f>
        <v>104.11</v>
      </c>
      <c r="J52" s="300">
        <f>ROUND('USPS Base'!W45*(1+PostalMarkup),2)</f>
        <v>104.11</v>
      </c>
      <c r="K52" s="300">
        <f>ROUND('USPS Base'!X45*(1+PostalMarkup),2)</f>
        <v>104.11</v>
      </c>
    </row>
    <row r="53" spans="1:11" ht="12.75" customHeight="1">
      <c r="A53" s="299">
        <v>29</v>
      </c>
      <c r="B53" s="300">
        <f>ROUND('USPS Base'!O46*(1+PostalMarkup),2)</f>
        <v>33.03</v>
      </c>
      <c r="C53" s="300">
        <f>ROUND('USPS Base'!P46*(1+PostalMarkup),2)</f>
        <v>36.28</v>
      </c>
      <c r="D53" s="300">
        <f>ROUND('USPS Base'!Q46*(1+PostalMarkup),2)</f>
        <v>41.25</v>
      </c>
      <c r="E53" s="300">
        <f>ROUND('USPS Base'!R46*(1+PostalMarkup),2)</f>
        <v>50.73</v>
      </c>
      <c r="F53" s="300">
        <f>ROUND('USPS Base'!S46*(1+PostalMarkup),2)</f>
        <v>66.16</v>
      </c>
      <c r="G53" s="300">
        <f>ROUND('USPS Base'!T46*(1+PostalMarkup),2)</f>
        <v>80.14</v>
      </c>
      <c r="H53" s="300">
        <f>ROUND('USPS Base'!U46*(1+PostalMarkup),2)</f>
        <v>93.9</v>
      </c>
      <c r="I53" s="300">
        <f>ROUND('USPS Base'!V46*(1+PostalMarkup),2)</f>
        <v>107.62</v>
      </c>
      <c r="J53" s="300">
        <f>ROUND('USPS Base'!W46*(1+PostalMarkup),2)</f>
        <v>107.62</v>
      </c>
      <c r="K53" s="300">
        <f>ROUND('USPS Base'!X46*(1+PostalMarkup),2)</f>
        <v>107.62</v>
      </c>
    </row>
    <row r="54" spans="1:11" ht="12.75" customHeight="1">
      <c r="A54" s="299">
        <v>30</v>
      </c>
      <c r="B54" s="300">
        <f>ROUND('USPS Base'!O47*(1+PostalMarkup),2)</f>
        <v>33.880000000000003</v>
      </c>
      <c r="C54" s="300">
        <f>ROUND('USPS Base'!P47*(1+PostalMarkup),2)</f>
        <v>37.24</v>
      </c>
      <c r="D54" s="300">
        <f>ROUND('USPS Base'!Q47*(1+PostalMarkup),2)</f>
        <v>42.39</v>
      </c>
      <c r="E54" s="300">
        <f>ROUND('USPS Base'!R47*(1+PostalMarkup),2)</f>
        <v>52.14</v>
      </c>
      <c r="F54" s="300">
        <f>ROUND('USPS Base'!S47*(1+PostalMarkup),2)</f>
        <v>68.17</v>
      </c>
      <c r="G54" s="300">
        <f>ROUND('USPS Base'!T47*(1+PostalMarkup),2)</f>
        <v>82.66</v>
      </c>
      <c r="H54" s="300">
        <f>ROUND('USPS Base'!U47*(1+PostalMarkup),2)</f>
        <v>96.88</v>
      </c>
      <c r="I54" s="300">
        <f>ROUND('USPS Base'!V47*(1+PostalMarkup),2)</f>
        <v>111.09</v>
      </c>
      <c r="J54" s="300">
        <f>ROUND('USPS Base'!W47*(1+PostalMarkup),2)</f>
        <v>111.09</v>
      </c>
      <c r="K54" s="300">
        <f>ROUND('USPS Base'!X47*(1+PostalMarkup),2)</f>
        <v>111.09</v>
      </c>
    </row>
    <row r="55" spans="1:11" ht="12.75" customHeight="1">
      <c r="A55" s="299">
        <v>31</v>
      </c>
      <c r="B55" s="300">
        <f>ROUND('USPS Base'!O48*(1+PostalMarkup),2)</f>
        <v>34.71</v>
      </c>
      <c r="C55" s="300">
        <f>ROUND('USPS Base'!P48*(1+PostalMarkup),2)</f>
        <v>38.200000000000003</v>
      </c>
      <c r="D55" s="300">
        <f>ROUND('USPS Base'!Q48*(1+PostalMarkup),2)</f>
        <v>43.52</v>
      </c>
      <c r="E55" s="300">
        <f>ROUND('USPS Base'!R48*(1+PostalMarkup),2)</f>
        <v>53.53</v>
      </c>
      <c r="F55" s="300">
        <f>ROUND('USPS Base'!S48*(1+PostalMarkup),2)</f>
        <v>70.150000000000006</v>
      </c>
      <c r="G55" s="300">
        <f>ROUND('USPS Base'!T48*(1+PostalMarkup),2)</f>
        <v>85.12</v>
      </c>
      <c r="H55" s="300">
        <f>ROUND('USPS Base'!U48*(1+PostalMarkup),2)</f>
        <v>99.82</v>
      </c>
      <c r="I55" s="300">
        <f>ROUND('USPS Base'!V48*(1+PostalMarkup),2)</f>
        <v>114.51</v>
      </c>
      <c r="J55" s="300">
        <f>ROUND('USPS Base'!W48*(1+PostalMarkup),2)</f>
        <v>114.51</v>
      </c>
      <c r="K55" s="300">
        <f>ROUND('USPS Base'!X48*(1+PostalMarkup),2)</f>
        <v>114.51</v>
      </c>
    </row>
    <row r="56" spans="1:11" ht="12.75" customHeight="1">
      <c r="A56" s="299">
        <v>32</v>
      </c>
      <c r="B56" s="300">
        <f>ROUND('USPS Base'!O49*(1+PostalMarkup),2)</f>
        <v>35.54</v>
      </c>
      <c r="C56" s="300">
        <f>ROUND('USPS Base'!P49*(1+PostalMarkup),2)</f>
        <v>39.15</v>
      </c>
      <c r="D56" s="300">
        <f>ROUND('USPS Base'!Q49*(1+PostalMarkup),2)</f>
        <v>44.62</v>
      </c>
      <c r="E56" s="300">
        <f>ROUND('USPS Base'!R49*(1+PostalMarkup),2)</f>
        <v>54.89</v>
      </c>
      <c r="F56" s="300">
        <f>ROUND('USPS Base'!S49*(1+PostalMarkup),2)</f>
        <v>72.08</v>
      </c>
      <c r="G56" s="300">
        <f>ROUND('USPS Base'!T49*(1+PostalMarkup),2)</f>
        <v>87.55</v>
      </c>
      <c r="H56" s="300">
        <f>ROUND('USPS Base'!U49*(1+PostalMarkup),2)</f>
        <v>102.73</v>
      </c>
      <c r="I56" s="300">
        <f>ROUND('USPS Base'!V49*(1+PostalMarkup),2)</f>
        <v>117.89</v>
      </c>
      <c r="J56" s="300">
        <f>ROUND('USPS Base'!W49*(1+PostalMarkup),2)</f>
        <v>117.89</v>
      </c>
      <c r="K56" s="300">
        <f>ROUND('USPS Base'!X49*(1+PostalMarkup),2)</f>
        <v>117.89</v>
      </c>
    </row>
    <row r="57" spans="1:11" ht="12.75" customHeight="1">
      <c r="A57" s="299">
        <v>33</v>
      </c>
      <c r="B57" s="300">
        <f>ROUND('USPS Base'!O50*(1+PostalMarkup),2)</f>
        <v>36.36</v>
      </c>
      <c r="C57" s="300">
        <f>ROUND('USPS Base'!P50*(1+PostalMarkup),2)</f>
        <v>40.07</v>
      </c>
      <c r="D57" s="300">
        <f>ROUND('USPS Base'!Q50*(1+PostalMarkup),2)</f>
        <v>45.71</v>
      </c>
      <c r="E57" s="300">
        <f>ROUND('USPS Base'!R50*(1+PostalMarkup),2)</f>
        <v>56.21</v>
      </c>
      <c r="F57" s="300">
        <f>ROUND('USPS Base'!S50*(1+PostalMarkup),2)</f>
        <v>74.05</v>
      </c>
      <c r="G57" s="300">
        <f>ROUND('USPS Base'!T50*(1+PostalMarkup),2)</f>
        <v>89.98</v>
      </c>
      <c r="H57" s="300">
        <f>ROUND('USPS Base'!U50*(1+PostalMarkup),2)</f>
        <v>105.6</v>
      </c>
      <c r="I57" s="300">
        <f>ROUND('USPS Base'!V50*(1+PostalMarkup),2)</f>
        <v>121.23</v>
      </c>
      <c r="J57" s="300">
        <f>ROUND('USPS Base'!W50*(1+PostalMarkup),2)</f>
        <v>121.23</v>
      </c>
      <c r="K57" s="300">
        <f>ROUND('USPS Base'!X50*(1+PostalMarkup),2)</f>
        <v>121.23</v>
      </c>
    </row>
    <row r="58" spans="1:11" ht="12.75" customHeight="1">
      <c r="A58" s="299">
        <v>34</v>
      </c>
      <c r="B58" s="300">
        <f>ROUND('USPS Base'!O51*(1+PostalMarkup),2)</f>
        <v>37.17</v>
      </c>
      <c r="C58" s="300">
        <f>ROUND('USPS Base'!P51*(1+PostalMarkup),2)</f>
        <v>41</v>
      </c>
      <c r="D58" s="300">
        <f>ROUND('USPS Base'!Q51*(1+PostalMarkup),2)</f>
        <v>46.78</v>
      </c>
      <c r="E58" s="300">
        <f>ROUND('USPS Base'!R51*(1+PostalMarkup),2)</f>
        <v>57.55</v>
      </c>
      <c r="F58" s="300">
        <f>ROUND('USPS Base'!S51*(1+PostalMarkup),2)</f>
        <v>75.95</v>
      </c>
      <c r="G58" s="300">
        <f>ROUND('USPS Base'!T51*(1+PostalMarkup),2)</f>
        <v>92.35</v>
      </c>
      <c r="H58" s="300">
        <f>ROUND('USPS Base'!U51*(1+PostalMarkup),2)</f>
        <v>108.43</v>
      </c>
      <c r="I58" s="300">
        <f>ROUND('USPS Base'!V51*(1+PostalMarkup),2)</f>
        <v>124.53</v>
      </c>
      <c r="J58" s="300">
        <f>ROUND('USPS Base'!W51*(1+PostalMarkup),2)</f>
        <v>124.53</v>
      </c>
      <c r="K58" s="300">
        <f>ROUND('USPS Base'!X51*(1+PostalMarkup),2)</f>
        <v>124.53</v>
      </c>
    </row>
    <row r="59" spans="1:11" ht="12.75" customHeight="1">
      <c r="A59" s="299">
        <v>35</v>
      </c>
      <c r="B59" s="300">
        <f>ROUND('USPS Base'!O52*(1+PostalMarkup),2)</f>
        <v>38</v>
      </c>
      <c r="C59" s="300">
        <f>ROUND('USPS Base'!P52*(1+PostalMarkup),2)</f>
        <v>41.89</v>
      </c>
      <c r="D59" s="300">
        <f>ROUND('USPS Base'!Q52*(1+PostalMarkup),2)</f>
        <v>47.85</v>
      </c>
      <c r="E59" s="300">
        <f>ROUND('USPS Base'!R52*(1+PostalMarkup),2)</f>
        <v>58.86</v>
      </c>
      <c r="F59" s="300">
        <f>ROUND('USPS Base'!S52*(1+PostalMarkup),2)</f>
        <v>77.84</v>
      </c>
      <c r="G59" s="300">
        <f>ROUND('USPS Base'!T52*(1+PostalMarkup),2)</f>
        <v>94.73</v>
      </c>
      <c r="H59" s="300">
        <f>ROUND('USPS Base'!U52*(1+PostalMarkup),2)</f>
        <v>111.29</v>
      </c>
      <c r="I59" s="300">
        <f>ROUND('USPS Base'!V52*(1+PostalMarkup),2)</f>
        <v>127.83</v>
      </c>
      <c r="J59" s="300">
        <f>ROUND('USPS Base'!W52*(1+PostalMarkup),2)</f>
        <v>127.83</v>
      </c>
      <c r="K59" s="300">
        <f>ROUND('USPS Base'!X52*(1+PostalMarkup),2)</f>
        <v>127.83</v>
      </c>
    </row>
    <row r="60" spans="1:11" ht="12.75" customHeight="1">
      <c r="A60" s="299">
        <v>36</v>
      </c>
      <c r="B60" s="300">
        <f>ROUND('USPS Base'!O53*(1+PostalMarkup),2)</f>
        <v>38.770000000000003</v>
      </c>
      <c r="C60" s="300">
        <f>ROUND('USPS Base'!P53*(1+PostalMarkup),2)</f>
        <v>42.79</v>
      </c>
      <c r="D60" s="300">
        <f>ROUND('USPS Base'!Q53*(1+PostalMarkup),2)</f>
        <v>48.89</v>
      </c>
      <c r="E60" s="300">
        <f>ROUND('USPS Base'!R53*(1+PostalMarkup),2)</f>
        <v>60.09</v>
      </c>
      <c r="F60" s="300">
        <f>ROUND('USPS Base'!S53*(1+PostalMarkup),2)</f>
        <v>79.650000000000006</v>
      </c>
      <c r="G60" s="300">
        <f>ROUND('USPS Base'!T53*(1+PostalMarkup),2)</f>
        <v>96.98</v>
      </c>
      <c r="H60" s="300">
        <f>ROUND('USPS Base'!U53*(1+PostalMarkup),2)</f>
        <v>114.01</v>
      </c>
      <c r="I60" s="300">
        <f>ROUND('USPS Base'!V53*(1+PostalMarkup),2)</f>
        <v>131.03</v>
      </c>
      <c r="J60" s="300">
        <f>ROUND('USPS Base'!W53*(1+PostalMarkup),2)</f>
        <v>131.03</v>
      </c>
      <c r="K60" s="300">
        <f>ROUND('USPS Base'!X53*(1+PostalMarkup),2)</f>
        <v>131.03</v>
      </c>
    </row>
    <row r="61" spans="1:11" ht="12.75" customHeight="1">
      <c r="A61" s="299">
        <v>37</v>
      </c>
      <c r="B61" s="300">
        <f>ROUND('USPS Base'!O54*(1+PostalMarkup),2)</f>
        <v>39.57</v>
      </c>
      <c r="C61" s="300">
        <f>ROUND('USPS Base'!P54*(1+PostalMarkup),2)</f>
        <v>43.69</v>
      </c>
      <c r="D61" s="300">
        <f>ROUND('USPS Base'!Q54*(1+PostalMarkup),2)</f>
        <v>49.92</v>
      </c>
      <c r="E61" s="300">
        <f>ROUND('USPS Base'!R54*(1+PostalMarkup),2)</f>
        <v>61.35</v>
      </c>
      <c r="F61" s="300">
        <f>ROUND('USPS Base'!S54*(1+PostalMarkup),2)</f>
        <v>81.489999999999995</v>
      </c>
      <c r="G61" s="300">
        <f>ROUND('USPS Base'!T54*(1+PostalMarkup),2)</f>
        <v>99.27</v>
      </c>
      <c r="H61" s="300">
        <f>ROUND('USPS Base'!U54*(1+PostalMarkup),2)</f>
        <v>116.77</v>
      </c>
      <c r="I61" s="300">
        <f>ROUND('USPS Base'!V54*(1+PostalMarkup),2)</f>
        <v>134.25</v>
      </c>
      <c r="J61" s="300">
        <f>ROUND('USPS Base'!W54*(1+PostalMarkup),2)</f>
        <v>134.25</v>
      </c>
      <c r="K61" s="300">
        <f>ROUND('USPS Base'!X54*(1+PostalMarkup),2)</f>
        <v>134.25</v>
      </c>
    </row>
    <row r="62" spans="1:11" ht="12.75" customHeight="1">
      <c r="A62" s="299">
        <v>38</v>
      </c>
      <c r="B62" s="300">
        <f>ROUND('USPS Base'!O55*(1+PostalMarkup),2)</f>
        <v>40.340000000000003</v>
      </c>
      <c r="C62" s="300">
        <f>ROUND('USPS Base'!P55*(1+PostalMarkup),2)</f>
        <v>44.56</v>
      </c>
      <c r="D62" s="300">
        <f>ROUND('USPS Base'!Q55*(1+PostalMarkup),2)</f>
        <v>50.92</v>
      </c>
      <c r="E62" s="300">
        <f>ROUND('USPS Base'!R55*(1+PostalMarkup),2)</f>
        <v>62.61</v>
      </c>
      <c r="F62" s="300">
        <f>ROUND('USPS Base'!S55*(1+PostalMarkup),2)</f>
        <v>83.31</v>
      </c>
      <c r="G62" s="300">
        <f>ROUND('USPS Base'!T55*(1+PostalMarkup),2)</f>
        <v>101.56</v>
      </c>
      <c r="H62" s="300">
        <f>ROUND('USPS Base'!U55*(1+PostalMarkup),2)</f>
        <v>119.49</v>
      </c>
      <c r="I62" s="300">
        <f>ROUND('USPS Base'!V55*(1+PostalMarkup),2)</f>
        <v>137.44</v>
      </c>
      <c r="J62" s="300">
        <f>ROUND('USPS Base'!W55*(1+PostalMarkup),2)</f>
        <v>137.44</v>
      </c>
      <c r="K62" s="300">
        <f>ROUND('USPS Base'!X55*(1+PostalMarkup),2)</f>
        <v>137.44</v>
      </c>
    </row>
    <row r="63" spans="1:11" ht="12.75" customHeight="1">
      <c r="A63" s="299">
        <v>39</v>
      </c>
      <c r="B63" s="300">
        <f>ROUND('USPS Base'!O56*(1+PostalMarkup),2)</f>
        <v>41.14</v>
      </c>
      <c r="C63" s="300">
        <f>ROUND('USPS Base'!P56*(1+PostalMarkup),2)</f>
        <v>45.43</v>
      </c>
      <c r="D63" s="300">
        <f>ROUND('USPS Base'!Q56*(1+PostalMarkup),2)</f>
        <v>51.9</v>
      </c>
      <c r="E63" s="300">
        <f>ROUND('USPS Base'!R56*(1+PostalMarkup),2)</f>
        <v>63.81</v>
      </c>
      <c r="F63" s="300">
        <f>ROUND('USPS Base'!S56*(1+PostalMarkup),2)</f>
        <v>85.1</v>
      </c>
      <c r="G63" s="300">
        <f>ROUND('USPS Base'!T56*(1+PostalMarkup),2)</f>
        <v>103.81</v>
      </c>
      <c r="H63" s="300">
        <f>ROUND('USPS Base'!U56*(1+PostalMarkup),2)</f>
        <v>122.15</v>
      </c>
      <c r="I63" s="300">
        <f>ROUND('USPS Base'!V56*(1+PostalMarkup),2)</f>
        <v>140.59</v>
      </c>
      <c r="J63" s="300">
        <f>ROUND('USPS Base'!W56*(1+PostalMarkup),2)</f>
        <v>140.59</v>
      </c>
      <c r="K63" s="300">
        <f>ROUND('USPS Base'!X56*(1+PostalMarkup),2)</f>
        <v>140.59</v>
      </c>
    </row>
    <row r="64" spans="1:11" ht="12.75" customHeight="1">
      <c r="A64" s="299">
        <v>40</v>
      </c>
      <c r="B64" s="300">
        <f>ROUND('USPS Base'!O57*(1+PostalMarkup),2)</f>
        <v>41.91</v>
      </c>
      <c r="C64" s="300">
        <f>ROUND('USPS Base'!P57*(1+PostalMarkup),2)</f>
        <v>46.28</v>
      </c>
      <c r="D64" s="300">
        <f>ROUND('USPS Base'!Q57*(1+PostalMarkup),2)</f>
        <v>52.88</v>
      </c>
      <c r="E64" s="300">
        <f>ROUND('USPS Base'!R57*(1+PostalMarkup),2)</f>
        <v>65.02</v>
      </c>
      <c r="F64" s="300">
        <f>ROUND('USPS Base'!S57*(1+PostalMarkup),2)</f>
        <v>86.84</v>
      </c>
      <c r="G64" s="300">
        <f>ROUND('USPS Base'!T57*(1+PostalMarkup),2)</f>
        <v>106</v>
      </c>
      <c r="H64" s="300">
        <f>ROUND('USPS Base'!U57*(1+PostalMarkup),2)</f>
        <v>124.8</v>
      </c>
      <c r="I64" s="300">
        <f>ROUND('USPS Base'!V57*(1+PostalMarkup),2)</f>
        <v>143.69999999999999</v>
      </c>
      <c r="J64" s="300">
        <f>ROUND('USPS Base'!W57*(1+PostalMarkup),2)</f>
        <v>143.69999999999999</v>
      </c>
      <c r="K64" s="300">
        <f>ROUND('USPS Base'!X57*(1+PostalMarkup),2)</f>
        <v>143.69999999999999</v>
      </c>
    </row>
    <row r="65" spans="1:11" ht="12.75" customHeight="1">
      <c r="A65" s="299">
        <v>41</v>
      </c>
      <c r="B65" s="300">
        <f>ROUND('USPS Base'!O58*(1+PostalMarkup),2)</f>
        <v>42.65</v>
      </c>
      <c r="C65" s="300">
        <f>ROUND('USPS Base'!P58*(1+PostalMarkup),2)</f>
        <v>47.13</v>
      </c>
      <c r="D65" s="300">
        <f>ROUND('USPS Base'!Q58*(1+PostalMarkup),2)</f>
        <v>53.83</v>
      </c>
      <c r="E65" s="300">
        <f>ROUND('USPS Base'!R58*(1+PostalMarkup),2)</f>
        <v>66.23</v>
      </c>
      <c r="F65" s="300">
        <f>ROUND('USPS Base'!S58*(1+PostalMarkup),2)</f>
        <v>88.6</v>
      </c>
      <c r="G65" s="300">
        <f>ROUND('USPS Base'!T58*(1+PostalMarkup),2)</f>
        <v>108.19</v>
      </c>
      <c r="H65" s="300">
        <f>ROUND('USPS Base'!U58*(1+PostalMarkup),2)</f>
        <v>127.42</v>
      </c>
      <c r="I65" s="300">
        <f>ROUND('USPS Base'!V58*(1+PostalMarkup),2)</f>
        <v>146.76</v>
      </c>
      <c r="J65" s="300">
        <f>ROUND('USPS Base'!W58*(1+PostalMarkup),2)</f>
        <v>146.76</v>
      </c>
      <c r="K65" s="300">
        <f>ROUND('USPS Base'!X58*(1+PostalMarkup),2)</f>
        <v>146.76</v>
      </c>
    </row>
    <row r="66" spans="1:11" ht="12.75" customHeight="1">
      <c r="A66" s="299">
        <v>42</v>
      </c>
      <c r="B66" s="300">
        <f>ROUND('USPS Base'!O59*(1+PostalMarkup),2)</f>
        <v>43.42</v>
      </c>
      <c r="C66" s="300">
        <f>ROUND('USPS Base'!P59*(1+PostalMarkup),2)</f>
        <v>47.93</v>
      </c>
      <c r="D66" s="300">
        <f>ROUND('USPS Base'!Q59*(1+PostalMarkup),2)</f>
        <v>54.76</v>
      </c>
      <c r="E66" s="300">
        <f>ROUND('USPS Base'!R59*(1+PostalMarkup),2)</f>
        <v>67.38</v>
      </c>
      <c r="F66" s="300">
        <f>ROUND('USPS Base'!S59*(1+PostalMarkup),2)</f>
        <v>90.3</v>
      </c>
      <c r="G66" s="300">
        <f>ROUND('USPS Base'!T59*(1+PostalMarkup),2)</f>
        <v>110.33</v>
      </c>
      <c r="H66" s="300">
        <f>ROUND('USPS Base'!U59*(1+PostalMarkup),2)</f>
        <v>130.01</v>
      </c>
      <c r="I66" s="300">
        <f>ROUND('USPS Base'!V59*(1+PostalMarkup),2)</f>
        <v>149.82</v>
      </c>
      <c r="J66" s="300">
        <f>ROUND('USPS Base'!W59*(1+PostalMarkup),2)</f>
        <v>149.82</v>
      </c>
      <c r="K66" s="300">
        <f>ROUND('USPS Base'!X59*(1+PostalMarkup),2)</f>
        <v>149.82</v>
      </c>
    </row>
    <row r="67" spans="1:11" ht="12.75" customHeight="1">
      <c r="A67" s="299">
        <v>43</v>
      </c>
      <c r="B67" s="300">
        <f>ROUND('USPS Base'!O60*(1+PostalMarkup),2)</f>
        <v>44.16</v>
      </c>
      <c r="C67" s="300">
        <f>ROUND('USPS Base'!P60*(1+PostalMarkup),2)</f>
        <v>48.76</v>
      </c>
      <c r="D67" s="300">
        <f>ROUND('USPS Base'!Q60*(1+PostalMarkup),2)</f>
        <v>55.71</v>
      </c>
      <c r="E67" s="300">
        <f>ROUND('USPS Base'!R60*(1+PostalMarkup),2)</f>
        <v>68.510000000000005</v>
      </c>
      <c r="F67" s="300">
        <f>ROUND('USPS Base'!S60*(1+PostalMarkup),2)</f>
        <v>91.98</v>
      </c>
      <c r="G67" s="300">
        <f>ROUND('USPS Base'!T60*(1+PostalMarkup),2)</f>
        <v>112.46</v>
      </c>
      <c r="H67" s="300">
        <f>ROUND('USPS Base'!U60*(1+PostalMarkup),2)</f>
        <v>132.56</v>
      </c>
      <c r="I67" s="300">
        <f>ROUND('USPS Base'!V60*(1+PostalMarkup),2)</f>
        <v>152.81</v>
      </c>
      <c r="J67" s="300">
        <f>ROUND('USPS Base'!W60*(1+PostalMarkup),2)</f>
        <v>152.81</v>
      </c>
      <c r="K67" s="300">
        <f>ROUND('USPS Base'!X60*(1+PostalMarkup),2)</f>
        <v>152.81</v>
      </c>
    </row>
    <row r="68" spans="1:11" ht="12.75" customHeight="1">
      <c r="A68" s="299">
        <v>44</v>
      </c>
      <c r="B68" s="300">
        <f>ROUND('USPS Base'!O61*(1+PostalMarkup),2)</f>
        <v>44.91</v>
      </c>
      <c r="C68" s="300">
        <f>ROUND('USPS Base'!P61*(1+PostalMarkup),2)</f>
        <v>49.55</v>
      </c>
      <c r="D68" s="300">
        <f>ROUND('USPS Base'!Q61*(1+PostalMarkup),2)</f>
        <v>56.58</v>
      </c>
      <c r="E68" s="300">
        <f>ROUND('USPS Base'!R61*(1+PostalMarkup),2)</f>
        <v>69.62</v>
      </c>
      <c r="F68" s="300">
        <f>ROUND('USPS Base'!S61*(1+PostalMarkup),2)</f>
        <v>93.62</v>
      </c>
      <c r="G68" s="300">
        <f>ROUND('USPS Base'!T61*(1+PostalMarkup),2)</f>
        <v>114.54</v>
      </c>
      <c r="H68" s="300">
        <f>ROUND('USPS Base'!U61*(1+PostalMarkup),2)</f>
        <v>135.07</v>
      </c>
      <c r="I68" s="300">
        <f>ROUND('USPS Base'!V61*(1+PostalMarkup),2)</f>
        <v>155.77000000000001</v>
      </c>
      <c r="J68" s="300">
        <f>ROUND('USPS Base'!W61*(1+PostalMarkup),2)</f>
        <v>155.77000000000001</v>
      </c>
      <c r="K68" s="300">
        <f>ROUND('USPS Base'!X61*(1+PostalMarkup),2)</f>
        <v>155.77000000000001</v>
      </c>
    </row>
    <row r="69" spans="1:11" ht="12.75" customHeight="1">
      <c r="A69" s="299">
        <v>45</v>
      </c>
      <c r="B69" s="300">
        <f>ROUND('USPS Base'!O62*(1+PostalMarkup),2)</f>
        <v>45.63</v>
      </c>
      <c r="C69" s="300">
        <f>ROUND('USPS Base'!P62*(1+PostalMarkup),2)</f>
        <v>50.35</v>
      </c>
      <c r="D69" s="300">
        <f>ROUND('USPS Base'!Q62*(1+PostalMarkup),2)</f>
        <v>57.49</v>
      </c>
      <c r="E69" s="300">
        <f>ROUND('USPS Base'!R62*(1+PostalMarkup),2)</f>
        <v>70.73</v>
      </c>
      <c r="F69" s="300">
        <f>ROUND('USPS Base'!S62*(1+PostalMarkup),2)</f>
        <v>95.28</v>
      </c>
      <c r="G69" s="300">
        <f>ROUND('USPS Base'!T62*(1+PostalMarkup),2)</f>
        <v>116.6</v>
      </c>
      <c r="H69" s="300">
        <f>ROUND('USPS Base'!U62*(1+PostalMarkup),2)</f>
        <v>137.55000000000001</v>
      </c>
      <c r="I69" s="300">
        <f>ROUND('USPS Base'!V62*(1+PostalMarkup),2)</f>
        <v>158.71</v>
      </c>
      <c r="J69" s="300">
        <f>ROUND('USPS Base'!W62*(1+PostalMarkup),2)</f>
        <v>158.71</v>
      </c>
      <c r="K69" s="300">
        <f>ROUND('USPS Base'!X62*(1+PostalMarkup),2)</f>
        <v>158.71</v>
      </c>
    </row>
    <row r="70" spans="1:11" ht="12.75" customHeight="1">
      <c r="A70" s="299">
        <v>46</v>
      </c>
      <c r="B70" s="300">
        <f>ROUND('USPS Base'!O63*(1+PostalMarkup),2)</f>
        <v>46.38</v>
      </c>
      <c r="C70" s="300">
        <f>ROUND('USPS Base'!P63*(1+PostalMarkup),2)</f>
        <v>51.12</v>
      </c>
      <c r="D70" s="300">
        <f>ROUND('USPS Base'!Q63*(1+PostalMarkup),2)</f>
        <v>58.36</v>
      </c>
      <c r="E70" s="300">
        <f>ROUND('USPS Base'!R63*(1+PostalMarkup),2)</f>
        <v>71.78</v>
      </c>
      <c r="F70" s="300">
        <f>ROUND('USPS Base'!S63*(1+PostalMarkup),2)</f>
        <v>96.86</v>
      </c>
      <c r="G70" s="300">
        <f>ROUND('USPS Base'!T63*(1+PostalMarkup),2)</f>
        <v>118.65</v>
      </c>
      <c r="H70" s="300">
        <f>ROUND('USPS Base'!U63*(1+PostalMarkup),2)</f>
        <v>140.01</v>
      </c>
      <c r="I70" s="300">
        <f>ROUND('USPS Base'!V63*(1+PostalMarkup),2)</f>
        <v>161.6</v>
      </c>
      <c r="J70" s="300">
        <f>ROUND('USPS Base'!W63*(1+PostalMarkup),2)</f>
        <v>161.6</v>
      </c>
      <c r="K70" s="300">
        <f>ROUND('USPS Base'!X63*(1+PostalMarkup),2)</f>
        <v>161.6</v>
      </c>
    </row>
    <row r="71" spans="1:11" ht="12.75" customHeight="1">
      <c r="A71" s="299">
        <v>47</v>
      </c>
      <c r="B71" s="300">
        <f>ROUND('USPS Base'!O64*(1+PostalMarkup),2)</f>
        <v>47.08</v>
      </c>
      <c r="C71" s="300">
        <f>ROUND('USPS Base'!P64*(1+PostalMarkup),2)</f>
        <v>51.89</v>
      </c>
      <c r="D71" s="300">
        <f>ROUND('USPS Base'!Q64*(1+PostalMarkup),2)</f>
        <v>59.21</v>
      </c>
      <c r="E71" s="300">
        <f>ROUND('USPS Base'!R64*(1+PostalMarkup),2)</f>
        <v>72.83</v>
      </c>
      <c r="F71" s="300">
        <f>ROUND('USPS Base'!S64*(1+PostalMarkup),2)</f>
        <v>98.44</v>
      </c>
      <c r="G71" s="300">
        <f>ROUND('USPS Base'!T64*(1+PostalMarkup),2)</f>
        <v>120.64</v>
      </c>
      <c r="H71" s="300">
        <f>ROUND('USPS Base'!U64*(1+PostalMarkup),2)</f>
        <v>142.38999999999999</v>
      </c>
      <c r="I71" s="300">
        <f>ROUND('USPS Base'!V64*(1+PostalMarkup),2)</f>
        <v>164.45</v>
      </c>
      <c r="J71" s="300">
        <f>ROUND('USPS Base'!W64*(1+PostalMarkup),2)</f>
        <v>164.45</v>
      </c>
      <c r="K71" s="300">
        <f>ROUND('USPS Base'!X64*(1+PostalMarkup),2)</f>
        <v>164.45</v>
      </c>
    </row>
    <row r="72" spans="1:11" ht="12.75" customHeight="1">
      <c r="A72" s="299">
        <v>48</v>
      </c>
      <c r="B72" s="300">
        <f>ROUND('USPS Base'!O65*(1+PostalMarkup),2)</f>
        <v>47.79</v>
      </c>
      <c r="C72" s="300">
        <f>ROUND('USPS Base'!P65*(1+PostalMarkup),2)</f>
        <v>52.65</v>
      </c>
      <c r="D72" s="300">
        <f>ROUND('USPS Base'!Q65*(1+PostalMarkup),2)</f>
        <v>60.05</v>
      </c>
      <c r="E72" s="300">
        <f>ROUND('USPS Base'!R65*(1+PostalMarkup),2)</f>
        <v>73.849999999999994</v>
      </c>
      <c r="F72" s="300">
        <f>ROUND('USPS Base'!S65*(1+PostalMarkup),2)</f>
        <v>100.02</v>
      </c>
      <c r="G72" s="300">
        <f>ROUND('USPS Base'!T65*(1+PostalMarkup),2)</f>
        <v>122.6</v>
      </c>
      <c r="H72" s="300">
        <f>ROUND('USPS Base'!U65*(1+PostalMarkup),2)</f>
        <v>144.79</v>
      </c>
      <c r="I72" s="300">
        <f>ROUND('USPS Base'!V65*(1+PostalMarkup),2)</f>
        <v>167.27</v>
      </c>
      <c r="J72" s="300">
        <f>ROUND('USPS Base'!W65*(1+PostalMarkup),2)</f>
        <v>167.27</v>
      </c>
      <c r="K72" s="300">
        <f>ROUND('USPS Base'!X65*(1+PostalMarkup),2)</f>
        <v>167.27</v>
      </c>
    </row>
    <row r="73" spans="1:11" ht="12.75" customHeight="1">
      <c r="A73" s="299">
        <v>49</v>
      </c>
      <c r="B73" s="300">
        <f>ROUND('USPS Base'!O66*(1+PostalMarkup),2)</f>
        <v>48.5</v>
      </c>
      <c r="C73" s="300">
        <f>ROUND('USPS Base'!P66*(1+PostalMarkup),2)</f>
        <v>53.38</v>
      </c>
      <c r="D73" s="300">
        <f>ROUND('USPS Base'!Q66*(1+PostalMarkup),2)</f>
        <v>60.86</v>
      </c>
      <c r="E73" s="300">
        <f>ROUND('USPS Base'!R66*(1+PostalMarkup),2)</f>
        <v>74.87</v>
      </c>
      <c r="F73" s="300">
        <f>ROUND('USPS Base'!S66*(1+PostalMarkup),2)</f>
        <v>101.55</v>
      </c>
      <c r="G73" s="300">
        <f>ROUND('USPS Base'!T66*(1+PostalMarkup),2)</f>
        <v>124.53</v>
      </c>
      <c r="H73" s="300">
        <f>ROUND('USPS Base'!U66*(1+PostalMarkup),2)</f>
        <v>147.13</v>
      </c>
      <c r="I73" s="300">
        <f>ROUND('USPS Base'!V66*(1+PostalMarkup),2)</f>
        <v>170.06</v>
      </c>
      <c r="J73" s="300">
        <f>ROUND('USPS Base'!W66*(1+PostalMarkup),2)</f>
        <v>170.06</v>
      </c>
      <c r="K73" s="300">
        <f>ROUND('USPS Base'!X66*(1+PostalMarkup),2)</f>
        <v>170.06</v>
      </c>
    </row>
    <row r="74" spans="1:11" ht="12.75" customHeight="1">
      <c r="A74" s="299">
        <v>50</v>
      </c>
      <c r="B74" s="300">
        <f>ROUND('USPS Base'!O67*(1+PostalMarkup),2)</f>
        <v>49.19</v>
      </c>
      <c r="C74" s="300">
        <f>ROUND('USPS Base'!P67*(1+PostalMarkup),2)</f>
        <v>54.13</v>
      </c>
      <c r="D74" s="300">
        <f>ROUND('USPS Base'!Q67*(1+PostalMarkup),2)</f>
        <v>61.67</v>
      </c>
      <c r="E74" s="300">
        <f>ROUND('USPS Base'!R67*(1+PostalMarkup),2)</f>
        <v>75.849999999999994</v>
      </c>
      <c r="F74" s="300">
        <f>ROUND('USPS Base'!S67*(1+PostalMarkup),2)</f>
        <v>103.04</v>
      </c>
      <c r="G74" s="300">
        <f>ROUND('USPS Base'!T67*(1+PostalMarkup),2)</f>
        <v>126.43</v>
      </c>
      <c r="H74" s="300">
        <f>ROUND('USPS Base'!U67*(1+PostalMarkup),2)</f>
        <v>149.44</v>
      </c>
      <c r="I74" s="300">
        <f>ROUND('USPS Base'!V67*(1+PostalMarkup),2)</f>
        <v>172.81</v>
      </c>
      <c r="J74" s="300">
        <f>ROUND('USPS Base'!W67*(1+PostalMarkup),2)</f>
        <v>172.81</v>
      </c>
      <c r="K74" s="300">
        <f>ROUND('USPS Base'!X67*(1+PostalMarkup),2)</f>
        <v>172.81</v>
      </c>
    </row>
    <row r="75" spans="1:11" ht="12.75" customHeight="1">
      <c r="A75" s="299">
        <v>51</v>
      </c>
      <c r="B75" s="300">
        <f>ROUND('USPS Base'!O68*(1+PostalMarkup),2)</f>
        <v>49.85</v>
      </c>
      <c r="C75" s="300">
        <f>ROUND('USPS Base'!P68*(1+PostalMarkup),2)</f>
        <v>54.87</v>
      </c>
      <c r="D75" s="300">
        <f>ROUND('USPS Base'!Q68*(1+PostalMarkup),2)</f>
        <v>62.43</v>
      </c>
      <c r="E75" s="300">
        <f>ROUND('USPS Base'!R68*(1+PostalMarkup),2)</f>
        <v>76.81</v>
      </c>
      <c r="F75" s="300">
        <f>ROUND('USPS Base'!S68*(1+PostalMarkup),2)</f>
        <v>104.51</v>
      </c>
      <c r="G75" s="300">
        <f>ROUND('USPS Base'!T68*(1+PostalMarkup),2)</f>
        <v>128.31</v>
      </c>
      <c r="H75" s="300">
        <f>ROUND('USPS Base'!U68*(1+PostalMarkup),2)</f>
        <v>151.71</v>
      </c>
      <c r="I75" s="300">
        <f>ROUND('USPS Base'!V68*(1+PostalMarkup),2)</f>
        <v>175.52</v>
      </c>
      <c r="J75" s="300">
        <f>ROUND('USPS Base'!W68*(1+PostalMarkup),2)</f>
        <v>175.52</v>
      </c>
      <c r="K75" s="300">
        <f>ROUND('USPS Base'!X68*(1+PostalMarkup),2)</f>
        <v>175.52</v>
      </c>
    </row>
    <row r="76" spans="1:11" ht="12.75" customHeight="1">
      <c r="A76" s="299">
        <v>52</v>
      </c>
      <c r="B76" s="300">
        <f>ROUND('USPS Base'!O69*(1+PostalMarkup),2)</f>
        <v>50.54</v>
      </c>
      <c r="C76" s="300">
        <f>ROUND('USPS Base'!P69*(1+PostalMarkup),2)</f>
        <v>55.56</v>
      </c>
      <c r="D76" s="300">
        <f>ROUND('USPS Base'!Q69*(1+PostalMarkup),2)</f>
        <v>63.19</v>
      </c>
      <c r="E76" s="300">
        <f>ROUND('USPS Base'!R69*(1+PostalMarkup),2)</f>
        <v>77.75</v>
      </c>
      <c r="F76" s="300">
        <f>ROUND('USPS Base'!S69*(1+PostalMarkup),2)</f>
        <v>105.97</v>
      </c>
      <c r="G76" s="300">
        <f>ROUND('USPS Base'!T69*(1+PostalMarkup),2)</f>
        <v>130.16</v>
      </c>
      <c r="H76" s="300">
        <f>ROUND('USPS Base'!U69*(1+PostalMarkup),2)</f>
        <v>153.94</v>
      </c>
      <c r="I76" s="300">
        <f>ROUND('USPS Base'!V69*(1+PostalMarkup),2)</f>
        <v>178.19</v>
      </c>
      <c r="J76" s="300">
        <f>ROUND('USPS Base'!W69*(1+PostalMarkup),2)</f>
        <v>178.19</v>
      </c>
      <c r="K76" s="300">
        <f>ROUND('USPS Base'!X69*(1+PostalMarkup),2)</f>
        <v>178.19</v>
      </c>
    </row>
    <row r="77" spans="1:11" ht="12.75" customHeight="1">
      <c r="A77" s="299">
        <v>53</v>
      </c>
      <c r="B77" s="300">
        <f>ROUND('USPS Base'!O70*(1+PostalMarkup),2)</f>
        <v>51.21</v>
      </c>
      <c r="C77" s="300">
        <f>ROUND('USPS Base'!P70*(1+PostalMarkup),2)</f>
        <v>56.26</v>
      </c>
      <c r="D77" s="300">
        <f>ROUND('USPS Base'!Q70*(1+PostalMarkup),2)</f>
        <v>63.95</v>
      </c>
      <c r="E77" s="300">
        <f>ROUND('USPS Base'!R70*(1+PostalMarkup),2)</f>
        <v>78.66</v>
      </c>
      <c r="F77" s="300">
        <f>ROUND('USPS Base'!S70*(1+PostalMarkup),2)</f>
        <v>107.39</v>
      </c>
      <c r="G77" s="300">
        <f>ROUND('USPS Base'!T70*(1+PostalMarkup),2)</f>
        <v>131.96</v>
      </c>
      <c r="H77" s="300">
        <f>ROUND('USPS Base'!U70*(1+PostalMarkup),2)</f>
        <v>156.16</v>
      </c>
      <c r="I77" s="300">
        <f>ROUND('USPS Base'!V70*(1+PostalMarkup),2)</f>
        <v>180.84</v>
      </c>
      <c r="J77" s="300">
        <f>ROUND('USPS Base'!W70*(1+PostalMarkup),2)</f>
        <v>180.84</v>
      </c>
      <c r="K77" s="300">
        <f>ROUND('USPS Base'!X70*(1+PostalMarkup),2)</f>
        <v>180.84</v>
      </c>
    </row>
    <row r="78" spans="1:11" ht="12.75" customHeight="1">
      <c r="A78" s="299">
        <v>54</v>
      </c>
      <c r="B78" s="300">
        <f>ROUND('USPS Base'!O71*(1+PostalMarkup),2)</f>
        <v>51.87</v>
      </c>
      <c r="C78" s="300">
        <f>ROUND('USPS Base'!P71*(1+PostalMarkup),2)</f>
        <v>56.94</v>
      </c>
      <c r="D78" s="300">
        <f>ROUND('USPS Base'!Q71*(1+PostalMarkup),2)</f>
        <v>64.69</v>
      </c>
      <c r="E78" s="300">
        <f>ROUND('USPS Base'!R71*(1+PostalMarkup),2)</f>
        <v>79.56</v>
      </c>
      <c r="F78" s="300">
        <f>ROUND('USPS Base'!S71*(1+PostalMarkup),2)</f>
        <v>108.8</v>
      </c>
      <c r="G78" s="300">
        <f>ROUND('USPS Base'!T71*(1+PostalMarkup),2)</f>
        <v>133.76</v>
      </c>
      <c r="H78" s="300">
        <f>ROUND('USPS Base'!U71*(1+PostalMarkup),2)</f>
        <v>158.32</v>
      </c>
      <c r="I78" s="300">
        <f>ROUND('USPS Base'!V71*(1+PostalMarkup),2)</f>
        <v>183.41</v>
      </c>
      <c r="J78" s="300">
        <f>ROUND('USPS Base'!W71*(1+PostalMarkup),2)</f>
        <v>183.41</v>
      </c>
      <c r="K78" s="300">
        <f>ROUND('USPS Base'!X71*(1+PostalMarkup),2)</f>
        <v>183.41</v>
      </c>
    </row>
    <row r="79" spans="1:11" ht="12.75" customHeight="1">
      <c r="A79" s="299">
        <v>55</v>
      </c>
      <c r="B79" s="300">
        <f>ROUND('USPS Base'!O72*(1+PostalMarkup),2)</f>
        <v>52.52</v>
      </c>
      <c r="C79" s="300">
        <f>ROUND('USPS Base'!P72*(1+PostalMarkup),2)</f>
        <v>57.62</v>
      </c>
      <c r="D79" s="300">
        <f>ROUND('USPS Base'!Q72*(1+PostalMarkup),2)</f>
        <v>65.38</v>
      </c>
      <c r="E79" s="300">
        <f>ROUND('USPS Base'!R72*(1+PostalMarkup),2)</f>
        <v>80.44</v>
      </c>
      <c r="F79" s="300">
        <f>ROUND('USPS Base'!S72*(1+PostalMarkup),2)</f>
        <v>110.17</v>
      </c>
      <c r="G79" s="300">
        <f>ROUND('USPS Base'!T72*(1+PostalMarkup),2)</f>
        <v>135.52000000000001</v>
      </c>
      <c r="H79" s="300">
        <f>ROUND('USPS Base'!U72*(1+PostalMarkup),2)</f>
        <v>160.46</v>
      </c>
      <c r="I79" s="300">
        <f>ROUND('USPS Base'!V72*(1+PostalMarkup),2)</f>
        <v>186</v>
      </c>
      <c r="J79" s="300">
        <f>ROUND('USPS Base'!W72*(1+PostalMarkup),2)</f>
        <v>186</v>
      </c>
      <c r="K79" s="300">
        <f>ROUND('USPS Base'!X72*(1+PostalMarkup),2)</f>
        <v>186</v>
      </c>
    </row>
    <row r="80" spans="1:11" ht="12.75" customHeight="1">
      <c r="A80" s="299">
        <v>56</v>
      </c>
      <c r="B80" s="300">
        <f>ROUND('USPS Base'!O73*(1+PostalMarkup),2)</f>
        <v>53.15</v>
      </c>
      <c r="C80" s="300">
        <f>ROUND('USPS Base'!P73*(1+PostalMarkup),2)</f>
        <v>58.27</v>
      </c>
      <c r="D80" s="300">
        <f>ROUND('USPS Base'!Q73*(1+PostalMarkup),2)</f>
        <v>66.09</v>
      </c>
      <c r="E80" s="300">
        <f>ROUND('USPS Base'!R73*(1+PostalMarkup),2)</f>
        <v>81.31</v>
      </c>
      <c r="F80" s="300">
        <f>ROUND('USPS Base'!S73*(1+PostalMarkup),2)</f>
        <v>111.53</v>
      </c>
      <c r="G80" s="300">
        <f>ROUND('USPS Base'!T73*(1+PostalMarkup),2)</f>
        <v>137.22</v>
      </c>
      <c r="H80" s="300">
        <f>ROUND('USPS Base'!U73*(1+PostalMarkup),2)</f>
        <v>162.55000000000001</v>
      </c>
      <c r="I80" s="300">
        <f>ROUND('USPS Base'!V73*(1+PostalMarkup),2)</f>
        <v>188.52</v>
      </c>
      <c r="J80" s="300">
        <f>ROUND('USPS Base'!W73*(1+PostalMarkup),2)</f>
        <v>188.52</v>
      </c>
      <c r="K80" s="300">
        <f>ROUND('USPS Base'!X73*(1+PostalMarkup),2)</f>
        <v>188.52</v>
      </c>
    </row>
    <row r="81" spans="1:11" ht="12.75" customHeight="1">
      <c r="A81" s="299">
        <v>57</v>
      </c>
      <c r="B81" s="300">
        <f>ROUND('USPS Base'!O74*(1+PostalMarkup),2)</f>
        <v>53.81</v>
      </c>
      <c r="C81" s="300">
        <f>ROUND('USPS Base'!P74*(1+PostalMarkup),2)</f>
        <v>58.93</v>
      </c>
      <c r="D81" s="300">
        <f>ROUND('USPS Base'!Q74*(1+PostalMarkup),2)</f>
        <v>66.760000000000005</v>
      </c>
      <c r="E81" s="300">
        <f>ROUND('USPS Base'!R74*(1+PostalMarkup),2)</f>
        <v>82.13</v>
      </c>
      <c r="F81" s="300">
        <f>ROUND('USPS Base'!S74*(1+PostalMarkup),2)</f>
        <v>112.83</v>
      </c>
      <c r="G81" s="300">
        <f>ROUND('USPS Base'!T74*(1+PostalMarkup),2)</f>
        <v>138.93</v>
      </c>
      <c r="H81" s="300">
        <f>ROUND('USPS Base'!U74*(1+PostalMarkup),2)</f>
        <v>164.62</v>
      </c>
      <c r="I81" s="300">
        <f>ROUND('USPS Base'!V74*(1+PostalMarkup),2)</f>
        <v>191.02</v>
      </c>
      <c r="J81" s="300">
        <f>ROUND('USPS Base'!W74*(1+PostalMarkup),2)</f>
        <v>191.02</v>
      </c>
      <c r="K81" s="300">
        <f>ROUND('USPS Base'!X74*(1+PostalMarkup),2)</f>
        <v>191.02</v>
      </c>
    </row>
    <row r="82" spans="1:11" ht="12.75" customHeight="1">
      <c r="A82" s="299">
        <v>58</v>
      </c>
      <c r="B82" s="300">
        <f>ROUND('USPS Base'!O75*(1+PostalMarkup),2)</f>
        <v>54.43</v>
      </c>
      <c r="C82" s="300">
        <f>ROUND('USPS Base'!P75*(1+PostalMarkup),2)</f>
        <v>59.55</v>
      </c>
      <c r="D82" s="300">
        <f>ROUND('USPS Base'!Q75*(1+PostalMarkup),2)</f>
        <v>67.41</v>
      </c>
      <c r="E82" s="300">
        <f>ROUND('USPS Base'!R75*(1+PostalMarkup),2)</f>
        <v>82.93</v>
      </c>
      <c r="F82" s="300">
        <f>ROUND('USPS Base'!S75*(1+PostalMarkup),2)</f>
        <v>114.13</v>
      </c>
      <c r="G82" s="300">
        <f>ROUND('USPS Base'!T75*(1+PostalMarkup),2)</f>
        <v>140.56</v>
      </c>
      <c r="H82" s="300">
        <f>ROUND('USPS Base'!U75*(1+PostalMarkup),2)</f>
        <v>166.65</v>
      </c>
      <c r="I82" s="300">
        <f>ROUND('USPS Base'!V75*(1+PostalMarkup),2)</f>
        <v>193.46</v>
      </c>
      <c r="J82" s="300">
        <f>ROUND('USPS Base'!W75*(1+PostalMarkup),2)</f>
        <v>193.46</v>
      </c>
      <c r="K82" s="300">
        <f>ROUND('USPS Base'!X75*(1+PostalMarkup),2)</f>
        <v>193.46</v>
      </c>
    </row>
    <row r="83" spans="1:11" ht="12.75" customHeight="1">
      <c r="A83" s="299">
        <v>59</v>
      </c>
      <c r="B83" s="300">
        <f>ROUND('USPS Base'!O76*(1+PostalMarkup),2)</f>
        <v>55.06</v>
      </c>
      <c r="C83" s="300">
        <f>ROUND('USPS Base'!P76*(1+PostalMarkup),2)</f>
        <v>60.19</v>
      </c>
      <c r="D83" s="300">
        <f>ROUND('USPS Base'!Q76*(1+PostalMarkup),2)</f>
        <v>68.06</v>
      </c>
      <c r="E83" s="300">
        <f>ROUND('USPS Base'!R76*(1+PostalMarkup),2)</f>
        <v>83.73</v>
      </c>
      <c r="F83" s="300">
        <f>ROUND('USPS Base'!S76*(1+PostalMarkup),2)</f>
        <v>115.4</v>
      </c>
      <c r="G83" s="300">
        <f>ROUND('USPS Base'!T76*(1+PostalMarkup),2)</f>
        <v>142.22</v>
      </c>
      <c r="H83" s="300">
        <f>ROUND('USPS Base'!U76*(1+PostalMarkup),2)</f>
        <v>168.64</v>
      </c>
      <c r="I83" s="300">
        <f>ROUND('USPS Base'!V76*(1+PostalMarkup),2)</f>
        <v>195.88</v>
      </c>
      <c r="J83" s="300">
        <f>ROUND('USPS Base'!W76*(1+PostalMarkup),2)</f>
        <v>195.88</v>
      </c>
      <c r="K83" s="300">
        <f>ROUND('USPS Base'!X76*(1+PostalMarkup),2)</f>
        <v>195.88</v>
      </c>
    </row>
    <row r="84" spans="1:11" ht="12.75" customHeight="1">
      <c r="A84" s="299">
        <v>60</v>
      </c>
      <c r="B84" s="300">
        <f>ROUND('USPS Base'!O77*(1+PostalMarkup),2)</f>
        <v>55.65</v>
      </c>
      <c r="C84" s="300">
        <f>ROUND('USPS Base'!P77*(1+PostalMarkup),2)</f>
        <v>60.8</v>
      </c>
      <c r="D84" s="300">
        <f>ROUND('USPS Base'!Q77*(1+PostalMarkup),2)</f>
        <v>68.67</v>
      </c>
      <c r="E84" s="300">
        <f>ROUND('USPS Base'!R77*(1+PostalMarkup),2)</f>
        <v>84.48</v>
      </c>
      <c r="F84" s="300">
        <f>ROUND('USPS Base'!S77*(1+PostalMarkup),2)</f>
        <v>116.63</v>
      </c>
      <c r="G84" s="300">
        <f>ROUND('USPS Base'!T77*(1+PostalMarkup),2)</f>
        <v>143.80000000000001</v>
      </c>
      <c r="H84" s="300">
        <f>ROUND('USPS Base'!U77*(1+PostalMarkup),2)</f>
        <v>170.6</v>
      </c>
      <c r="I84" s="300">
        <f>ROUND('USPS Base'!V77*(1+PostalMarkup),2)</f>
        <v>198.25</v>
      </c>
      <c r="J84" s="300">
        <f>ROUND('USPS Base'!W77*(1+PostalMarkup),2)</f>
        <v>198.25</v>
      </c>
      <c r="K84" s="300">
        <f>ROUND('USPS Base'!X77*(1+PostalMarkup),2)</f>
        <v>198.25</v>
      </c>
    </row>
    <row r="85" spans="1:11" ht="12.75" customHeight="1">
      <c r="A85" s="299">
        <v>61</v>
      </c>
      <c r="B85" s="300">
        <f>ROUND('USPS Base'!O78*(1+PostalMarkup),2)</f>
        <v>56.26</v>
      </c>
      <c r="C85" s="300">
        <f>ROUND('USPS Base'!P78*(1+PostalMarkup),2)</f>
        <v>61.41</v>
      </c>
      <c r="D85" s="300">
        <f>ROUND('USPS Base'!Q78*(1+PostalMarkup),2)</f>
        <v>69.28</v>
      </c>
      <c r="E85" s="300">
        <f>ROUND('USPS Base'!R78*(1+PostalMarkup),2)</f>
        <v>85.24</v>
      </c>
      <c r="F85" s="300">
        <f>ROUND('USPS Base'!S78*(1+PostalMarkup),2)</f>
        <v>117.85</v>
      </c>
      <c r="G85" s="300">
        <f>ROUND('USPS Base'!T78*(1+PostalMarkup),2)</f>
        <v>145.37</v>
      </c>
      <c r="H85" s="300">
        <f>ROUND('USPS Base'!U78*(1+PostalMarkup),2)</f>
        <v>172.52</v>
      </c>
      <c r="I85" s="300">
        <f>ROUND('USPS Base'!V78*(1+PostalMarkup),2)</f>
        <v>200.61</v>
      </c>
      <c r="J85" s="300">
        <f>ROUND('USPS Base'!W78*(1+PostalMarkup),2)</f>
        <v>200.61</v>
      </c>
      <c r="K85" s="300">
        <f>ROUND('USPS Base'!X78*(1+PostalMarkup),2)</f>
        <v>200.61</v>
      </c>
    </row>
    <row r="86" spans="1:11" ht="12.75" customHeight="1">
      <c r="A86" s="299">
        <v>62</v>
      </c>
      <c r="B86" s="300">
        <f>ROUND('USPS Base'!O79*(1+PostalMarkup),2)</f>
        <v>56.87</v>
      </c>
      <c r="C86" s="300">
        <f>ROUND('USPS Base'!P79*(1+PostalMarkup),2)</f>
        <v>61.97</v>
      </c>
      <c r="D86" s="300">
        <f>ROUND('USPS Base'!Q79*(1+PostalMarkup),2)</f>
        <v>69.87</v>
      </c>
      <c r="E86" s="300">
        <f>ROUND('USPS Base'!R79*(1+PostalMarkup),2)</f>
        <v>85.95</v>
      </c>
      <c r="F86" s="300">
        <f>ROUND('USPS Base'!S79*(1+PostalMarkup),2)</f>
        <v>119.04</v>
      </c>
      <c r="G86" s="300">
        <f>ROUND('USPS Base'!T79*(1+PostalMarkup),2)</f>
        <v>146.91999999999999</v>
      </c>
      <c r="H86" s="300">
        <f>ROUND('USPS Base'!U79*(1+PostalMarkup),2)</f>
        <v>174.41</v>
      </c>
      <c r="I86" s="300">
        <f>ROUND('USPS Base'!V79*(1+PostalMarkup),2)</f>
        <v>202.91</v>
      </c>
      <c r="J86" s="300">
        <f>ROUND('USPS Base'!W79*(1+PostalMarkup),2)</f>
        <v>202.91</v>
      </c>
      <c r="K86" s="300">
        <f>ROUND('USPS Base'!X79*(1+PostalMarkup),2)</f>
        <v>202.91</v>
      </c>
    </row>
    <row r="87" spans="1:11" ht="12.75" customHeight="1">
      <c r="A87" s="299">
        <v>63</v>
      </c>
      <c r="B87" s="300">
        <f>ROUND('USPS Base'!O80*(1+PostalMarkup),2)</f>
        <v>57.44</v>
      </c>
      <c r="C87" s="300">
        <f>ROUND('USPS Base'!P80*(1+PostalMarkup),2)</f>
        <v>62.57</v>
      </c>
      <c r="D87" s="300">
        <f>ROUND('USPS Base'!Q80*(1+PostalMarkup),2)</f>
        <v>70.44</v>
      </c>
      <c r="E87" s="300">
        <f>ROUND('USPS Base'!R80*(1+PostalMarkup),2)</f>
        <v>86.64</v>
      </c>
      <c r="F87" s="300">
        <f>ROUND('USPS Base'!S80*(1+PostalMarkup),2)</f>
        <v>120.21</v>
      </c>
      <c r="G87" s="300">
        <f>ROUND('USPS Base'!T80*(1+PostalMarkup),2)</f>
        <v>148.43</v>
      </c>
      <c r="H87" s="300">
        <f>ROUND('USPS Base'!U80*(1+PostalMarkup),2)</f>
        <v>176.27</v>
      </c>
      <c r="I87" s="300">
        <f>ROUND('USPS Base'!V80*(1+PostalMarkup),2)</f>
        <v>205.18</v>
      </c>
      <c r="J87" s="300">
        <f>ROUND('USPS Base'!W80*(1+PostalMarkup),2)</f>
        <v>205.18</v>
      </c>
      <c r="K87" s="300">
        <f>ROUND('USPS Base'!X80*(1+PostalMarkup),2)</f>
        <v>205.18</v>
      </c>
    </row>
    <row r="88" spans="1:11" ht="12.75" customHeight="1">
      <c r="A88" s="299">
        <v>64</v>
      </c>
      <c r="B88" s="300">
        <f>ROUND('USPS Base'!O81*(1+PostalMarkup),2)</f>
        <v>58.03</v>
      </c>
      <c r="C88" s="300">
        <f>ROUND('USPS Base'!P81*(1+PostalMarkup),2)</f>
        <v>63.14</v>
      </c>
      <c r="D88" s="300">
        <f>ROUND('USPS Base'!Q81*(1+PostalMarkup),2)</f>
        <v>70.989999999999995</v>
      </c>
      <c r="E88" s="300">
        <f>ROUND('USPS Base'!R81*(1+PostalMarkup),2)</f>
        <v>87.32</v>
      </c>
      <c r="F88" s="300">
        <f>ROUND('USPS Base'!S81*(1+PostalMarkup),2)</f>
        <v>121.36</v>
      </c>
      <c r="G88" s="300">
        <f>ROUND('USPS Base'!T81*(1+PostalMarkup),2)</f>
        <v>149.9</v>
      </c>
      <c r="H88" s="300">
        <f>ROUND('USPS Base'!U81*(1+PostalMarkup),2)</f>
        <v>178.1</v>
      </c>
      <c r="I88" s="300">
        <f>ROUND('USPS Base'!V81*(1+PostalMarkup),2)</f>
        <v>207.41</v>
      </c>
      <c r="J88" s="300">
        <f>ROUND('USPS Base'!W81*(1+PostalMarkup),2)</f>
        <v>207.41</v>
      </c>
      <c r="K88" s="300">
        <f>ROUND('USPS Base'!X81*(1+PostalMarkup),2)</f>
        <v>207.41</v>
      </c>
    </row>
    <row r="89" spans="1:11" ht="12.75" customHeight="1">
      <c r="A89" s="299">
        <v>65</v>
      </c>
      <c r="B89" s="300">
        <f>ROUND('USPS Base'!O82*(1+PostalMarkup),2)</f>
        <v>58.58</v>
      </c>
      <c r="C89" s="300">
        <f>ROUND('USPS Base'!P82*(1+PostalMarkup),2)</f>
        <v>63.69</v>
      </c>
      <c r="D89" s="300">
        <f>ROUND('USPS Base'!Q82*(1+PostalMarkup),2)</f>
        <v>71.52</v>
      </c>
      <c r="E89" s="300">
        <f>ROUND('USPS Base'!R82*(1+PostalMarkup),2)</f>
        <v>87.99</v>
      </c>
      <c r="F89" s="300">
        <f>ROUND('USPS Base'!S82*(1+PostalMarkup),2)</f>
        <v>122.46</v>
      </c>
      <c r="G89" s="300">
        <f>ROUND('USPS Base'!T82*(1+PostalMarkup),2)</f>
        <v>151.34</v>
      </c>
      <c r="H89" s="300">
        <f>ROUND('USPS Base'!U82*(1+PostalMarkup),2)</f>
        <v>179.88</v>
      </c>
      <c r="I89" s="300">
        <f>ROUND('USPS Base'!V82*(1+PostalMarkup),2)</f>
        <v>209.59</v>
      </c>
      <c r="J89" s="300">
        <f>ROUND('USPS Base'!W82*(1+PostalMarkup),2)</f>
        <v>209.59</v>
      </c>
      <c r="K89" s="300">
        <f>ROUND('USPS Base'!X82*(1+PostalMarkup),2)</f>
        <v>209.59</v>
      </c>
    </row>
    <row r="90" spans="1:11" ht="12.75" customHeight="1">
      <c r="A90" s="299">
        <v>66</v>
      </c>
      <c r="B90" s="300">
        <f>ROUND('USPS Base'!O83*(1+PostalMarkup),2)</f>
        <v>59.16</v>
      </c>
      <c r="C90" s="300">
        <f>ROUND('USPS Base'!P83*(1+PostalMarkup),2)</f>
        <v>64.23</v>
      </c>
      <c r="D90" s="300">
        <f>ROUND('USPS Base'!Q83*(1+PostalMarkup),2)</f>
        <v>72.02</v>
      </c>
      <c r="E90" s="300">
        <f>ROUND('USPS Base'!R83*(1+PostalMarkup),2)</f>
        <v>88.62</v>
      </c>
      <c r="F90" s="300">
        <f>ROUND('USPS Base'!S83*(1+PostalMarkup),2)</f>
        <v>123.54</v>
      </c>
      <c r="G90" s="300">
        <f>ROUND('USPS Base'!T83*(1+PostalMarkup),2)</f>
        <v>152.75</v>
      </c>
      <c r="H90" s="300">
        <f>ROUND('USPS Base'!U83*(1+PostalMarkup),2)</f>
        <v>181.62</v>
      </c>
      <c r="I90" s="300">
        <f>ROUND('USPS Base'!V83*(1+PostalMarkup),2)</f>
        <v>211.75</v>
      </c>
      <c r="J90" s="300">
        <f>ROUND('USPS Base'!W83*(1+PostalMarkup),2)</f>
        <v>211.75</v>
      </c>
      <c r="K90" s="300">
        <f>ROUND('USPS Base'!X83*(1+PostalMarkup),2)</f>
        <v>211.75</v>
      </c>
    </row>
    <row r="91" spans="1:11" ht="12.75" customHeight="1">
      <c r="A91" s="299">
        <v>67</v>
      </c>
      <c r="B91" s="300">
        <f>ROUND('USPS Base'!O84*(1+PostalMarkup),2)</f>
        <v>59.72</v>
      </c>
      <c r="C91" s="300">
        <f>ROUND('USPS Base'!P84*(1+PostalMarkup),2)</f>
        <v>64.75</v>
      </c>
      <c r="D91" s="300">
        <f>ROUND('USPS Base'!Q84*(1+PostalMarkup),2)</f>
        <v>72.52</v>
      </c>
      <c r="E91" s="300">
        <f>ROUND('USPS Base'!R84*(1+PostalMarkup),2)</f>
        <v>89.24</v>
      </c>
      <c r="F91" s="300">
        <f>ROUND('USPS Base'!S84*(1+PostalMarkup),2)</f>
        <v>124.6</v>
      </c>
      <c r="G91" s="300">
        <f>ROUND('USPS Base'!T84*(1+PostalMarkup),2)</f>
        <v>154.15</v>
      </c>
      <c r="H91" s="300">
        <f>ROUND('USPS Base'!U84*(1+PostalMarkup),2)</f>
        <v>183.36</v>
      </c>
      <c r="I91" s="300">
        <f>ROUND('USPS Base'!V84*(1+PostalMarkup),2)</f>
        <v>213.88</v>
      </c>
      <c r="J91" s="300">
        <f>ROUND('USPS Base'!W84*(1+PostalMarkup),2)</f>
        <v>213.88</v>
      </c>
      <c r="K91" s="300">
        <f>ROUND('USPS Base'!X84*(1+PostalMarkup),2)</f>
        <v>213.88</v>
      </c>
    </row>
    <row r="92" spans="1:11" ht="12.75" customHeight="1">
      <c r="A92" s="299">
        <v>68</v>
      </c>
      <c r="B92" s="300">
        <f>ROUND('USPS Base'!O85*(1+PostalMarkup),2)</f>
        <v>60.27</v>
      </c>
      <c r="C92" s="300">
        <f>ROUND('USPS Base'!P85*(1+PostalMarkup),2)</f>
        <v>65.27</v>
      </c>
      <c r="D92" s="300">
        <f>ROUND('USPS Base'!Q85*(1+PostalMarkup),2)</f>
        <v>73.010000000000005</v>
      </c>
      <c r="E92" s="300">
        <f>ROUND('USPS Base'!R85*(1+PostalMarkup),2)</f>
        <v>89.83</v>
      </c>
      <c r="F92" s="300">
        <f>ROUND('USPS Base'!S85*(1+PostalMarkup),2)</f>
        <v>125.64</v>
      </c>
      <c r="G92" s="300">
        <f>ROUND('USPS Base'!T85*(1+PostalMarkup),2)</f>
        <v>155.5</v>
      </c>
      <c r="H92" s="300">
        <f>ROUND('USPS Base'!U85*(1+PostalMarkup),2)</f>
        <v>185.04</v>
      </c>
      <c r="I92" s="300">
        <f>ROUND('USPS Base'!V85*(1+PostalMarkup),2)</f>
        <v>215.96</v>
      </c>
      <c r="J92" s="300">
        <f>ROUND('USPS Base'!W85*(1+PostalMarkup),2)</f>
        <v>215.96</v>
      </c>
      <c r="K92" s="300">
        <f>ROUND('USPS Base'!X85*(1+PostalMarkup),2)</f>
        <v>215.96</v>
      </c>
    </row>
    <row r="93" spans="1:11" ht="12.75" customHeight="1">
      <c r="A93" s="299">
        <v>69</v>
      </c>
      <c r="B93" s="300">
        <f>ROUND('USPS Base'!O86*(1+PostalMarkup),2)</f>
        <v>60.81</v>
      </c>
      <c r="C93" s="300">
        <f>ROUND('USPS Base'!P86*(1+PostalMarkup),2)</f>
        <v>65.78</v>
      </c>
      <c r="D93" s="300">
        <f>ROUND('USPS Base'!Q86*(1+PostalMarkup),2)</f>
        <v>73.45</v>
      </c>
      <c r="E93" s="300">
        <f>ROUND('USPS Base'!R86*(1+PostalMarkup),2)</f>
        <v>90.4</v>
      </c>
      <c r="F93" s="300">
        <f>ROUND('USPS Base'!S86*(1+PostalMarkup),2)</f>
        <v>126.65</v>
      </c>
      <c r="G93" s="300">
        <f>ROUND('USPS Base'!T86*(1+PostalMarkup),2)</f>
        <v>156.79</v>
      </c>
      <c r="H93" s="300">
        <f>ROUND('USPS Base'!U86*(1+PostalMarkup),2)</f>
        <v>186.68</v>
      </c>
      <c r="I93" s="300">
        <f>ROUND('USPS Base'!V86*(1+PostalMarkup),2)</f>
        <v>218.01</v>
      </c>
      <c r="J93" s="300">
        <f>ROUND('USPS Base'!W86*(1+PostalMarkup),2)</f>
        <v>218.01</v>
      </c>
      <c r="K93" s="300">
        <f>ROUND('USPS Base'!X86*(1+PostalMarkup),2)</f>
        <v>218.01</v>
      </c>
    </row>
    <row r="94" spans="1:11" ht="12.75" customHeight="1">
      <c r="A94" s="299">
        <v>70</v>
      </c>
      <c r="B94" s="300">
        <f>ROUND('USPS Base'!O87*(1+PostalMarkup),2)</f>
        <v>61.33</v>
      </c>
      <c r="C94" s="300">
        <f>ROUND('USPS Base'!P87*(1+PostalMarkup),2)</f>
        <v>66.27</v>
      </c>
      <c r="D94" s="300">
        <f>ROUND('USPS Base'!Q87*(1+PostalMarkup),2)</f>
        <v>73.900000000000006</v>
      </c>
      <c r="E94" s="300">
        <f>ROUND('USPS Base'!R87*(1+PostalMarkup),2)</f>
        <v>90.94</v>
      </c>
      <c r="F94" s="300">
        <f>ROUND('USPS Base'!S87*(1+PostalMarkup),2)</f>
        <v>127.62</v>
      </c>
      <c r="G94" s="300">
        <f>ROUND('USPS Base'!T87*(1+PostalMarkup),2)</f>
        <v>158.08000000000001</v>
      </c>
      <c r="H94" s="300">
        <f>ROUND('USPS Base'!U87*(1+PostalMarkup),2)</f>
        <v>188.29</v>
      </c>
      <c r="I94" s="300">
        <f>ROUND('USPS Base'!V87*(1+PostalMarkup),2)</f>
        <v>220.01</v>
      </c>
      <c r="J94" s="300">
        <f>ROUND('USPS Base'!W87*(1+PostalMarkup),2)</f>
        <v>220.01</v>
      </c>
      <c r="K94" s="300">
        <f>ROUND('USPS Base'!X87*(1+PostalMarkup),2)</f>
        <v>220.01</v>
      </c>
    </row>
    <row r="95" spans="1:11" ht="12.75" customHeight="1"/>
    <row r="96" spans="1:11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conditionalFormatting sqref="A9:K94">
    <cfRule type="expression" dxfId="9" priority="1">
      <formula>MOD(ROW(),2)=0</formula>
    </cfRule>
  </conditionalFormatting>
  <conditionalFormatting sqref="M9:W17">
    <cfRule type="expression" dxfId="8" priority="2">
      <formula>MOD(ROW(),2)=0</formula>
    </cfRule>
  </conditionalFormatting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F5496"/>
  </sheetPr>
  <dimension ref="A1:K1000"/>
  <sheetViews>
    <sheetView workbookViewId="0">
      <pane ySplit="6" topLeftCell="A7" activePane="bottomLeft" state="frozen"/>
      <selection pane="bottomLeft" activeCell="B8" sqref="B8"/>
    </sheetView>
  </sheetViews>
  <sheetFormatPr defaultColWidth="12.5703125" defaultRowHeight="15" customHeight="1"/>
  <cols>
    <col min="1" max="1" width="14.5703125" customWidth="1"/>
    <col min="2" max="8" width="8.5703125" customWidth="1"/>
    <col min="9" max="9" width="13.28515625" customWidth="1"/>
    <col min="10" max="10" width="10.42578125" customWidth="1"/>
    <col min="11" max="11" width="9.5703125" customWidth="1"/>
  </cols>
  <sheetData>
    <row r="1" spans="1:11" ht="15" customHeight="1">
      <c r="B1" s="303" t="s">
        <v>145</v>
      </c>
    </row>
    <row r="2" spans="1:11" ht="15" customHeight="1">
      <c r="B2" s="303" t="s">
        <v>146</v>
      </c>
    </row>
    <row r="3" spans="1:11" ht="15" customHeight="1">
      <c r="B3" s="303" t="s">
        <v>147</v>
      </c>
    </row>
    <row r="5" spans="1:11" ht="20.25" customHeight="1">
      <c r="A5" s="298" t="s">
        <v>5</v>
      </c>
      <c r="B5" s="214" t="s">
        <v>67</v>
      </c>
      <c r="C5" s="214" t="s">
        <v>67</v>
      </c>
      <c r="D5" s="214" t="s">
        <v>67</v>
      </c>
      <c r="E5" s="214" t="s">
        <v>67</v>
      </c>
      <c r="F5" s="214" t="s">
        <v>67</v>
      </c>
      <c r="G5" s="214" t="s">
        <v>67</v>
      </c>
      <c r="H5" s="214" t="s">
        <v>67</v>
      </c>
      <c r="I5" s="214" t="s">
        <v>67</v>
      </c>
      <c r="J5" s="214" t="s">
        <v>67</v>
      </c>
      <c r="K5" s="223" t="s">
        <v>67</v>
      </c>
    </row>
    <row r="6" spans="1:11" ht="33.75">
      <c r="A6" s="282" t="s">
        <v>148</v>
      </c>
      <c r="B6" s="282">
        <v>2</v>
      </c>
      <c r="C6" s="282">
        <v>3</v>
      </c>
      <c r="D6" s="282">
        <v>4</v>
      </c>
      <c r="E6" s="282">
        <v>5</v>
      </c>
      <c r="F6" s="282">
        <v>6</v>
      </c>
      <c r="G6" s="282">
        <v>7</v>
      </c>
      <c r="H6" s="282">
        <v>8</v>
      </c>
      <c r="I6" s="282" t="s">
        <v>149</v>
      </c>
      <c r="J6" s="282" t="s">
        <v>150</v>
      </c>
      <c r="K6" s="282" t="s">
        <v>151</v>
      </c>
    </row>
    <row r="7" spans="1:11">
      <c r="A7" s="304">
        <f>DHL!B2</f>
        <v>6.25E-2</v>
      </c>
      <c r="B7" s="300">
        <f>ROUND((DHL!C2+DHL_FS)*(1+PostalMarkup),2)</f>
        <v>4.99</v>
      </c>
      <c r="C7" s="300">
        <f>ROUND((DHL!D2+DHL_FS)*(1+PostalMarkup),2)</f>
        <v>4.99</v>
      </c>
      <c r="D7" s="300">
        <f>ROUND((DHL!E2+DHL_FS)*(1+PostalMarkup),2)</f>
        <v>4.99</v>
      </c>
      <c r="E7" s="300">
        <f>ROUND((DHL!F2+DHL_FS)*(1+PostalMarkup),2)</f>
        <v>4.99</v>
      </c>
      <c r="F7" s="300">
        <f>ROUND((DHL!G2+DHL_FS)*(1+PostalMarkup),2)</f>
        <v>4.99</v>
      </c>
      <c r="G7" s="300">
        <f>ROUND((DHL!H2+DHL_FS)*(1+PostalMarkup),2)</f>
        <v>4.99</v>
      </c>
      <c r="H7" s="300">
        <f>ROUND((DHL!I2+DHL_FS)*(1+PostalMarkup),2)</f>
        <v>4.99</v>
      </c>
      <c r="I7" s="300">
        <f>ROUND((DHL!J2+DHL_FS)*(1+PostalMarkup),2)</f>
        <v>7.31</v>
      </c>
      <c r="J7" s="300">
        <f>ROUND((DHL!K2+DHL_FS)*(1+PostalMarkup),2)</f>
        <v>7.31</v>
      </c>
      <c r="K7" s="300">
        <f>ROUND((DHL!L2+DHL_FS)*(1+PostalMarkup),2)</f>
        <v>7.31</v>
      </c>
    </row>
    <row r="8" spans="1:11">
      <c r="A8" s="304">
        <f>DHL!B3</f>
        <v>0.125</v>
      </c>
      <c r="B8" s="300">
        <f>ROUND((DHL!C3+DHL_FS)*(1+PostalMarkup),2)</f>
        <v>5</v>
      </c>
      <c r="C8" s="300">
        <f>ROUND((DHL!D3+DHL_FS)*(1+PostalMarkup),2)</f>
        <v>5</v>
      </c>
      <c r="D8" s="300">
        <f>ROUND((DHL!E3+DHL_FS)*(1+PostalMarkup),2)</f>
        <v>5</v>
      </c>
      <c r="E8" s="300">
        <f>ROUND((DHL!F3+DHL_FS)*(1+PostalMarkup),2)</f>
        <v>5</v>
      </c>
      <c r="F8" s="300">
        <f>ROUND((DHL!G3+DHL_FS)*(1+PostalMarkup),2)</f>
        <v>5</v>
      </c>
      <c r="G8" s="300">
        <f>ROUND((DHL!H3+DHL_FS)*(1+PostalMarkup),2)</f>
        <v>5.01</v>
      </c>
      <c r="H8" s="300">
        <f>ROUND((DHL!I3+DHL_FS)*(1+PostalMarkup),2)</f>
        <v>5.01</v>
      </c>
      <c r="I8" s="300">
        <f>ROUND((DHL!J3+DHL_FS)*(1+PostalMarkup),2)</f>
        <v>7.31</v>
      </c>
      <c r="J8" s="300">
        <f>ROUND((DHL!K3+DHL_FS)*(1+PostalMarkup),2)</f>
        <v>7.31</v>
      </c>
      <c r="K8" s="300">
        <f>ROUND((DHL!L3+DHL_FS)*(1+PostalMarkup),2)</f>
        <v>7.31</v>
      </c>
    </row>
    <row r="9" spans="1:11">
      <c r="A9" s="304">
        <f>DHL!B4</f>
        <v>0.1875</v>
      </c>
      <c r="B9" s="300">
        <f>ROUND((DHL!C4+DHL_FS)*(1+PostalMarkup),2)</f>
        <v>5.01</v>
      </c>
      <c r="C9" s="300">
        <f>ROUND((DHL!D4+DHL_FS)*(1+PostalMarkup),2)</f>
        <v>5.01</v>
      </c>
      <c r="D9" s="300">
        <f>ROUND((DHL!E4+DHL_FS)*(1+PostalMarkup),2)</f>
        <v>5.01</v>
      </c>
      <c r="E9" s="300">
        <f>ROUND((DHL!F4+DHL_FS)*(1+PostalMarkup),2)</f>
        <v>5.01</v>
      </c>
      <c r="F9" s="300">
        <f>ROUND((DHL!G4+DHL_FS)*(1+PostalMarkup),2)</f>
        <v>5.01</v>
      </c>
      <c r="G9" s="300">
        <f>ROUND((DHL!H4+DHL_FS)*(1+PostalMarkup),2)</f>
        <v>5.05</v>
      </c>
      <c r="H9" s="300">
        <f>ROUND((DHL!I4+DHL_FS)*(1+PostalMarkup),2)</f>
        <v>5.05</v>
      </c>
      <c r="I9" s="300">
        <f>ROUND((DHL!J4+DHL_FS)*(1+PostalMarkup),2)</f>
        <v>7.31</v>
      </c>
      <c r="J9" s="300">
        <f>ROUND((DHL!K4+DHL_FS)*(1+PostalMarkup),2)</f>
        <v>7.31</v>
      </c>
      <c r="K9" s="300">
        <f>ROUND((DHL!L4+DHL_FS)*(1+PostalMarkup),2)</f>
        <v>7.31</v>
      </c>
    </row>
    <row r="10" spans="1:11">
      <c r="A10" s="304">
        <f>DHL!B5</f>
        <v>0.25</v>
      </c>
      <c r="B10" s="300">
        <f>ROUND((DHL!C5+DHL_FS)*(1+PostalMarkup),2)</f>
        <v>5.03</v>
      </c>
      <c r="C10" s="300">
        <f>ROUND((DHL!D5+DHL_FS)*(1+PostalMarkup),2)</f>
        <v>5.03</v>
      </c>
      <c r="D10" s="300">
        <f>ROUND((DHL!E5+DHL_FS)*(1+PostalMarkup),2)</f>
        <v>5.03</v>
      </c>
      <c r="E10" s="300">
        <f>ROUND((DHL!F5+DHL_FS)*(1+PostalMarkup),2)</f>
        <v>5.03</v>
      </c>
      <c r="F10" s="300">
        <f>ROUND((DHL!G5+DHL_FS)*(1+PostalMarkup),2)</f>
        <v>5.03</v>
      </c>
      <c r="G10" s="300">
        <f>ROUND((DHL!H5+DHL_FS)*(1+PostalMarkup),2)</f>
        <v>5.09</v>
      </c>
      <c r="H10" s="300">
        <f>ROUND((DHL!I5+DHL_FS)*(1+PostalMarkup),2)</f>
        <v>5.09</v>
      </c>
      <c r="I10" s="300">
        <f>ROUND((DHL!J5+DHL_FS)*(1+PostalMarkup),2)</f>
        <v>7.31</v>
      </c>
      <c r="J10" s="300">
        <f>ROUND((DHL!K5+DHL_FS)*(1+PostalMarkup),2)</f>
        <v>7.31</v>
      </c>
      <c r="K10" s="300">
        <f>ROUND((DHL!L5+DHL_FS)*(1+PostalMarkup),2)</f>
        <v>7.31</v>
      </c>
    </row>
    <row r="11" spans="1:11">
      <c r="A11" s="304">
        <f>DHL!B6</f>
        <v>0.3125</v>
      </c>
      <c r="B11" s="300">
        <f>ROUND((DHL!C6+DHL_FS)*(1+PostalMarkup),2)</f>
        <v>5.07</v>
      </c>
      <c r="C11" s="300">
        <f>ROUND((DHL!D6+DHL_FS)*(1+PostalMarkup),2)</f>
        <v>5.07</v>
      </c>
      <c r="D11" s="300">
        <f>ROUND((DHL!E6+DHL_FS)*(1+PostalMarkup),2)</f>
        <v>5.07</v>
      </c>
      <c r="E11" s="300">
        <f>ROUND((DHL!F6+DHL_FS)*(1+PostalMarkup),2)</f>
        <v>5.07</v>
      </c>
      <c r="F11" s="300">
        <f>ROUND((DHL!G6+DHL_FS)*(1+PostalMarkup),2)</f>
        <v>5.07</v>
      </c>
      <c r="G11" s="300">
        <f>ROUND((DHL!H6+DHL_FS)*(1+PostalMarkup),2)</f>
        <v>5.16</v>
      </c>
      <c r="H11" s="300">
        <f>ROUND((DHL!I6+DHL_FS)*(1+PostalMarkup),2)</f>
        <v>5.16</v>
      </c>
      <c r="I11" s="300">
        <f>ROUND((DHL!J6+DHL_FS)*(1+PostalMarkup),2)</f>
        <v>7.72</v>
      </c>
      <c r="J11" s="300">
        <f>ROUND((DHL!K6+DHL_FS)*(1+PostalMarkup),2)</f>
        <v>7.72</v>
      </c>
      <c r="K11" s="300">
        <f>ROUND((DHL!L6+DHL_FS)*(1+PostalMarkup),2)</f>
        <v>7.72</v>
      </c>
    </row>
    <row r="12" spans="1:11">
      <c r="A12" s="304">
        <f>DHL!B7</f>
        <v>0.375</v>
      </c>
      <c r="B12" s="300">
        <f>ROUND((DHL!C7+DHL_FS)*(1+PostalMarkup),2)</f>
        <v>5.08</v>
      </c>
      <c r="C12" s="300">
        <f>ROUND((DHL!D7+DHL_FS)*(1+PostalMarkup),2)</f>
        <v>5.08</v>
      </c>
      <c r="D12" s="300">
        <f>ROUND((DHL!E7+DHL_FS)*(1+PostalMarkup),2)</f>
        <v>5.08</v>
      </c>
      <c r="E12" s="300">
        <f>ROUND((DHL!F7+DHL_FS)*(1+PostalMarkup),2)</f>
        <v>5.09</v>
      </c>
      <c r="F12" s="300">
        <f>ROUND((DHL!G7+DHL_FS)*(1+PostalMarkup),2)</f>
        <v>5.09</v>
      </c>
      <c r="G12" s="300">
        <f>ROUND((DHL!H7+DHL_FS)*(1+PostalMarkup),2)</f>
        <v>5.2</v>
      </c>
      <c r="H12" s="300">
        <f>ROUND((DHL!I7+DHL_FS)*(1+PostalMarkup),2)</f>
        <v>5.2</v>
      </c>
      <c r="I12" s="300">
        <f>ROUND((DHL!J7+DHL_FS)*(1+PostalMarkup),2)</f>
        <v>7.72</v>
      </c>
      <c r="J12" s="300">
        <f>ROUND((DHL!K7+DHL_FS)*(1+PostalMarkup),2)</f>
        <v>7.72</v>
      </c>
      <c r="K12" s="300">
        <f>ROUND((DHL!L7+DHL_FS)*(1+PostalMarkup),2)</f>
        <v>7.72</v>
      </c>
    </row>
    <row r="13" spans="1:11">
      <c r="A13" s="304">
        <f>DHL!B8</f>
        <v>0.4375</v>
      </c>
      <c r="B13" s="300">
        <f>ROUND((DHL!C8+DHL_FS)*(1+PostalMarkup),2)</f>
        <v>5.09</v>
      </c>
      <c r="C13" s="300">
        <f>ROUND((DHL!D8+DHL_FS)*(1+PostalMarkup),2)</f>
        <v>5.09</v>
      </c>
      <c r="D13" s="300">
        <f>ROUND((DHL!E8+DHL_FS)*(1+PostalMarkup),2)</f>
        <v>5.09</v>
      </c>
      <c r="E13" s="300">
        <f>ROUND((DHL!F8+DHL_FS)*(1+PostalMarkup),2)</f>
        <v>5.12</v>
      </c>
      <c r="F13" s="300">
        <f>ROUND((DHL!G8+DHL_FS)*(1+PostalMarkup),2)</f>
        <v>5.12</v>
      </c>
      <c r="G13" s="300">
        <f>ROUND((DHL!H8+DHL_FS)*(1+PostalMarkup),2)</f>
        <v>5.24</v>
      </c>
      <c r="H13" s="300">
        <f>ROUND((DHL!I8+DHL_FS)*(1+PostalMarkup),2)</f>
        <v>5.24</v>
      </c>
      <c r="I13" s="300">
        <f>ROUND((DHL!J8+DHL_FS)*(1+PostalMarkup),2)</f>
        <v>7.72</v>
      </c>
      <c r="J13" s="300">
        <f>ROUND((DHL!K8+DHL_FS)*(1+PostalMarkup),2)</f>
        <v>7.72</v>
      </c>
      <c r="K13" s="300">
        <f>ROUND((DHL!L8+DHL_FS)*(1+PostalMarkup),2)</f>
        <v>7.72</v>
      </c>
    </row>
    <row r="14" spans="1:11">
      <c r="A14" s="304">
        <f>DHL!B9</f>
        <v>0.5</v>
      </c>
      <c r="B14" s="300">
        <f>ROUND((DHL!C9+DHL_FS)*(1+PostalMarkup),2)</f>
        <v>5.12</v>
      </c>
      <c r="C14" s="300">
        <f>ROUND((DHL!D9+DHL_FS)*(1+PostalMarkup),2)</f>
        <v>5.12</v>
      </c>
      <c r="D14" s="300">
        <f>ROUND((DHL!E9+DHL_FS)*(1+PostalMarkup),2)</f>
        <v>5.12</v>
      </c>
      <c r="E14" s="300">
        <f>ROUND((DHL!F9+DHL_FS)*(1+PostalMarkup),2)</f>
        <v>5.15</v>
      </c>
      <c r="F14" s="300">
        <f>ROUND((DHL!G9+DHL_FS)*(1+PostalMarkup),2)</f>
        <v>5.15</v>
      </c>
      <c r="G14" s="300">
        <f>ROUND((DHL!H9+DHL_FS)*(1+PostalMarkup),2)</f>
        <v>5.28</v>
      </c>
      <c r="H14" s="300">
        <f>ROUND((DHL!I9+DHL_FS)*(1+PostalMarkup),2)</f>
        <v>5.28</v>
      </c>
      <c r="I14" s="300">
        <f>ROUND((DHL!J9+DHL_FS)*(1+PostalMarkup),2)</f>
        <v>7.72</v>
      </c>
      <c r="J14" s="300">
        <f>ROUND((DHL!K9+DHL_FS)*(1+PostalMarkup),2)</f>
        <v>7.72</v>
      </c>
      <c r="K14" s="300">
        <f>ROUND((DHL!L9+DHL_FS)*(1+PostalMarkup),2)</f>
        <v>7.72</v>
      </c>
    </row>
    <row r="15" spans="1:11">
      <c r="A15" s="304">
        <f>DHL!B10</f>
        <v>0.5625</v>
      </c>
      <c r="B15" s="300">
        <f>ROUND((DHL!C10+DHL_FS)*(1+PostalMarkup),2)</f>
        <v>5.13</v>
      </c>
      <c r="C15" s="300">
        <f>ROUND((DHL!D10+DHL_FS)*(1+PostalMarkup),2)</f>
        <v>5.13</v>
      </c>
      <c r="D15" s="300">
        <f>ROUND((DHL!E10+DHL_FS)*(1+PostalMarkup),2)</f>
        <v>5.13</v>
      </c>
      <c r="E15" s="300">
        <f>ROUND((DHL!F10+DHL_FS)*(1+PostalMarkup),2)</f>
        <v>5.18</v>
      </c>
      <c r="F15" s="300">
        <f>ROUND((DHL!G10+DHL_FS)*(1+PostalMarkup),2)</f>
        <v>5.18</v>
      </c>
      <c r="G15" s="300">
        <f>ROUND((DHL!H10+DHL_FS)*(1+PostalMarkup),2)</f>
        <v>5.32</v>
      </c>
      <c r="H15" s="300">
        <f>ROUND((DHL!I10+DHL_FS)*(1+PostalMarkup),2)</f>
        <v>5.32</v>
      </c>
      <c r="I15" s="300">
        <f>ROUND((DHL!J10+DHL_FS)*(1+PostalMarkup),2)</f>
        <v>8.94</v>
      </c>
      <c r="J15" s="300">
        <f>ROUND((DHL!K10+DHL_FS)*(1+PostalMarkup),2)</f>
        <v>8.94</v>
      </c>
      <c r="K15" s="300">
        <f>ROUND((DHL!L10+DHL_FS)*(1+PostalMarkup),2)</f>
        <v>8.94</v>
      </c>
    </row>
    <row r="16" spans="1:11">
      <c r="A16" s="304">
        <f>DHL!B11</f>
        <v>0.625</v>
      </c>
      <c r="B16" s="300">
        <f>ROUND((DHL!C11+DHL_FS)*(1+PostalMarkup),2)</f>
        <v>5.14</v>
      </c>
      <c r="C16" s="300">
        <f>ROUND((DHL!D11+DHL_FS)*(1+PostalMarkup),2)</f>
        <v>5.14</v>
      </c>
      <c r="D16" s="300">
        <f>ROUND((DHL!E11+DHL_FS)*(1+PostalMarkup),2)</f>
        <v>5.14</v>
      </c>
      <c r="E16" s="300">
        <f>ROUND((DHL!F11+DHL_FS)*(1+PostalMarkup),2)</f>
        <v>5.2</v>
      </c>
      <c r="F16" s="300">
        <f>ROUND((DHL!G11+DHL_FS)*(1+PostalMarkup),2)</f>
        <v>5.2</v>
      </c>
      <c r="G16" s="300">
        <f>ROUND((DHL!H11+DHL_FS)*(1+PostalMarkup),2)</f>
        <v>5.36</v>
      </c>
      <c r="H16" s="300">
        <f>ROUND((DHL!I11+DHL_FS)*(1+PostalMarkup),2)</f>
        <v>5.36</v>
      </c>
      <c r="I16" s="300">
        <f>ROUND((DHL!J11+DHL_FS)*(1+PostalMarkup),2)</f>
        <v>8.94</v>
      </c>
      <c r="J16" s="300">
        <f>ROUND((DHL!K11+DHL_FS)*(1+PostalMarkup),2)</f>
        <v>8.94</v>
      </c>
      <c r="K16" s="300">
        <f>ROUND((DHL!L11+DHL_FS)*(1+PostalMarkup),2)</f>
        <v>8.94</v>
      </c>
    </row>
    <row r="17" spans="1:11">
      <c r="A17" s="304">
        <f>DHL!B12</f>
        <v>0.6875</v>
      </c>
      <c r="B17" s="300">
        <f>ROUND((DHL!C12+DHL_FS)*(1+PostalMarkup),2)</f>
        <v>5.15</v>
      </c>
      <c r="C17" s="300">
        <f>ROUND((DHL!D12+DHL_FS)*(1+PostalMarkup),2)</f>
        <v>5.15</v>
      </c>
      <c r="D17" s="300">
        <f>ROUND((DHL!E12+DHL_FS)*(1+PostalMarkup),2)</f>
        <v>5.15</v>
      </c>
      <c r="E17" s="300">
        <f>ROUND((DHL!F12+DHL_FS)*(1+PostalMarkup),2)</f>
        <v>5.22</v>
      </c>
      <c r="F17" s="300">
        <f>ROUND((DHL!G12+DHL_FS)*(1+PostalMarkup),2)</f>
        <v>5.22</v>
      </c>
      <c r="G17" s="300">
        <f>ROUND((DHL!H12+DHL_FS)*(1+PostalMarkup),2)</f>
        <v>5.41</v>
      </c>
      <c r="H17" s="300">
        <f>ROUND((DHL!I12+DHL_FS)*(1+PostalMarkup),2)</f>
        <v>5.41</v>
      </c>
      <c r="I17" s="300">
        <f>ROUND((DHL!J12+DHL_FS)*(1+PostalMarkup),2)</f>
        <v>8.94</v>
      </c>
      <c r="J17" s="300">
        <f>ROUND((DHL!K12+DHL_FS)*(1+PostalMarkup),2)</f>
        <v>8.94</v>
      </c>
      <c r="K17" s="300">
        <f>ROUND((DHL!L12+DHL_FS)*(1+PostalMarkup),2)</f>
        <v>8.94</v>
      </c>
    </row>
    <row r="18" spans="1:11">
      <c r="A18" s="304">
        <f>DHL!B13</f>
        <v>0.75</v>
      </c>
      <c r="B18" s="300">
        <f>ROUND((DHL!C13+DHL_FS)*(1+PostalMarkup),2)</f>
        <v>5.16</v>
      </c>
      <c r="C18" s="300">
        <f>ROUND((DHL!D13+DHL_FS)*(1+PostalMarkup),2)</f>
        <v>5.16</v>
      </c>
      <c r="D18" s="300">
        <f>ROUND((DHL!E13+DHL_FS)*(1+PostalMarkup),2)</f>
        <v>5.16</v>
      </c>
      <c r="E18" s="300">
        <f>ROUND((DHL!F13+DHL_FS)*(1+PostalMarkup),2)</f>
        <v>5.24</v>
      </c>
      <c r="F18" s="300">
        <f>ROUND((DHL!G13+DHL_FS)*(1+PostalMarkup),2)</f>
        <v>5.24</v>
      </c>
      <c r="G18" s="300">
        <f>ROUND((DHL!H13+DHL_FS)*(1+PostalMarkup),2)</f>
        <v>5.45</v>
      </c>
      <c r="H18" s="300">
        <f>ROUND((DHL!I13+DHL_FS)*(1+PostalMarkup),2)</f>
        <v>5.45</v>
      </c>
      <c r="I18" s="300">
        <f>ROUND((DHL!J13+DHL_FS)*(1+PostalMarkup),2)</f>
        <v>8.94</v>
      </c>
      <c r="J18" s="300">
        <f>ROUND((DHL!K13+DHL_FS)*(1+PostalMarkup),2)</f>
        <v>8.94</v>
      </c>
      <c r="K18" s="300">
        <f>ROUND((DHL!L13+DHL_FS)*(1+PostalMarkup),2)</f>
        <v>8.94</v>
      </c>
    </row>
    <row r="19" spans="1:11">
      <c r="A19" s="304">
        <f>DHL!B14</f>
        <v>0.8125</v>
      </c>
      <c r="B19" s="300">
        <f>ROUND((DHL!C14+DHL_FS)*(1+PostalMarkup),2)</f>
        <v>5.19</v>
      </c>
      <c r="C19" s="300">
        <f>ROUND((DHL!D14+DHL_FS)*(1+PostalMarkup),2)</f>
        <v>5.19</v>
      </c>
      <c r="D19" s="300">
        <f>ROUND((DHL!E14+DHL_FS)*(1+PostalMarkup),2)</f>
        <v>5.19</v>
      </c>
      <c r="E19" s="300">
        <f>ROUND((DHL!F14+DHL_FS)*(1+PostalMarkup),2)</f>
        <v>5.27</v>
      </c>
      <c r="F19" s="300">
        <f>ROUND((DHL!G14+DHL_FS)*(1+PostalMarkup),2)</f>
        <v>5.27</v>
      </c>
      <c r="G19" s="300">
        <f>ROUND((DHL!H14+DHL_FS)*(1+PostalMarkup),2)</f>
        <v>5.49</v>
      </c>
      <c r="H19" s="300">
        <f>ROUND((DHL!I14+DHL_FS)*(1+PostalMarkup),2)</f>
        <v>5.49</v>
      </c>
      <c r="I19" s="300">
        <f>ROUND((DHL!J14+DHL_FS)*(1+PostalMarkup),2)</f>
        <v>10.25</v>
      </c>
      <c r="J19" s="300">
        <f>ROUND((DHL!K14+DHL_FS)*(1+PostalMarkup),2)</f>
        <v>10.25</v>
      </c>
      <c r="K19" s="300">
        <f>ROUND((DHL!L14+DHL_FS)*(1+PostalMarkup),2)</f>
        <v>10.25</v>
      </c>
    </row>
    <row r="20" spans="1:11">
      <c r="A20" s="304">
        <f>DHL!B15</f>
        <v>0.875</v>
      </c>
      <c r="B20" s="300">
        <f>ROUND((DHL!C15+DHL_FS)*(1+PostalMarkup),2)</f>
        <v>5.2</v>
      </c>
      <c r="C20" s="300">
        <f>ROUND((DHL!D15+DHL_FS)*(1+PostalMarkup),2)</f>
        <v>5.2</v>
      </c>
      <c r="D20" s="300">
        <f>ROUND((DHL!E15+DHL_FS)*(1+PostalMarkup),2)</f>
        <v>5.2</v>
      </c>
      <c r="E20" s="300">
        <f>ROUND((DHL!F15+DHL_FS)*(1+PostalMarkup),2)</f>
        <v>5.3</v>
      </c>
      <c r="F20" s="300">
        <f>ROUND((DHL!G15+DHL_FS)*(1+PostalMarkup),2)</f>
        <v>5.3</v>
      </c>
      <c r="G20" s="300">
        <f>ROUND((DHL!H15+DHL_FS)*(1+PostalMarkup),2)</f>
        <v>5.53</v>
      </c>
      <c r="H20" s="300">
        <f>ROUND((DHL!I15+DHL_FS)*(1+PostalMarkup),2)</f>
        <v>5.53</v>
      </c>
      <c r="I20" s="300">
        <f>ROUND((DHL!J15+DHL_FS)*(1+PostalMarkup),2)</f>
        <v>10.25</v>
      </c>
      <c r="J20" s="300">
        <f>ROUND((DHL!K15+DHL_FS)*(1+PostalMarkup),2)</f>
        <v>10.25</v>
      </c>
      <c r="K20" s="300">
        <f>ROUND((DHL!L15+DHL_FS)*(1+PostalMarkup),2)</f>
        <v>10.25</v>
      </c>
    </row>
    <row r="21" spans="1:11" ht="15.75" customHeight="1">
      <c r="A21" s="304">
        <f>DHL!B16</f>
        <v>0.9375</v>
      </c>
      <c r="B21" s="300">
        <f>ROUND((DHL!C16+DHL_FS)*(1+PostalMarkup),2)</f>
        <v>5.21</v>
      </c>
      <c r="C21" s="300">
        <f>ROUND((DHL!D16+DHL_FS)*(1+PostalMarkup),2)</f>
        <v>5.21</v>
      </c>
      <c r="D21" s="300">
        <f>ROUND((DHL!E16+DHL_FS)*(1+PostalMarkup),2)</f>
        <v>5.22</v>
      </c>
      <c r="E21" s="300">
        <f>ROUND((DHL!F16+DHL_FS)*(1+PostalMarkup),2)</f>
        <v>5.32</v>
      </c>
      <c r="F21" s="300">
        <f>ROUND((DHL!G16+DHL_FS)*(1+PostalMarkup),2)</f>
        <v>5.32</v>
      </c>
      <c r="G21" s="300">
        <f>ROUND((DHL!H16+DHL_FS)*(1+PostalMarkup),2)</f>
        <v>5.57</v>
      </c>
      <c r="H21" s="300">
        <f>ROUND((DHL!I16+DHL_FS)*(1+PostalMarkup),2)</f>
        <v>5.57</v>
      </c>
      <c r="I21" s="300">
        <f>ROUND((DHL!J16+DHL_FS)*(1+PostalMarkup),2)</f>
        <v>10.25</v>
      </c>
      <c r="J21" s="300">
        <f>ROUND((DHL!K16+DHL_FS)*(1+PostalMarkup),2)</f>
        <v>10.25</v>
      </c>
      <c r="K21" s="300">
        <f>ROUND((DHL!L16+DHL_FS)*(1+PostalMarkup),2)</f>
        <v>10.25</v>
      </c>
    </row>
    <row r="22" spans="1:11" ht="12.75" customHeight="1">
      <c r="A22" s="304">
        <f>DHL!B17</f>
        <v>0.99</v>
      </c>
      <c r="B22" s="300">
        <f>ROUND((DHL!C17+DHL_FS)*(1+PostalMarkup),2)</f>
        <v>5.22</v>
      </c>
      <c r="C22" s="300">
        <f>ROUND((DHL!D17+DHL_FS)*(1+PostalMarkup),2)</f>
        <v>5.22</v>
      </c>
      <c r="D22" s="300">
        <f>ROUND((DHL!E17+DHL_FS)*(1+PostalMarkup),2)</f>
        <v>5.24</v>
      </c>
      <c r="E22" s="300">
        <f>ROUND((DHL!F17+DHL_FS)*(1+PostalMarkup),2)</f>
        <v>5.35</v>
      </c>
      <c r="F22" s="300">
        <f>ROUND((DHL!G17+DHL_FS)*(1+PostalMarkup),2)</f>
        <v>5.36</v>
      </c>
      <c r="G22" s="300">
        <f>ROUND((DHL!H17+DHL_FS)*(1+PostalMarkup),2)</f>
        <v>5.61</v>
      </c>
      <c r="H22" s="300">
        <f>ROUND((DHL!I17+DHL_FS)*(1+PostalMarkup),2)</f>
        <v>5.61</v>
      </c>
      <c r="I22" s="300">
        <f>ROUND((DHL!J17+DHL_FS)*(1+PostalMarkup),2)</f>
        <v>10.25</v>
      </c>
      <c r="J22" s="300">
        <f>ROUND((DHL!K17+DHL_FS)*(1+PostalMarkup),2)</f>
        <v>10.25</v>
      </c>
      <c r="K22" s="300">
        <f>ROUND((DHL!L17+DHL_FS)*(1+PostalMarkup),2)</f>
        <v>10.25</v>
      </c>
    </row>
    <row r="23" spans="1:11" ht="12.75" customHeight="1">
      <c r="A23" s="299">
        <f>DHL!B18</f>
        <v>1</v>
      </c>
      <c r="B23" s="300">
        <f>ROUND((DHL!C18+(DHL!$B18*DHL_FS))*(1+PostalMarkup),2)</f>
        <v>5.45</v>
      </c>
      <c r="C23" s="300">
        <f>ROUND((DHL!D18+(DHL!$B18*DHL_FS))*(1+PostalMarkup),2)</f>
        <v>5.45</v>
      </c>
      <c r="D23" s="300">
        <f>ROUND((DHL!E18+(DHL!$B18*DHL_FS))*(1+PostalMarkup),2)</f>
        <v>5.47</v>
      </c>
      <c r="E23" s="300">
        <f>ROUND((DHL!F18+(DHL!$B18*DHL_FS))*(1+PostalMarkup),2)</f>
        <v>5.58</v>
      </c>
      <c r="F23" s="300">
        <f>ROUND((DHL!G18+(DHL!$B18*DHL_FS))*(1+PostalMarkup),2)</f>
        <v>5.59</v>
      </c>
      <c r="G23" s="300">
        <f>ROUND((DHL!H18+(DHL!$B18*DHL_FS))*(1+PostalMarkup),2)</f>
        <v>5.85</v>
      </c>
      <c r="H23" s="300">
        <f>ROUND((DHL!I18+(DHL!$B18*DHL_FS))*(1+PostalMarkup),2)</f>
        <v>5.85</v>
      </c>
      <c r="I23" s="300">
        <f>ROUND((DHL!J18+(DHL!$B18*DHL_FS))*(1+PostalMarkup),2)</f>
        <v>18.25</v>
      </c>
      <c r="J23" s="300">
        <f>ROUND((DHL!K18+(DHL!$B18*DHL_FS))*(1+PostalMarkup),2)</f>
        <v>18.25</v>
      </c>
      <c r="K23" s="300">
        <f>ROUND((DHL!L18+(DHL!$B18*DHL_FS))*(1+PostalMarkup),2)</f>
        <v>18.25</v>
      </c>
    </row>
    <row r="24" spans="1:11" ht="12.75" customHeight="1">
      <c r="A24" s="299">
        <f>DHL!B19</f>
        <v>2</v>
      </c>
      <c r="B24" s="300">
        <f>ROUND((DHL!C19+(DHL!$B19*DHL_FS))*(1+PostalMarkup),2)</f>
        <v>6.01</v>
      </c>
      <c r="C24" s="300">
        <f>ROUND((DHL!D19+(DHL!$B19*DHL_FS))*(1+PostalMarkup),2)</f>
        <v>6.01</v>
      </c>
      <c r="D24" s="300">
        <f>ROUND((DHL!E19+(DHL!$B19*DHL_FS))*(1+PostalMarkup),2)</f>
        <v>6.14</v>
      </c>
      <c r="E24" s="300">
        <f>ROUND((DHL!F19+(DHL!$B19*DHL_FS))*(1+PostalMarkup),2)</f>
        <v>6.3</v>
      </c>
      <c r="F24" s="300">
        <f>ROUND((DHL!G19+(DHL!$B19*DHL_FS))*(1+PostalMarkup),2)</f>
        <v>6.33</v>
      </c>
      <c r="G24" s="300">
        <f>ROUND((DHL!H19+(DHL!$B19*DHL_FS))*(1+PostalMarkup),2)</f>
        <v>6.84</v>
      </c>
      <c r="H24" s="300">
        <f>ROUND((DHL!I19+(DHL!$B19*DHL_FS))*(1+PostalMarkup),2)</f>
        <v>6.84</v>
      </c>
      <c r="I24" s="300">
        <f>ROUND((DHL!J19+(DHL!$B19*DHL_FS))*(1+PostalMarkup),2)</f>
        <v>23.94</v>
      </c>
      <c r="J24" s="300">
        <f>ROUND((DHL!K19+(DHL!$B19*DHL_FS))*(1+PostalMarkup),2)</f>
        <v>23.94</v>
      </c>
      <c r="K24" s="300">
        <f>ROUND((DHL!L19+(DHL!$B19*DHL_FS))*(1+PostalMarkup),2)</f>
        <v>23.94</v>
      </c>
    </row>
    <row r="25" spans="1:11" ht="12.75" customHeight="1">
      <c r="A25" s="299">
        <f>DHL!B20</f>
        <v>3</v>
      </c>
      <c r="B25" s="300">
        <f>ROUND((DHL!C20+(DHL!$B20*DHL_FS))*(1+PostalMarkup),2)</f>
        <v>6.82</v>
      </c>
      <c r="C25" s="300">
        <f>ROUND((DHL!D20+(DHL!$B20*DHL_FS))*(1+PostalMarkup),2)</f>
        <v>6.82</v>
      </c>
      <c r="D25" s="300">
        <f>ROUND((DHL!E20+(DHL!$B20*DHL_FS))*(1+PostalMarkup),2)</f>
        <v>7.04</v>
      </c>
      <c r="E25" s="300">
        <f>ROUND((DHL!F20+(DHL!$B20*DHL_FS))*(1+PostalMarkup),2)</f>
        <v>7.27</v>
      </c>
      <c r="F25" s="300">
        <f>ROUND((DHL!G20+(DHL!$B20*DHL_FS))*(1+PostalMarkup),2)</f>
        <v>7.31</v>
      </c>
      <c r="G25" s="300">
        <f>ROUND((DHL!H20+(DHL!$B20*DHL_FS))*(1+PostalMarkup),2)</f>
        <v>8.08</v>
      </c>
      <c r="H25" s="300">
        <f>ROUND((DHL!I20+(DHL!$B20*DHL_FS))*(1+PostalMarkup),2)</f>
        <v>8.08</v>
      </c>
      <c r="I25" s="300">
        <f>ROUND((DHL!J20+(DHL!$B20*DHL_FS))*(1+PostalMarkup),2)</f>
        <v>29.98</v>
      </c>
      <c r="J25" s="300">
        <f>ROUND((DHL!K20+(DHL!$B20*DHL_FS))*(1+PostalMarkup),2)</f>
        <v>29.98</v>
      </c>
      <c r="K25" s="300">
        <f>ROUND((DHL!L20+(DHL!$B20*DHL_FS))*(1+PostalMarkup),2)</f>
        <v>29.98</v>
      </c>
    </row>
    <row r="26" spans="1:11" ht="12.75" customHeight="1">
      <c r="A26" s="299">
        <f>DHL!B21</f>
        <v>4</v>
      </c>
      <c r="B26" s="300">
        <f>ROUND((DHL!C21+(DHL!$B21*DHL_FS))*(1+PostalMarkup),2)</f>
        <v>7.56</v>
      </c>
      <c r="C26" s="300">
        <f>ROUND((DHL!D21+(DHL!$B21*DHL_FS))*(1+PostalMarkup),2)</f>
        <v>7.56</v>
      </c>
      <c r="D26" s="300">
        <f>ROUND((DHL!E21+(DHL!$B21*DHL_FS))*(1+PostalMarkup),2)</f>
        <v>7.9</v>
      </c>
      <c r="E26" s="300">
        <f>ROUND((DHL!F21+(DHL!$B21*DHL_FS))*(1+PostalMarkup),2)</f>
        <v>8.18</v>
      </c>
      <c r="F26" s="300">
        <f>ROUND((DHL!G21+(DHL!$B21*DHL_FS))*(1+PostalMarkup),2)</f>
        <v>8.25</v>
      </c>
      <c r="G26" s="300">
        <f>ROUND((DHL!H21+(DHL!$B21*DHL_FS))*(1+PostalMarkup),2)</f>
        <v>9.26</v>
      </c>
      <c r="H26" s="300">
        <f>ROUND((DHL!I21+(DHL!$B21*DHL_FS))*(1+PostalMarkup),2)</f>
        <v>9.2899999999999991</v>
      </c>
      <c r="I26" s="300">
        <f>ROUND((DHL!J21+(DHL!$B21*DHL_FS))*(1+PostalMarkup),2)</f>
        <v>35.21</v>
      </c>
      <c r="J26" s="300">
        <f>ROUND((DHL!K21+(DHL!$B21*DHL_FS))*(1+PostalMarkup),2)</f>
        <v>35.21</v>
      </c>
      <c r="K26" s="300">
        <f>ROUND((DHL!L21+(DHL!$B21*DHL_FS))*(1+PostalMarkup),2)</f>
        <v>35.21</v>
      </c>
    </row>
    <row r="27" spans="1:11" ht="12.75" customHeight="1">
      <c r="A27" s="299">
        <f>DHL!B22</f>
        <v>5</v>
      </c>
      <c r="B27" s="300">
        <f>ROUND((DHL!C22+(DHL!$B22*DHL_FS))*(1+PostalMarkup),2)</f>
        <v>7.81</v>
      </c>
      <c r="C27" s="300">
        <f>ROUND((DHL!D22+(DHL!$B22*DHL_FS))*(1+PostalMarkup),2)</f>
        <v>7.81</v>
      </c>
      <c r="D27" s="300">
        <f>ROUND((DHL!E22+(DHL!$B22*DHL_FS))*(1+PostalMarkup),2)</f>
        <v>7.81</v>
      </c>
      <c r="E27" s="300">
        <f>ROUND((DHL!F22+(DHL!$B22*DHL_FS))*(1+PostalMarkup),2)</f>
        <v>8.26</v>
      </c>
      <c r="F27" s="300">
        <f>ROUND((DHL!G22+(DHL!$B22*DHL_FS))*(1+PostalMarkup),2)</f>
        <v>9.1999999999999993</v>
      </c>
      <c r="G27" s="300">
        <f>ROUND((DHL!H22+(DHL!$B22*DHL_FS))*(1+PostalMarkup),2)</f>
        <v>10.45</v>
      </c>
      <c r="H27" s="300">
        <f>ROUND((DHL!I22+(DHL!$B22*DHL_FS))*(1+PostalMarkup),2)</f>
        <v>10.52</v>
      </c>
      <c r="I27" s="300">
        <f>ROUND((DHL!J22+(DHL!$B22*DHL_FS))*(1+PostalMarkup),2)</f>
        <v>40.72</v>
      </c>
      <c r="J27" s="300">
        <f>ROUND((DHL!K22+(DHL!$B22*DHL_FS))*(1+PostalMarkup),2)</f>
        <v>40.72</v>
      </c>
      <c r="K27" s="300">
        <f>ROUND((DHL!L22+(DHL!$B22*DHL_FS))*(1+PostalMarkup),2)</f>
        <v>40.72</v>
      </c>
    </row>
    <row r="28" spans="1:11" ht="12.75" customHeight="1">
      <c r="A28" s="299">
        <f>DHL!B23</f>
        <v>6</v>
      </c>
      <c r="B28" s="300">
        <f>ROUND((DHL!C23+(DHL!$B23*DHL_FS))*(1+PostalMarkup),2)</f>
        <v>8.02</v>
      </c>
      <c r="C28" s="300">
        <f>ROUND((DHL!D23+(DHL!$B23*DHL_FS))*(1+PostalMarkup),2)</f>
        <v>8.02</v>
      </c>
      <c r="D28" s="300">
        <f>ROUND((DHL!E23+(DHL!$B23*DHL_FS))*(1+PostalMarkup),2)</f>
        <v>8.02</v>
      </c>
      <c r="E28" s="300">
        <f>ROUND((DHL!F23+(DHL!$B23*DHL_FS))*(1+PostalMarkup),2)</f>
        <v>8.4600000000000009</v>
      </c>
      <c r="F28" s="300">
        <f>ROUND((DHL!G23+(DHL!$B23*DHL_FS))*(1+PostalMarkup),2)</f>
        <v>9.4499999999999993</v>
      </c>
      <c r="G28" s="300">
        <f>ROUND((DHL!H23+(DHL!$B23*DHL_FS))*(1+PostalMarkup),2)</f>
        <v>10.95</v>
      </c>
      <c r="H28" s="300">
        <f>ROUND((DHL!I23+(DHL!$B23*DHL_FS))*(1+PostalMarkup),2)</f>
        <v>11.07</v>
      </c>
      <c r="I28" s="300">
        <f>ROUND((DHL!J23+(DHL!$B23*DHL_FS))*(1+PostalMarkup),2)</f>
        <v>46.18</v>
      </c>
      <c r="J28" s="300">
        <f>ROUND((DHL!K23+(DHL!$B23*DHL_FS))*(1+PostalMarkup),2)</f>
        <v>46.18</v>
      </c>
      <c r="K28" s="300">
        <f>ROUND((DHL!L23+(DHL!$B23*DHL_FS))*(1+PostalMarkup),2)</f>
        <v>46.18</v>
      </c>
    </row>
    <row r="29" spans="1:11" ht="12.75" customHeight="1">
      <c r="A29" s="299">
        <f>DHL!B24</f>
        <v>7</v>
      </c>
      <c r="B29" s="300">
        <f>ROUND((DHL!C24+(DHL!$B24*DHL_FS))*(1+PostalMarkup),2)</f>
        <v>8.2200000000000006</v>
      </c>
      <c r="C29" s="300">
        <f>ROUND((DHL!D24+(DHL!$B24*DHL_FS))*(1+PostalMarkup),2)</f>
        <v>8.2200000000000006</v>
      </c>
      <c r="D29" s="300">
        <f>ROUND((DHL!E24+(DHL!$B24*DHL_FS))*(1+PostalMarkup),2)</f>
        <v>8.2200000000000006</v>
      </c>
      <c r="E29" s="300">
        <f>ROUND((DHL!F24+(DHL!$B24*DHL_FS))*(1+PostalMarkup),2)</f>
        <v>8.67</v>
      </c>
      <c r="F29" s="300">
        <f>ROUND((DHL!G24+(DHL!$B24*DHL_FS))*(1+PostalMarkup),2)</f>
        <v>9.66</v>
      </c>
      <c r="G29" s="300">
        <f>ROUND((DHL!H24+(DHL!$B24*DHL_FS))*(1+PostalMarkup),2)</f>
        <v>11.16</v>
      </c>
      <c r="H29" s="300">
        <f>ROUND((DHL!I24+(DHL!$B24*DHL_FS))*(1+PostalMarkup),2)</f>
        <v>11.28</v>
      </c>
      <c r="I29" s="300">
        <f>ROUND((DHL!J24+(DHL!$B24*DHL_FS))*(1+PostalMarkup),2)</f>
        <v>51.53</v>
      </c>
      <c r="J29" s="300">
        <f>ROUND((DHL!K24+(DHL!$B24*DHL_FS))*(1+PostalMarkup),2)</f>
        <v>51.53</v>
      </c>
      <c r="K29" s="300">
        <f>ROUND((DHL!L24+(DHL!$B24*DHL_FS))*(1+PostalMarkup),2)</f>
        <v>51.53</v>
      </c>
    </row>
    <row r="30" spans="1:11" ht="12.75" customHeight="1">
      <c r="A30" s="299">
        <f>DHL!B25</f>
        <v>8</v>
      </c>
      <c r="B30" s="300">
        <f>ROUND((DHL!C25+(DHL!$B25*DHL_FS))*(1+PostalMarkup),2)</f>
        <v>10.47</v>
      </c>
      <c r="C30" s="300">
        <f>ROUND((DHL!D25+(DHL!$B25*DHL_FS))*(1+PostalMarkup),2)</f>
        <v>10.48</v>
      </c>
      <c r="D30" s="300">
        <f>ROUND((DHL!E25+(DHL!$B25*DHL_FS))*(1+PostalMarkup),2)</f>
        <v>11.33</v>
      </c>
      <c r="E30" s="300">
        <f>ROUND((DHL!F25+(DHL!$B25*DHL_FS))*(1+PostalMarkup),2)</f>
        <v>11.78</v>
      </c>
      <c r="F30" s="300">
        <f>ROUND((DHL!G25+(DHL!$B25*DHL_FS))*(1+PostalMarkup),2)</f>
        <v>11.96</v>
      </c>
      <c r="G30" s="300">
        <f>ROUND((DHL!H25+(DHL!$B25*DHL_FS))*(1+PostalMarkup),2)</f>
        <v>13.94</v>
      </c>
      <c r="H30" s="300">
        <f>ROUND((DHL!I25+(DHL!$B25*DHL_FS))*(1+PostalMarkup),2)</f>
        <v>14.13</v>
      </c>
      <c r="I30" s="300">
        <f>ROUND((DHL!J25+(DHL!$B25*DHL_FS))*(1+PostalMarkup),2)</f>
        <v>56.94</v>
      </c>
      <c r="J30" s="300">
        <f>ROUND((DHL!K25+(DHL!$B25*DHL_FS))*(1+PostalMarkup),2)</f>
        <v>56.94</v>
      </c>
      <c r="K30" s="300">
        <f>ROUND((DHL!L25+(DHL!$B25*DHL_FS))*(1+PostalMarkup),2)</f>
        <v>56.94</v>
      </c>
    </row>
    <row r="31" spans="1:11" ht="12.75" customHeight="1">
      <c r="A31" s="299">
        <f>DHL!B26</f>
        <v>9</v>
      </c>
      <c r="B31" s="300">
        <f>ROUND((DHL!C26+(DHL!$B26*DHL_FS))*(1+PostalMarkup),2)</f>
        <v>11.13</v>
      </c>
      <c r="C31" s="300">
        <f>ROUND((DHL!D26+(DHL!$B26*DHL_FS))*(1+PostalMarkup),2)</f>
        <v>11.17</v>
      </c>
      <c r="D31" s="300">
        <f>ROUND((DHL!E26+(DHL!$B26*DHL_FS))*(1+PostalMarkup),2)</f>
        <v>12.14</v>
      </c>
      <c r="E31" s="300">
        <f>ROUND((DHL!F26+(DHL!$B26*DHL_FS))*(1+PostalMarkup),2)</f>
        <v>12.63</v>
      </c>
      <c r="F31" s="300">
        <f>ROUND((DHL!G26+(DHL!$B26*DHL_FS))*(1+PostalMarkup),2)</f>
        <v>12.83</v>
      </c>
      <c r="G31" s="300">
        <f>ROUND((DHL!H26+(DHL!$B26*DHL_FS))*(1+PostalMarkup),2)</f>
        <v>15.05</v>
      </c>
      <c r="H31" s="300">
        <f>ROUND((DHL!I26+(DHL!$B26*DHL_FS))*(1+PostalMarkup),2)</f>
        <v>15.3</v>
      </c>
      <c r="I31" s="300">
        <f>ROUND((DHL!J26+(DHL!$B26*DHL_FS))*(1+PostalMarkup),2)</f>
        <v>62.1</v>
      </c>
      <c r="J31" s="300">
        <f>ROUND((DHL!K26+(DHL!$B26*DHL_FS))*(1+PostalMarkup),2)</f>
        <v>62.1</v>
      </c>
      <c r="K31" s="300">
        <f>ROUND((DHL!L26+(DHL!$B26*DHL_FS))*(1+PostalMarkup),2)</f>
        <v>62.1</v>
      </c>
    </row>
    <row r="32" spans="1:11" ht="12.75" customHeight="1">
      <c r="A32" s="299">
        <f>DHL!B27</f>
        <v>10</v>
      </c>
      <c r="B32" s="300">
        <f>ROUND((DHL!C27+(DHL!$B27*DHL_FS))*(1+PostalMarkup),2)</f>
        <v>11.82</v>
      </c>
      <c r="C32" s="300">
        <f>ROUND((DHL!D27+(DHL!$B27*DHL_FS))*(1+PostalMarkup),2)</f>
        <v>11.88</v>
      </c>
      <c r="D32" s="300">
        <f>ROUND((DHL!E27+(DHL!$B27*DHL_FS))*(1+PostalMarkup),2)</f>
        <v>12.97</v>
      </c>
      <c r="E32" s="300">
        <f>ROUND((DHL!F27+(DHL!$B27*DHL_FS))*(1+PostalMarkup),2)</f>
        <v>13.49</v>
      </c>
      <c r="F32" s="300">
        <f>ROUND((DHL!G27+(DHL!$B27*DHL_FS))*(1+PostalMarkup),2)</f>
        <v>13.73</v>
      </c>
      <c r="G32" s="300">
        <f>ROUND((DHL!H27+(DHL!$B27*DHL_FS))*(1+PostalMarkup),2)</f>
        <v>16.190000000000001</v>
      </c>
      <c r="H32" s="300">
        <f>ROUND((DHL!I27+(DHL!$B27*DHL_FS))*(1+PostalMarkup),2)</f>
        <v>16.47</v>
      </c>
      <c r="I32" s="300">
        <f>ROUND((DHL!J27+(DHL!$B27*DHL_FS))*(1+PostalMarkup),2)</f>
        <v>67.319999999999993</v>
      </c>
      <c r="J32" s="300">
        <f>ROUND((DHL!K27+(DHL!$B27*DHL_FS))*(1+PostalMarkup),2)</f>
        <v>67.319999999999993</v>
      </c>
      <c r="K32" s="300">
        <f>ROUND((DHL!L27+(DHL!$B27*DHL_FS))*(1+PostalMarkup),2)</f>
        <v>67.319999999999993</v>
      </c>
    </row>
    <row r="33" spans="1:11" ht="12.75" customHeight="1">
      <c r="A33" s="299">
        <f>DHL!B28</f>
        <v>11</v>
      </c>
      <c r="B33" s="300">
        <f>ROUND((DHL!C28+(DHL!$B28*DHL_FS))*(1+PostalMarkup),2)</f>
        <v>12.41</v>
      </c>
      <c r="C33" s="300">
        <f>ROUND((DHL!D28+(DHL!$B28*DHL_FS))*(1+PostalMarkup),2)</f>
        <v>12.5</v>
      </c>
      <c r="D33" s="300">
        <f>ROUND((DHL!E28+(DHL!$B28*DHL_FS))*(1+PostalMarkup),2)</f>
        <v>13.69</v>
      </c>
      <c r="E33" s="300">
        <f>ROUND((DHL!F28+(DHL!$B28*DHL_FS))*(1+PostalMarkup),2)</f>
        <v>14.26</v>
      </c>
      <c r="F33" s="300">
        <f>ROUND((DHL!G28+(DHL!$B28*DHL_FS))*(1+PostalMarkup),2)</f>
        <v>14.52</v>
      </c>
      <c r="G33" s="300">
        <f>ROUND((DHL!H28+(DHL!$B28*DHL_FS))*(1+PostalMarkup),2)</f>
        <v>17.23</v>
      </c>
      <c r="H33" s="300">
        <f>ROUND((DHL!I28+(DHL!$B28*DHL_FS))*(1+PostalMarkup),2)</f>
        <v>17.54</v>
      </c>
      <c r="I33" s="300">
        <f>ROUND((DHL!J28+(DHL!$B28*DHL_FS))*(1+PostalMarkup),2)</f>
        <v>72.67</v>
      </c>
      <c r="J33" s="300">
        <f>ROUND((DHL!K28+(DHL!$B28*DHL_FS))*(1+PostalMarkup),2)</f>
        <v>72.67</v>
      </c>
      <c r="K33" s="300">
        <f>ROUND((DHL!L28+(DHL!$B28*DHL_FS))*(1+PostalMarkup),2)</f>
        <v>72.67</v>
      </c>
    </row>
    <row r="34" spans="1:11" ht="12.75" customHeight="1">
      <c r="A34" s="299">
        <f>DHL!B29</f>
        <v>12</v>
      </c>
      <c r="B34" s="300">
        <f>ROUND((DHL!C29+(DHL!$B29*DHL_FS))*(1+PostalMarkup),2)</f>
        <v>13.08</v>
      </c>
      <c r="C34" s="300">
        <f>ROUND((DHL!D29+(DHL!$B29*DHL_FS))*(1+PostalMarkup),2)</f>
        <v>13.19</v>
      </c>
      <c r="D34" s="300">
        <f>ROUND((DHL!E29+(DHL!$B29*DHL_FS))*(1+PostalMarkup),2)</f>
        <v>14.49</v>
      </c>
      <c r="E34" s="300">
        <f>ROUND((DHL!F29+(DHL!$B29*DHL_FS))*(1+PostalMarkup),2)</f>
        <v>15.1</v>
      </c>
      <c r="F34" s="300">
        <f>ROUND((DHL!G29+(DHL!$B29*DHL_FS))*(1+PostalMarkup),2)</f>
        <v>15.4</v>
      </c>
      <c r="G34" s="300">
        <f>ROUND((DHL!H29+(DHL!$B29*DHL_FS))*(1+PostalMarkup),2)</f>
        <v>18.34</v>
      </c>
      <c r="H34" s="300">
        <f>ROUND((DHL!I29+(DHL!$B29*DHL_FS))*(1+PostalMarkup),2)</f>
        <v>18.7</v>
      </c>
      <c r="I34" s="300">
        <f>ROUND((DHL!J29+(DHL!$B29*DHL_FS))*(1+PostalMarkup),2)</f>
        <v>78.13</v>
      </c>
      <c r="J34" s="300">
        <f>ROUND((DHL!K29+(DHL!$B29*DHL_FS))*(1+PostalMarkup),2)</f>
        <v>78.13</v>
      </c>
      <c r="K34" s="300">
        <f>ROUND((DHL!L29+(DHL!$B29*DHL_FS))*(1+PostalMarkup),2)</f>
        <v>78.13</v>
      </c>
    </row>
    <row r="35" spans="1:11" ht="12.75" customHeight="1">
      <c r="A35" s="299">
        <f>DHL!B30</f>
        <v>13</v>
      </c>
      <c r="B35" s="300">
        <f>ROUND((DHL!C30+(DHL!$B30*DHL_FS))*(1+PostalMarkup),2)</f>
        <v>13.73</v>
      </c>
      <c r="C35" s="300">
        <f>ROUND((DHL!D30+(DHL!$B30*DHL_FS))*(1+PostalMarkup),2)</f>
        <v>13.88</v>
      </c>
      <c r="D35" s="300">
        <f>ROUND((DHL!E30+(DHL!$B30*DHL_FS))*(1+PostalMarkup),2)</f>
        <v>15.28</v>
      </c>
      <c r="E35" s="300">
        <f>ROUND((DHL!F30+(DHL!$B30*DHL_FS))*(1+PostalMarkup),2)</f>
        <v>15.94</v>
      </c>
      <c r="F35" s="300">
        <f>ROUND((DHL!G30+(DHL!$B30*DHL_FS))*(1+PostalMarkup),2)</f>
        <v>16.260000000000002</v>
      </c>
      <c r="G35" s="300">
        <f>ROUND((DHL!H30+(DHL!$B30*DHL_FS))*(1+PostalMarkup),2)</f>
        <v>19.45</v>
      </c>
      <c r="H35" s="300">
        <f>ROUND((DHL!I30+(DHL!$B30*DHL_FS))*(1+PostalMarkup),2)</f>
        <v>19.850000000000001</v>
      </c>
      <c r="I35" s="300">
        <f>ROUND((DHL!J30+(DHL!$B30*DHL_FS))*(1+PostalMarkup),2)</f>
        <v>83.77</v>
      </c>
      <c r="J35" s="300">
        <f>ROUND((DHL!K30+(DHL!$B30*DHL_FS))*(1+PostalMarkup),2)</f>
        <v>83.77</v>
      </c>
      <c r="K35" s="300">
        <f>ROUND((DHL!L30+(DHL!$B30*DHL_FS))*(1+PostalMarkup),2)</f>
        <v>83.77</v>
      </c>
    </row>
    <row r="36" spans="1:11" ht="12.75" customHeight="1">
      <c r="A36" s="299">
        <f>DHL!B31</f>
        <v>14</v>
      </c>
      <c r="B36" s="300">
        <f>ROUND((DHL!C31+(DHL!$B31*DHL_FS))*(1+PostalMarkup),2)</f>
        <v>14.39</v>
      </c>
      <c r="C36" s="300">
        <f>ROUND((DHL!D31+(DHL!$B31*DHL_FS))*(1+PostalMarkup),2)</f>
        <v>14.56</v>
      </c>
      <c r="D36" s="300">
        <f>ROUND((DHL!E31+(DHL!$B31*DHL_FS))*(1+PostalMarkup),2)</f>
        <v>16.079999999999998</v>
      </c>
      <c r="E36" s="300">
        <f>ROUND((DHL!F31+(DHL!$B31*DHL_FS))*(1+PostalMarkup),2)</f>
        <v>16.77</v>
      </c>
      <c r="F36" s="300">
        <f>ROUND((DHL!G31+(DHL!$B31*DHL_FS))*(1+PostalMarkup),2)</f>
        <v>17.12</v>
      </c>
      <c r="G36" s="300">
        <f>ROUND((DHL!H31+(DHL!$B31*DHL_FS))*(1+PostalMarkup),2)</f>
        <v>20.55</v>
      </c>
      <c r="H36" s="300">
        <f>ROUND((DHL!I31+(DHL!$B31*DHL_FS))*(1+PostalMarkup),2)</f>
        <v>20.99</v>
      </c>
      <c r="I36" s="300">
        <f>ROUND((DHL!J31+(DHL!$B31*DHL_FS))*(1+PostalMarkup),2)</f>
        <v>89.4</v>
      </c>
      <c r="J36" s="300">
        <f>ROUND((DHL!K31+(DHL!$B31*DHL_FS))*(1+PostalMarkup),2)</f>
        <v>89.4</v>
      </c>
      <c r="K36" s="300">
        <f>ROUND((DHL!L31+(DHL!$B31*DHL_FS))*(1+PostalMarkup),2)</f>
        <v>89.4</v>
      </c>
    </row>
    <row r="37" spans="1:11" ht="12.75" customHeight="1">
      <c r="A37" s="299">
        <f>DHL!B32</f>
        <v>15</v>
      </c>
      <c r="B37" s="300">
        <f>ROUND((DHL!C32+(DHL!$B32*DHL_FS))*(1+PostalMarkup),2)</f>
        <v>15.04</v>
      </c>
      <c r="C37" s="300">
        <f>ROUND((DHL!D32+(DHL!$B32*DHL_FS))*(1+PostalMarkup),2)</f>
        <v>15.25</v>
      </c>
      <c r="D37" s="300">
        <f>ROUND((DHL!E32+(DHL!$B32*DHL_FS))*(1+PostalMarkup),2)</f>
        <v>16.87</v>
      </c>
      <c r="E37" s="300">
        <f>ROUND((DHL!F32+(DHL!$B32*DHL_FS))*(1+PostalMarkup),2)</f>
        <v>17.61</v>
      </c>
      <c r="F37" s="300">
        <f>ROUND((DHL!G32+(DHL!$B32*DHL_FS))*(1+PostalMarkup),2)</f>
        <v>17.989999999999998</v>
      </c>
      <c r="G37" s="300">
        <f>ROUND((DHL!H32+(DHL!$B32*DHL_FS))*(1+PostalMarkup),2)</f>
        <v>21.65</v>
      </c>
      <c r="H37" s="300">
        <f>ROUND((DHL!I32+(DHL!$B32*DHL_FS))*(1+PostalMarkup),2)</f>
        <v>22.13</v>
      </c>
      <c r="I37" s="300">
        <f>ROUND((DHL!J32+(DHL!$B32*DHL_FS))*(1+PostalMarkup),2)</f>
        <v>93.98</v>
      </c>
      <c r="J37" s="300">
        <f>ROUND((DHL!K32+(DHL!$B32*DHL_FS))*(1+PostalMarkup),2)</f>
        <v>93.98</v>
      </c>
      <c r="K37" s="300">
        <f>ROUND((DHL!L32+(DHL!$B32*DHL_FS))*(1+PostalMarkup),2)</f>
        <v>93.98</v>
      </c>
    </row>
    <row r="38" spans="1:11" ht="12.75" customHeight="1">
      <c r="A38" s="299">
        <f>DHL!B33</f>
        <v>16</v>
      </c>
      <c r="B38" s="300">
        <f>ROUND((DHL!C33+(DHL!$B33*DHL_FS))*(1+PostalMarkup),2)</f>
        <v>15.7</v>
      </c>
      <c r="C38" s="300">
        <f>ROUND((DHL!D33+(DHL!$B33*DHL_FS))*(1+PostalMarkup),2)</f>
        <v>15.93</v>
      </c>
      <c r="D38" s="300">
        <f>ROUND((DHL!E33+(DHL!$B33*DHL_FS))*(1+PostalMarkup),2)</f>
        <v>17.66</v>
      </c>
      <c r="E38" s="300">
        <f>ROUND((DHL!F33+(DHL!$B33*DHL_FS))*(1+PostalMarkup),2)</f>
        <v>18.43</v>
      </c>
      <c r="F38" s="300">
        <f>ROUND((DHL!G33+(DHL!$B33*DHL_FS))*(1+PostalMarkup),2)</f>
        <v>18.850000000000001</v>
      </c>
      <c r="G38" s="300">
        <f>ROUND((DHL!H33+(DHL!$B33*DHL_FS))*(1+PostalMarkup),2)</f>
        <v>22.76</v>
      </c>
      <c r="H38" s="300">
        <f>ROUND((DHL!I33+(DHL!$B33*DHL_FS))*(1+PostalMarkup),2)</f>
        <v>23.28</v>
      </c>
      <c r="I38" s="300">
        <f>ROUND((DHL!J33+(DHL!$B33*DHL_FS))*(1+PostalMarkup),2)</f>
        <v>99.27</v>
      </c>
      <c r="J38" s="300">
        <f>ROUND((DHL!K33+(DHL!$B33*DHL_FS))*(1+PostalMarkup),2)</f>
        <v>99.27</v>
      </c>
      <c r="K38" s="300">
        <f>ROUND((DHL!L33+(DHL!$B33*DHL_FS))*(1+PostalMarkup),2)</f>
        <v>99.27</v>
      </c>
    </row>
    <row r="39" spans="1:11" ht="12.75" customHeight="1">
      <c r="A39" s="299">
        <f>DHL!B34</f>
        <v>17</v>
      </c>
      <c r="B39" s="300">
        <f>ROUND((DHL!C34+(DHL!$B34*DHL_FS))*(1+PostalMarkup),2)</f>
        <v>16.329999999999998</v>
      </c>
      <c r="C39" s="300">
        <f>ROUND((DHL!D34+(DHL!$B34*DHL_FS))*(1+PostalMarkup),2)</f>
        <v>16.59</v>
      </c>
      <c r="D39" s="300">
        <f>ROUND((DHL!E34+(DHL!$B34*DHL_FS))*(1+PostalMarkup),2)</f>
        <v>18.43</v>
      </c>
      <c r="E39" s="300">
        <f>ROUND((DHL!F34+(DHL!$B34*DHL_FS))*(1+PostalMarkup),2)</f>
        <v>19.25</v>
      </c>
      <c r="F39" s="300">
        <f>ROUND((DHL!G34+(DHL!$B34*DHL_FS))*(1+PostalMarkup),2)</f>
        <v>19.690000000000001</v>
      </c>
      <c r="G39" s="300">
        <f>ROUND((DHL!H34+(DHL!$B34*DHL_FS))*(1+PostalMarkup),2)</f>
        <v>23.84</v>
      </c>
      <c r="H39" s="300">
        <f>ROUND((DHL!I34+(DHL!$B34*DHL_FS))*(1+PostalMarkup),2)</f>
        <v>24.4</v>
      </c>
      <c r="I39" s="300">
        <f>ROUND((DHL!J34+(DHL!$B34*DHL_FS))*(1+PostalMarkup),2)</f>
        <v>104.49</v>
      </c>
      <c r="J39" s="300">
        <f>ROUND((DHL!K34+(DHL!$B34*DHL_FS))*(1+PostalMarkup),2)</f>
        <v>104.49</v>
      </c>
      <c r="K39" s="300">
        <f>ROUND((DHL!L34+(DHL!$B34*DHL_FS))*(1+PostalMarkup),2)</f>
        <v>104.49</v>
      </c>
    </row>
    <row r="40" spans="1:11" ht="12.75" customHeight="1">
      <c r="A40" s="299">
        <f>DHL!B35</f>
        <v>18</v>
      </c>
      <c r="B40" s="300">
        <f>ROUND((DHL!C35+(DHL!$B35*DHL_FS))*(1+PostalMarkup),2)</f>
        <v>17</v>
      </c>
      <c r="C40" s="300">
        <f>ROUND((DHL!D35+(DHL!$B35*DHL_FS))*(1+PostalMarkup),2)</f>
        <v>17.28</v>
      </c>
      <c r="D40" s="300">
        <f>ROUND((DHL!E35+(DHL!$B35*DHL_FS))*(1+PostalMarkup),2)</f>
        <v>19.239999999999998</v>
      </c>
      <c r="E40" s="300">
        <f>ROUND((DHL!F35+(DHL!$B35*DHL_FS))*(1+PostalMarkup),2)</f>
        <v>20.09</v>
      </c>
      <c r="F40" s="300">
        <f>ROUND((DHL!G35+(DHL!$B35*DHL_FS))*(1+PostalMarkup),2)</f>
        <v>20.56</v>
      </c>
      <c r="G40" s="300">
        <f>ROUND((DHL!H35+(DHL!$B35*DHL_FS))*(1+PostalMarkup),2)</f>
        <v>24.94</v>
      </c>
      <c r="H40" s="300">
        <f>ROUND((DHL!I35+(DHL!$B35*DHL_FS))*(1+PostalMarkup),2)</f>
        <v>25.55</v>
      </c>
      <c r="I40" s="300">
        <f>ROUND((DHL!J35+(DHL!$B35*DHL_FS))*(1+PostalMarkup),2)</f>
        <v>109.78</v>
      </c>
      <c r="J40" s="300">
        <f>ROUND((DHL!K35+(DHL!$B35*DHL_FS))*(1+PostalMarkup),2)</f>
        <v>109.78</v>
      </c>
      <c r="K40" s="300">
        <f>ROUND((DHL!L35+(DHL!$B35*DHL_FS))*(1+PostalMarkup),2)</f>
        <v>109.78</v>
      </c>
    </row>
    <row r="41" spans="1:11" ht="12.75" customHeight="1">
      <c r="A41" s="299">
        <f>DHL!B36</f>
        <v>19</v>
      </c>
      <c r="B41" s="300">
        <f>ROUND((DHL!C36+(DHL!$B36*DHL_FS))*(1+PostalMarkup),2)</f>
        <v>17.64</v>
      </c>
      <c r="C41" s="300">
        <f>ROUND((DHL!D36+(DHL!$B36*DHL_FS))*(1+PostalMarkup),2)</f>
        <v>17.96</v>
      </c>
      <c r="D41" s="300">
        <f>ROUND((DHL!E36+(DHL!$B36*DHL_FS))*(1+PostalMarkup),2)</f>
        <v>20.02</v>
      </c>
      <c r="E41" s="300">
        <f>ROUND((DHL!F36+(DHL!$B36*DHL_FS))*(1+PostalMarkup),2)</f>
        <v>20.92</v>
      </c>
      <c r="F41" s="300">
        <f>ROUND((DHL!G36+(DHL!$B36*DHL_FS))*(1+PostalMarkup),2)</f>
        <v>21.41</v>
      </c>
      <c r="G41" s="300">
        <f>ROUND((DHL!H36+(DHL!$B36*DHL_FS))*(1+PostalMarkup),2)</f>
        <v>26.04</v>
      </c>
      <c r="H41" s="300">
        <f>ROUND((DHL!I36+(DHL!$B36*DHL_FS))*(1+PostalMarkup),2)</f>
        <v>26.69</v>
      </c>
      <c r="I41" s="300">
        <f>ROUND((DHL!J36+(DHL!$B36*DHL_FS))*(1+PostalMarkup),2)</f>
        <v>114.36</v>
      </c>
      <c r="J41" s="300">
        <f>ROUND((DHL!K36+(DHL!$B36*DHL_FS))*(1+PostalMarkup),2)</f>
        <v>114.36</v>
      </c>
      <c r="K41" s="300">
        <f>ROUND((DHL!L36+(DHL!$B36*DHL_FS))*(1+PostalMarkup),2)</f>
        <v>114.36</v>
      </c>
    </row>
    <row r="42" spans="1:11" ht="12.75" customHeight="1">
      <c r="A42" s="299">
        <f>DHL!B37</f>
        <v>20</v>
      </c>
      <c r="B42" s="300">
        <f>ROUND((DHL!C37+(DHL!$B37*DHL_FS))*(1+PostalMarkup),2)</f>
        <v>18.29</v>
      </c>
      <c r="C42" s="300">
        <f>ROUND((DHL!D37+(DHL!$B37*DHL_FS))*(1+PostalMarkup),2)</f>
        <v>18.64</v>
      </c>
      <c r="D42" s="300">
        <f>ROUND((DHL!E37+(DHL!$B37*DHL_FS))*(1+PostalMarkup),2)</f>
        <v>20.8</v>
      </c>
      <c r="E42" s="300">
        <f>ROUND((DHL!F37+(DHL!$B37*DHL_FS))*(1+PostalMarkup),2)</f>
        <v>21.75</v>
      </c>
      <c r="F42" s="300">
        <f>ROUND((DHL!G37+(DHL!$B37*DHL_FS))*(1+PostalMarkup),2)</f>
        <v>22.26</v>
      </c>
      <c r="G42" s="300">
        <f>ROUND((DHL!H37+(DHL!$B37*DHL_FS))*(1+PostalMarkup),2)</f>
        <v>27.14</v>
      </c>
      <c r="H42" s="300">
        <f>ROUND((DHL!I37+(DHL!$B37*DHL_FS))*(1+PostalMarkup),2)</f>
        <v>27.83</v>
      </c>
      <c r="I42" s="300">
        <f>ROUND((DHL!J37+(DHL!$B37*DHL_FS))*(1+PostalMarkup),2)</f>
        <v>119.59</v>
      </c>
      <c r="J42" s="300">
        <f>ROUND((DHL!K37+(DHL!$B37*DHL_FS))*(1+PostalMarkup),2)</f>
        <v>119.59</v>
      </c>
      <c r="K42" s="300">
        <f>ROUND((DHL!L37+(DHL!$B37*DHL_FS))*(1+PostalMarkup),2)</f>
        <v>119.59</v>
      </c>
    </row>
    <row r="43" spans="1:11" ht="12.75" customHeight="1">
      <c r="A43" s="299">
        <f>DHL!B38</f>
        <v>21</v>
      </c>
      <c r="B43" s="300">
        <f>ROUND((DHL!C38+(DHL!$B38*DHL_FS))*(1+PostalMarkup),2)</f>
        <v>19.3</v>
      </c>
      <c r="C43" s="300">
        <f>ROUND((DHL!D38+(DHL!$B38*DHL_FS))*(1+PostalMarkup),2)</f>
        <v>19.649999999999999</v>
      </c>
      <c r="D43" s="300">
        <f>ROUND((DHL!E38+(DHL!$B38*DHL_FS))*(1+PostalMarkup),2)</f>
        <v>21.94</v>
      </c>
      <c r="E43" s="300">
        <f>ROUND((DHL!F38+(DHL!$B38*DHL_FS))*(1+PostalMarkup),2)</f>
        <v>22.93</v>
      </c>
      <c r="F43" s="300">
        <f>ROUND((DHL!G38+(DHL!$B38*DHL_FS))*(1+PostalMarkup),2)</f>
        <v>23.47</v>
      </c>
      <c r="G43" s="300">
        <f>ROUND((DHL!H38+(DHL!$B38*DHL_FS))*(1+PostalMarkup),2)</f>
        <v>28.59</v>
      </c>
      <c r="H43" s="300">
        <f>ROUND((DHL!I38+(DHL!$B38*DHL_FS))*(1+PostalMarkup),2)</f>
        <v>29.3</v>
      </c>
      <c r="I43" s="300">
        <f>ROUND((DHL!J38+(DHL!$B38*DHL_FS))*(1+PostalMarkup),2)</f>
        <v>123.94</v>
      </c>
      <c r="J43" s="300">
        <f>ROUND((DHL!K38+(DHL!$B38*DHL_FS))*(1+PostalMarkup),2)</f>
        <v>123.94</v>
      </c>
      <c r="K43" s="300">
        <f>ROUND((DHL!L38+(DHL!$B38*DHL_FS))*(1+PostalMarkup),2)</f>
        <v>123.94</v>
      </c>
    </row>
    <row r="44" spans="1:11" ht="12.75" customHeight="1">
      <c r="A44" s="299">
        <f>DHL!B39</f>
        <v>22</v>
      </c>
      <c r="B44" s="300">
        <f>ROUND((DHL!C39+(DHL!$B39*DHL_FS))*(1+PostalMarkup),2)</f>
        <v>19.899999999999999</v>
      </c>
      <c r="C44" s="300">
        <f>ROUND((DHL!D39+(DHL!$B39*DHL_FS))*(1+PostalMarkup),2)</f>
        <v>20.27</v>
      </c>
      <c r="D44" s="300">
        <f>ROUND((DHL!E39+(DHL!$B39*DHL_FS))*(1+PostalMarkup),2)</f>
        <v>22.67</v>
      </c>
      <c r="E44" s="300">
        <f>ROUND((DHL!F39+(DHL!$B39*DHL_FS))*(1+PostalMarkup),2)</f>
        <v>23.7</v>
      </c>
      <c r="F44" s="300">
        <f>ROUND((DHL!G39+(DHL!$B39*DHL_FS))*(1+PostalMarkup),2)</f>
        <v>24.28</v>
      </c>
      <c r="G44" s="300">
        <f>ROUND((DHL!H39+(DHL!$B39*DHL_FS))*(1+PostalMarkup),2)</f>
        <v>29.62</v>
      </c>
      <c r="H44" s="300">
        <f>ROUND((DHL!I39+(DHL!$B39*DHL_FS))*(1+PostalMarkup),2)</f>
        <v>30.38</v>
      </c>
      <c r="I44" s="300">
        <f>ROUND((DHL!J39+(DHL!$B39*DHL_FS))*(1+PostalMarkup),2)</f>
        <v>128.22999999999999</v>
      </c>
      <c r="J44" s="300">
        <f>ROUND((DHL!K39+(DHL!$B39*DHL_FS))*(1+PostalMarkup),2)</f>
        <v>128.22999999999999</v>
      </c>
      <c r="K44" s="300">
        <f>ROUND((DHL!L39+(DHL!$B39*DHL_FS))*(1+PostalMarkup),2)</f>
        <v>128.22999999999999</v>
      </c>
    </row>
    <row r="45" spans="1:11" ht="12.75" customHeight="1">
      <c r="A45" s="299">
        <f>DHL!B40</f>
        <v>23</v>
      </c>
      <c r="B45" s="300">
        <f>ROUND((DHL!C40+(DHL!$B40*DHL_FS))*(1+PostalMarkup),2)</f>
        <v>20.48</v>
      </c>
      <c r="C45" s="300">
        <f>ROUND((DHL!D40+(DHL!$B40*DHL_FS))*(1+PostalMarkup),2)</f>
        <v>20.91</v>
      </c>
      <c r="D45" s="300">
        <f>ROUND((DHL!E40+(DHL!$B40*DHL_FS))*(1+PostalMarkup),2)</f>
        <v>23.4</v>
      </c>
      <c r="E45" s="300">
        <f>ROUND((DHL!F40+(DHL!$B40*DHL_FS))*(1+PostalMarkup),2)</f>
        <v>24.47</v>
      </c>
      <c r="F45" s="300">
        <f>ROUND((DHL!G40+(DHL!$B40*DHL_FS))*(1+PostalMarkup),2)</f>
        <v>25.08</v>
      </c>
      <c r="G45" s="300">
        <f>ROUND((DHL!H40+(DHL!$B40*DHL_FS))*(1+PostalMarkup),2)</f>
        <v>30.67</v>
      </c>
      <c r="H45" s="300">
        <f>ROUND((DHL!I40+(DHL!$B40*DHL_FS))*(1+PostalMarkup),2)</f>
        <v>31.48</v>
      </c>
      <c r="I45" s="300">
        <f>ROUND((DHL!J40+(DHL!$B40*DHL_FS))*(1+PostalMarkup),2)</f>
        <v>132.58000000000001</v>
      </c>
      <c r="J45" s="300">
        <f>ROUND((DHL!K40+(DHL!$B40*DHL_FS))*(1+PostalMarkup),2)</f>
        <v>132.58000000000001</v>
      </c>
      <c r="K45" s="300">
        <f>ROUND((DHL!L40+(DHL!$B40*DHL_FS))*(1+PostalMarkup),2)</f>
        <v>132.58000000000001</v>
      </c>
    </row>
    <row r="46" spans="1:11" ht="12.75" customHeight="1">
      <c r="A46" s="299">
        <f>DHL!B41</f>
        <v>24</v>
      </c>
      <c r="B46" s="300">
        <f>ROUND((DHL!C41+(DHL!$B41*DHL_FS))*(1+PostalMarkup),2)</f>
        <v>21.02</v>
      </c>
      <c r="C46" s="300">
        <f>ROUND((DHL!D41+(DHL!$B41*DHL_FS))*(1+PostalMarkup),2)</f>
        <v>21.48</v>
      </c>
      <c r="D46" s="300">
        <f>ROUND((DHL!E41+(DHL!$B41*DHL_FS))*(1+PostalMarkup),2)</f>
        <v>24.08</v>
      </c>
      <c r="E46" s="300">
        <f>ROUND((DHL!F41+(DHL!$B41*DHL_FS))*(1+PostalMarkup),2)</f>
        <v>25.19</v>
      </c>
      <c r="F46" s="300">
        <f>ROUND((DHL!G41+(DHL!$B41*DHL_FS))*(1+PostalMarkup),2)</f>
        <v>25.83</v>
      </c>
      <c r="G46" s="300">
        <f>ROUND((DHL!H41+(DHL!$B41*DHL_FS))*(1+PostalMarkup),2)</f>
        <v>31.66</v>
      </c>
      <c r="H46" s="300">
        <f>ROUND((DHL!I41+(DHL!$B41*DHL_FS))*(1+PostalMarkup),2)</f>
        <v>32.51</v>
      </c>
      <c r="I46" s="300">
        <f>ROUND((DHL!J41+(DHL!$B41*DHL_FS))*(1+PostalMarkup),2)</f>
        <v>136.99</v>
      </c>
      <c r="J46" s="300">
        <f>ROUND((DHL!K41+(DHL!$B41*DHL_FS))*(1+PostalMarkup),2)</f>
        <v>136.99</v>
      </c>
      <c r="K46" s="300">
        <f>ROUND((DHL!L41+(DHL!$B41*DHL_FS))*(1+PostalMarkup),2)</f>
        <v>136.99</v>
      </c>
    </row>
    <row r="47" spans="1:11" ht="12.75" customHeight="1">
      <c r="A47" s="299">
        <f>DHL!B42</f>
        <v>25</v>
      </c>
      <c r="B47" s="300">
        <f>ROUND((DHL!C42+(DHL!$B42*DHL_FS))*(1+PostalMarkup),2)</f>
        <v>21.57</v>
      </c>
      <c r="C47" s="300">
        <f>ROUND((DHL!D42+(DHL!$B42*DHL_FS))*(1+PostalMarkup),2)</f>
        <v>22.06</v>
      </c>
      <c r="D47" s="300">
        <f>ROUND((DHL!E42+(DHL!$B42*DHL_FS))*(1+PostalMarkup),2)</f>
        <v>24.77</v>
      </c>
      <c r="E47" s="300">
        <f>ROUND((DHL!F42+(DHL!$B42*DHL_FS))*(1+PostalMarkup),2)</f>
        <v>25.92</v>
      </c>
      <c r="F47" s="300">
        <f>ROUND((DHL!G42+(DHL!$B42*DHL_FS))*(1+PostalMarkup),2)</f>
        <v>26.59</v>
      </c>
      <c r="G47" s="300">
        <f>ROUND((DHL!H42+(DHL!$B42*DHL_FS))*(1+PostalMarkup),2)</f>
        <v>32.659999999999997</v>
      </c>
      <c r="H47" s="300">
        <f>ROUND((DHL!I42+(DHL!$B42*DHL_FS))*(1+PostalMarkup),2)</f>
        <v>33.56</v>
      </c>
      <c r="I47" s="300">
        <f>ROUND((DHL!J42+(DHL!$B42*DHL_FS))*(1+PostalMarkup),2)</f>
        <v>141.4</v>
      </c>
      <c r="J47" s="300">
        <f>ROUND((DHL!K42+(DHL!$B42*DHL_FS))*(1+PostalMarkup),2)</f>
        <v>141.4</v>
      </c>
      <c r="K47" s="300">
        <f>ROUND((DHL!L42+(DHL!$B42*DHL_FS))*(1+PostalMarkup),2)</f>
        <v>141.4</v>
      </c>
    </row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7:K47">
    <cfRule type="expression" dxfId="7" priority="1">
      <formula>MOD(ROW(),2)=0</formula>
    </cfRule>
  </conditionalFormatting>
  <pageMargins left="0.7" right="0.7" top="0.75" bottom="0.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F5496"/>
  </sheetPr>
  <dimension ref="A1:K1000"/>
  <sheetViews>
    <sheetView workbookViewId="0">
      <pane ySplit="5" topLeftCell="A6" activePane="bottomLeft" state="frozen"/>
      <selection pane="bottomLeft" activeCell="B7" sqref="B7"/>
    </sheetView>
  </sheetViews>
  <sheetFormatPr defaultColWidth="12.5703125" defaultRowHeight="15" customHeight="1"/>
  <cols>
    <col min="1" max="1" width="14.5703125" customWidth="1"/>
    <col min="2" max="8" width="8.5703125" customWidth="1"/>
    <col min="9" max="9" width="13.28515625" customWidth="1"/>
    <col min="10" max="10" width="10.42578125" customWidth="1"/>
    <col min="11" max="11" width="9.5703125" customWidth="1"/>
  </cols>
  <sheetData>
    <row r="1" spans="1:11" ht="15" customHeight="1">
      <c r="B1" s="303" t="s">
        <v>152</v>
      </c>
    </row>
    <row r="2" spans="1:11" ht="15" customHeight="1">
      <c r="B2" s="303" t="s">
        <v>146</v>
      </c>
    </row>
    <row r="3" spans="1:11" ht="15" customHeight="1">
      <c r="B3" s="303" t="s">
        <v>153</v>
      </c>
    </row>
    <row r="5" spans="1:11" ht="20.25" customHeight="1">
      <c r="A5" s="298" t="s">
        <v>5</v>
      </c>
      <c r="B5" s="214" t="s">
        <v>67</v>
      </c>
      <c r="C5" s="214" t="s">
        <v>67</v>
      </c>
      <c r="D5" s="214" t="s">
        <v>67</v>
      </c>
      <c r="E5" s="214" t="s">
        <v>67</v>
      </c>
      <c r="F5" s="214" t="s">
        <v>67</v>
      </c>
      <c r="G5" s="214" t="s">
        <v>67</v>
      </c>
      <c r="H5" s="214" t="s">
        <v>67</v>
      </c>
      <c r="I5" s="214" t="s">
        <v>67</v>
      </c>
      <c r="J5" s="214" t="s">
        <v>67</v>
      </c>
      <c r="K5" s="223" t="s">
        <v>67</v>
      </c>
    </row>
    <row r="6" spans="1:11" ht="33.75">
      <c r="A6" s="282" t="s">
        <v>148</v>
      </c>
      <c r="B6" s="282">
        <v>2</v>
      </c>
      <c r="C6" s="282">
        <v>3</v>
      </c>
      <c r="D6" s="282">
        <v>4</v>
      </c>
      <c r="E6" s="282">
        <v>5</v>
      </c>
      <c r="F6" s="282">
        <v>6</v>
      </c>
      <c r="G6" s="282">
        <v>7</v>
      </c>
      <c r="H6" s="282">
        <v>8</v>
      </c>
      <c r="I6" s="282" t="s">
        <v>149</v>
      </c>
      <c r="J6" s="282" t="s">
        <v>150</v>
      </c>
      <c r="K6" s="282" t="s">
        <v>151</v>
      </c>
    </row>
    <row r="7" spans="1:11">
      <c r="A7" s="304">
        <f>DHL!O2</f>
        <v>6.25E-2</v>
      </c>
      <c r="B7" s="300">
        <f>ROUND((DHL!AC2+(DHL_FS))*(1+PostalMarkup),2)</f>
        <v>5.09</v>
      </c>
      <c r="C7" s="300">
        <f>ROUND((DHL!AD2+(DHL_FS))*(1+PostalMarkup),2)</f>
        <v>5.09</v>
      </c>
      <c r="D7" s="300">
        <f>ROUND((DHL!AE2+(DHL_FS))*(1+PostalMarkup),2)</f>
        <v>5.09</v>
      </c>
      <c r="E7" s="300">
        <f>ROUND((DHL!AF2+(DHL_FS))*(1+PostalMarkup),2)</f>
        <v>5.09</v>
      </c>
      <c r="F7" s="300">
        <f>ROUND((DHL!AG2+(DHL_FS))*(1+PostalMarkup),2)</f>
        <v>5.09</v>
      </c>
      <c r="G7" s="300">
        <f>ROUND((DHL!AH2+(DHL_FS))*(1+PostalMarkup),2)</f>
        <v>5.09</v>
      </c>
      <c r="H7" s="300">
        <f>ROUND((DHL!AI2+(DHL_FS))*(1+PostalMarkup),2)</f>
        <v>5.09</v>
      </c>
      <c r="I7" s="300">
        <f>ROUND((DHL!AJ2+(DHL_FS))*(1+PostalMarkup),2)</f>
        <v>7.31</v>
      </c>
      <c r="J7" s="300">
        <f>ROUND((DHL!AK2+(DHL_FS))*(1+PostalMarkup),2)</f>
        <v>7.31</v>
      </c>
      <c r="K7" s="300">
        <f>ROUND((DHL!AL2+(DHL_FS))*(1+PostalMarkup),2)</f>
        <v>7.31</v>
      </c>
    </row>
    <row r="8" spans="1:11">
      <c r="A8" s="304">
        <f>DHL!O3</f>
        <v>0.125</v>
      </c>
      <c r="B8" s="300">
        <f>ROUND((DHL!AC3+(DHL_FS))*(1+PostalMarkup),2)</f>
        <v>5.1100000000000003</v>
      </c>
      <c r="C8" s="300">
        <f>ROUND((DHL!AD3+(DHL_FS))*(1+PostalMarkup),2)</f>
        <v>5.1100000000000003</v>
      </c>
      <c r="D8" s="300">
        <f>ROUND((DHL!AE3+(DHL_FS))*(1+PostalMarkup),2)</f>
        <v>5.1100000000000003</v>
      </c>
      <c r="E8" s="300">
        <f>ROUND((DHL!AF3+(DHL_FS))*(1+PostalMarkup),2)</f>
        <v>5.1100000000000003</v>
      </c>
      <c r="F8" s="300">
        <f>ROUND((DHL!AG3+(DHL_FS))*(1+PostalMarkup),2)</f>
        <v>5.1100000000000003</v>
      </c>
      <c r="G8" s="300">
        <f>ROUND((DHL!AH3+(DHL_FS))*(1+PostalMarkup),2)</f>
        <v>5.1100000000000003</v>
      </c>
      <c r="H8" s="300">
        <f>ROUND((DHL!AI3+(DHL_FS))*(1+PostalMarkup),2)</f>
        <v>5.1100000000000003</v>
      </c>
      <c r="I8" s="300">
        <f>ROUND((DHL!AJ3+(DHL_FS))*(1+PostalMarkup),2)</f>
        <v>7.31</v>
      </c>
      <c r="J8" s="300">
        <f>ROUND((DHL!AK3+(DHL_FS))*(1+PostalMarkup),2)</f>
        <v>7.31</v>
      </c>
      <c r="K8" s="300">
        <f>ROUND((DHL!AL3+(DHL_FS))*(1+PostalMarkup),2)</f>
        <v>7.31</v>
      </c>
    </row>
    <row r="9" spans="1:11">
      <c r="A9" s="304">
        <f>DHL!O4</f>
        <v>0.1875</v>
      </c>
      <c r="B9" s="300">
        <f>ROUND((DHL!AC4+(DHL_FS))*(1+PostalMarkup),2)</f>
        <v>5.12</v>
      </c>
      <c r="C9" s="300">
        <f>ROUND((DHL!AD4+(DHL_FS))*(1+PostalMarkup),2)</f>
        <v>5.12</v>
      </c>
      <c r="D9" s="300">
        <f>ROUND((DHL!AE4+(DHL_FS))*(1+PostalMarkup),2)</f>
        <v>5.12</v>
      </c>
      <c r="E9" s="300">
        <f>ROUND((DHL!AF4+(DHL_FS))*(1+PostalMarkup),2)</f>
        <v>5.12</v>
      </c>
      <c r="F9" s="300">
        <f>ROUND((DHL!AG4+(DHL_FS))*(1+PostalMarkup),2)</f>
        <v>5.12</v>
      </c>
      <c r="G9" s="300">
        <f>ROUND((DHL!AH4+(DHL_FS))*(1+PostalMarkup),2)</f>
        <v>5.18</v>
      </c>
      <c r="H9" s="300">
        <f>ROUND((DHL!AI4+(DHL_FS))*(1+PostalMarkup),2)</f>
        <v>5.18</v>
      </c>
      <c r="I9" s="300">
        <f>ROUND((DHL!AJ4+(DHL_FS))*(1+PostalMarkup),2)</f>
        <v>7.31</v>
      </c>
      <c r="J9" s="300">
        <f>ROUND((DHL!AK4+(DHL_FS))*(1+PostalMarkup),2)</f>
        <v>7.31</v>
      </c>
      <c r="K9" s="300">
        <f>ROUND((DHL!AL4+(DHL_FS))*(1+PostalMarkup),2)</f>
        <v>7.31</v>
      </c>
    </row>
    <row r="10" spans="1:11">
      <c r="A10" s="304">
        <f>DHL!O5</f>
        <v>0.25</v>
      </c>
      <c r="B10" s="300">
        <f>ROUND((DHL!AC5+(DHL_FS))*(1+PostalMarkup),2)</f>
        <v>5.13</v>
      </c>
      <c r="C10" s="300">
        <f>ROUND((DHL!AD5+(DHL_FS))*(1+PostalMarkup),2)</f>
        <v>5.13</v>
      </c>
      <c r="D10" s="300">
        <f>ROUND((DHL!AE5+(DHL_FS))*(1+PostalMarkup),2)</f>
        <v>5.13</v>
      </c>
      <c r="E10" s="300">
        <f>ROUND((DHL!AF5+(DHL_FS))*(1+PostalMarkup),2)</f>
        <v>5.13</v>
      </c>
      <c r="F10" s="300">
        <f>ROUND((DHL!AG5+(DHL_FS))*(1+PostalMarkup),2)</f>
        <v>5.13</v>
      </c>
      <c r="G10" s="300">
        <f>ROUND((DHL!AH5+(DHL_FS))*(1+PostalMarkup),2)</f>
        <v>5.26</v>
      </c>
      <c r="H10" s="300">
        <f>ROUND((DHL!AI5+(DHL_FS))*(1+PostalMarkup),2)</f>
        <v>5.26</v>
      </c>
      <c r="I10" s="300">
        <f>ROUND((DHL!AJ5+(DHL_FS))*(1+PostalMarkup),2)</f>
        <v>7.31</v>
      </c>
      <c r="J10" s="300">
        <f>ROUND((DHL!AK5+(DHL_FS))*(1+PostalMarkup),2)</f>
        <v>7.31</v>
      </c>
      <c r="K10" s="300">
        <f>ROUND((DHL!AL5+(DHL_FS))*(1+PostalMarkup),2)</f>
        <v>7.31</v>
      </c>
    </row>
    <row r="11" spans="1:11">
      <c r="A11" s="304">
        <f>DHL!O6</f>
        <v>0.3125</v>
      </c>
      <c r="B11" s="300">
        <f>ROUND((DHL!AC6+(DHL_FS))*(1+PostalMarkup),2)</f>
        <v>5.18</v>
      </c>
      <c r="C11" s="300">
        <f>ROUND((DHL!AD6+(DHL_FS))*(1+PostalMarkup),2)</f>
        <v>5.18</v>
      </c>
      <c r="D11" s="300">
        <f>ROUND((DHL!AE6+(DHL_FS))*(1+PostalMarkup),2)</f>
        <v>5.18</v>
      </c>
      <c r="E11" s="300">
        <f>ROUND((DHL!AF6+(DHL_FS))*(1+PostalMarkup),2)</f>
        <v>5.18</v>
      </c>
      <c r="F11" s="300">
        <f>ROUND((DHL!AG6+(DHL_FS))*(1+PostalMarkup),2)</f>
        <v>5.18</v>
      </c>
      <c r="G11" s="300">
        <f>ROUND((DHL!AH6+(DHL_FS))*(1+PostalMarkup),2)</f>
        <v>5.37</v>
      </c>
      <c r="H11" s="300">
        <f>ROUND((DHL!AI6+(DHL_FS))*(1+PostalMarkup),2)</f>
        <v>5.37</v>
      </c>
      <c r="I11" s="300">
        <f>ROUND((DHL!AJ6+(DHL_FS))*(1+PostalMarkup),2)</f>
        <v>7.72</v>
      </c>
      <c r="J11" s="300">
        <f>ROUND((DHL!AK6+(DHL_FS))*(1+PostalMarkup),2)</f>
        <v>7.72</v>
      </c>
      <c r="K11" s="300">
        <f>ROUND((DHL!AL6+(DHL_FS))*(1+PostalMarkup),2)</f>
        <v>7.72</v>
      </c>
    </row>
    <row r="12" spans="1:11">
      <c r="A12" s="304">
        <f>DHL!O7</f>
        <v>0.375</v>
      </c>
      <c r="B12" s="300">
        <f>ROUND((DHL!AC7+(DHL_FS))*(1+PostalMarkup),2)</f>
        <v>5.19</v>
      </c>
      <c r="C12" s="300">
        <f>ROUND((DHL!AD7+(DHL_FS))*(1+PostalMarkup),2)</f>
        <v>5.19</v>
      </c>
      <c r="D12" s="300">
        <f>ROUND((DHL!AE7+(DHL_FS))*(1+PostalMarkup),2)</f>
        <v>5.19</v>
      </c>
      <c r="E12" s="300">
        <f>ROUND((DHL!AF7+(DHL_FS))*(1+PostalMarkup),2)</f>
        <v>5.2</v>
      </c>
      <c r="F12" s="300">
        <f>ROUND((DHL!AG7+(DHL_FS))*(1+PostalMarkup),2)</f>
        <v>5.2</v>
      </c>
      <c r="G12" s="300">
        <f>ROUND((DHL!AH7+(DHL_FS))*(1+PostalMarkup),2)</f>
        <v>5.45</v>
      </c>
      <c r="H12" s="300">
        <f>ROUND((DHL!AI7+(DHL_FS))*(1+PostalMarkup),2)</f>
        <v>5.45</v>
      </c>
      <c r="I12" s="300">
        <f>ROUND((DHL!AJ7+(DHL_FS))*(1+PostalMarkup),2)</f>
        <v>7.72</v>
      </c>
      <c r="J12" s="300">
        <f>ROUND((DHL!AK7+(DHL_FS))*(1+PostalMarkup),2)</f>
        <v>7.72</v>
      </c>
      <c r="K12" s="300">
        <f>ROUND((DHL!AL7+(DHL_FS))*(1+PostalMarkup),2)</f>
        <v>7.72</v>
      </c>
    </row>
    <row r="13" spans="1:11">
      <c r="A13" s="304">
        <f>DHL!O8</f>
        <v>0.4375</v>
      </c>
      <c r="B13" s="300">
        <f>ROUND((DHL!AC8+(DHL_FS))*(1+PostalMarkup),2)</f>
        <v>5.2</v>
      </c>
      <c r="C13" s="300">
        <f>ROUND((DHL!AD8+(DHL_FS))*(1+PostalMarkup),2)</f>
        <v>5.2</v>
      </c>
      <c r="D13" s="300">
        <f>ROUND((DHL!AE8+(DHL_FS))*(1+PostalMarkup),2)</f>
        <v>5.2</v>
      </c>
      <c r="E13" s="300">
        <f>ROUND((DHL!AF8+(DHL_FS))*(1+PostalMarkup),2)</f>
        <v>5.22</v>
      </c>
      <c r="F13" s="300">
        <f>ROUND((DHL!AG8+(DHL_FS))*(1+PostalMarkup),2)</f>
        <v>5.22</v>
      </c>
      <c r="G13" s="300">
        <f>ROUND((DHL!AH8+(DHL_FS))*(1+PostalMarkup),2)</f>
        <v>5.53</v>
      </c>
      <c r="H13" s="300">
        <f>ROUND((DHL!AI8+(DHL_FS))*(1+PostalMarkup),2)</f>
        <v>5.53</v>
      </c>
      <c r="I13" s="300">
        <f>ROUND((DHL!AJ8+(DHL_FS))*(1+PostalMarkup),2)</f>
        <v>7.72</v>
      </c>
      <c r="J13" s="300">
        <f>ROUND((DHL!AK8+(DHL_FS))*(1+PostalMarkup),2)</f>
        <v>7.72</v>
      </c>
      <c r="K13" s="300">
        <f>ROUND((DHL!AL8+(DHL_FS))*(1+PostalMarkup),2)</f>
        <v>7.72</v>
      </c>
    </row>
    <row r="14" spans="1:11">
      <c r="A14" s="304">
        <f>DHL!O9</f>
        <v>0.5</v>
      </c>
      <c r="B14" s="300">
        <f>ROUND((DHL!AC9+(DHL_FS))*(1+PostalMarkup),2)</f>
        <v>5.22</v>
      </c>
      <c r="C14" s="300">
        <f>ROUND((DHL!AD9+(DHL_FS))*(1+PostalMarkup),2)</f>
        <v>5.22</v>
      </c>
      <c r="D14" s="300">
        <f>ROUND((DHL!AE9+(DHL_FS))*(1+PostalMarkup),2)</f>
        <v>5.22</v>
      </c>
      <c r="E14" s="300">
        <f>ROUND((DHL!AF9+(DHL_FS))*(1+PostalMarkup),2)</f>
        <v>5.26</v>
      </c>
      <c r="F14" s="300">
        <f>ROUND((DHL!AG9+(DHL_FS))*(1+PostalMarkup),2)</f>
        <v>5.26</v>
      </c>
      <c r="G14" s="300">
        <f>ROUND((DHL!AH9+(DHL_FS))*(1+PostalMarkup),2)</f>
        <v>5.62</v>
      </c>
      <c r="H14" s="300">
        <f>ROUND((DHL!AI9+(DHL_FS))*(1+PostalMarkup),2)</f>
        <v>5.62</v>
      </c>
      <c r="I14" s="300">
        <f>ROUND((DHL!AJ9+(DHL_FS))*(1+PostalMarkup),2)</f>
        <v>7.72</v>
      </c>
      <c r="J14" s="300">
        <f>ROUND((DHL!AK9+(DHL_FS))*(1+PostalMarkup),2)</f>
        <v>7.72</v>
      </c>
      <c r="K14" s="300">
        <f>ROUND((DHL!AL9+(DHL_FS))*(1+PostalMarkup),2)</f>
        <v>7.72</v>
      </c>
    </row>
    <row r="15" spans="1:11">
      <c r="A15" s="304">
        <f>DHL!O10</f>
        <v>0.5625</v>
      </c>
      <c r="B15" s="300">
        <f>ROUND((DHL!AC10+(DHL_FS))*(1+PostalMarkup),2)</f>
        <v>5.23</v>
      </c>
      <c r="C15" s="300">
        <f>ROUND((DHL!AD10+(DHL_FS))*(1+PostalMarkup),2)</f>
        <v>5.23</v>
      </c>
      <c r="D15" s="300">
        <f>ROUND((DHL!AE10+(DHL_FS))*(1+PostalMarkup),2)</f>
        <v>5.23</v>
      </c>
      <c r="E15" s="300">
        <f>ROUND((DHL!AF10+(DHL_FS))*(1+PostalMarkup),2)</f>
        <v>5.28</v>
      </c>
      <c r="F15" s="300">
        <f>ROUND((DHL!AG10+(DHL_FS))*(1+PostalMarkup),2)</f>
        <v>5.28</v>
      </c>
      <c r="G15" s="300">
        <f>ROUND((DHL!AH10+(DHL_FS))*(1+PostalMarkup),2)</f>
        <v>5.7</v>
      </c>
      <c r="H15" s="300">
        <f>ROUND((DHL!AI10+(DHL_FS))*(1+PostalMarkup),2)</f>
        <v>5.7</v>
      </c>
      <c r="I15" s="300">
        <f>ROUND((DHL!AJ10+(DHL_FS))*(1+PostalMarkup),2)</f>
        <v>8.94</v>
      </c>
      <c r="J15" s="300">
        <f>ROUND((DHL!AK10+(DHL_FS))*(1+PostalMarkup),2)</f>
        <v>8.94</v>
      </c>
      <c r="K15" s="300">
        <f>ROUND((DHL!AL10+(DHL_FS))*(1+PostalMarkup),2)</f>
        <v>8.94</v>
      </c>
    </row>
    <row r="16" spans="1:11">
      <c r="A16" s="304">
        <f>DHL!O11</f>
        <v>0.625</v>
      </c>
      <c r="B16" s="300">
        <f>ROUND((DHL!AC11+(DHL_FS))*(1+PostalMarkup),2)</f>
        <v>5.24</v>
      </c>
      <c r="C16" s="300">
        <f>ROUND((DHL!AD11+(DHL_FS))*(1+PostalMarkup),2)</f>
        <v>5.24</v>
      </c>
      <c r="D16" s="300">
        <f>ROUND((DHL!AE11+(DHL_FS))*(1+PostalMarkup),2)</f>
        <v>5.24</v>
      </c>
      <c r="E16" s="300">
        <f>ROUND((DHL!AF11+(DHL_FS))*(1+PostalMarkup),2)</f>
        <v>5.3</v>
      </c>
      <c r="F16" s="300">
        <f>ROUND((DHL!AG11+(DHL_FS))*(1+PostalMarkup),2)</f>
        <v>5.3</v>
      </c>
      <c r="G16" s="300">
        <f>ROUND((DHL!AH11+(DHL_FS))*(1+PostalMarkup),2)</f>
        <v>5.78</v>
      </c>
      <c r="H16" s="300">
        <f>ROUND((DHL!AI11+(DHL_FS))*(1+PostalMarkup),2)</f>
        <v>5.78</v>
      </c>
      <c r="I16" s="300">
        <f>ROUND((DHL!AJ11+(DHL_FS))*(1+PostalMarkup),2)</f>
        <v>8.94</v>
      </c>
      <c r="J16" s="300">
        <f>ROUND((DHL!AK11+(DHL_FS))*(1+PostalMarkup),2)</f>
        <v>8.94</v>
      </c>
      <c r="K16" s="300">
        <f>ROUND((DHL!AL11+(DHL_FS))*(1+PostalMarkup),2)</f>
        <v>8.94</v>
      </c>
    </row>
    <row r="17" spans="1:11">
      <c r="A17" s="304">
        <f>DHL!O12</f>
        <v>0.6875</v>
      </c>
      <c r="B17" s="300">
        <f>ROUND((DHL!AC12+(DHL_FS))*(1+PostalMarkup),2)</f>
        <v>5.26</v>
      </c>
      <c r="C17" s="300">
        <f>ROUND((DHL!AD12+(DHL_FS))*(1+PostalMarkup),2)</f>
        <v>5.26</v>
      </c>
      <c r="D17" s="300">
        <f>ROUND((DHL!AE12+(DHL_FS))*(1+PostalMarkup),2)</f>
        <v>5.26</v>
      </c>
      <c r="E17" s="300">
        <f>ROUND((DHL!AF12+(DHL_FS))*(1+PostalMarkup),2)</f>
        <v>5.32</v>
      </c>
      <c r="F17" s="300">
        <f>ROUND((DHL!AG12+(DHL_FS))*(1+PostalMarkup),2)</f>
        <v>5.32</v>
      </c>
      <c r="G17" s="300">
        <f>ROUND((DHL!AH12+(DHL_FS))*(1+PostalMarkup),2)</f>
        <v>5.87</v>
      </c>
      <c r="H17" s="300">
        <f>ROUND((DHL!AI12+(DHL_FS))*(1+PostalMarkup),2)</f>
        <v>5.88</v>
      </c>
      <c r="I17" s="300">
        <f>ROUND((DHL!AJ12+(DHL_FS))*(1+PostalMarkup),2)</f>
        <v>8.94</v>
      </c>
      <c r="J17" s="300">
        <f>ROUND((DHL!AK12+(DHL_FS))*(1+PostalMarkup),2)</f>
        <v>8.94</v>
      </c>
      <c r="K17" s="300">
        <f>ROUND((DHL!AL12+(DHL_FS))*(1+PostalMarkup),2)</f>
        <v>8.94</v>
      </c>
    </row>
    <row r="18" spans="1:11">
      <c r="A18" s="304">
        <f>DHL!O13</f>
        <v>0.75</v>
      </c>
      <c r="B18" s="300">
        <f>ROUND((DHL!AC13+(DHL_FS))*(1+PostalMarkup),2)</f>
        <v>5.27</v>
      </c>
      <c r="C18" s="300">
        <f>ROUND((DHL!AD13+(DHL_FS))*(1+PostalMarkup),2)</f>
        <v>5.27</v>
      </c>
      <c r="D18" s="300">
        <f>ROUND((DHL!AE13+(DHL_FS))*(1+PostalMarkup),2)</f>
        <v>5.27</v>
      </c>
      <c r="E18" s="300">
        <f>ROUND((DHL!AF13+(DHL_FS))*(1+PostalMarkup),2)</f>
        <v>5.35</v>
      </c>
      <c r="F18" s="300">
        <f>ROUND((DHL!AG13+(DHL_FS))*(1+PostalMarkup),2)</f>
        <v>5.35</v>
      </c>
      <c r="G18" s="300">
        <f>ROUND((DHL!AH13+(DHL_FS))*(1+PostalMarkup),2)</f>
        <v>5.96</v>
      </c>
      <c r="H18" s="300">
        <f>ROUND((DHL!AI13+(DHL_FS))*(1+PostalMarkup),2)</f>
        <v>5.96</v>
      </c>
      <c r="I18" s="300">
        <f>ROUND((DHL!AJ13+(DHL_FS))*(1+PostalMarkup),2)</f>
        <v>8.94</v>
      </c>
      <c r="J18" s="300">
        <f>ROUND((DHL!AK13+(DHL_FS))*(1+PostalMarkup),2)</f>
        <v>8.94</v>
      </c>
      <c r="K18" s="300">
        <f>ROUND((DHL!AL13+(DHL_FS))*(1+PostalMarkup),2)</f>
        <v>8.94</v>
      </c>
    </row>
    <row r="19" spans="1:11">
      <c r="A19" s="304">
        <f>DHL!O14</f>
        <v>0.8125</v>
      </c>
      <c r="B19" s="300">
        <f>ROUND((DHL!AC14+(DHL_FS))*(1+PostalMarkup),2)</f>
        <v>5.29</v>
      </c>
      <c r="C19" s="300">
        <f>ROUND((DHL!AD14+(DHL_FS))*(1+PostalMarkup),2)</f>
        <v>5.29</v>
      </c>
      <c r="D19" s="300">
        <f>ROUND((DHL!AE14+(DHL_FS))*(1+PostalMarkup),2)</f>
        <v>5.29</v>
      </c>
      <c r="E19" s="300">
        <f>ROUND((DHL!AF14+(DHL_FS))*(1+PostalMarkup),2)</f>
        <v>5.37</v>
      </c>
      <c r="F19" s="300">
        <f>ROUND((DHL!AG14+(DHL_FS))*(1+PostalMarkup),2)</f>
        <v>5.37</v>
      </c>
      <c r="G19" s="300">
        <f>ROUND((DHL!AH14+(DHL_FS))*(1+PostalMarkup),2)</f>
        <v>6.04</v>
      </c>
      <c r="H19" s="300">
        <f>ROUND((DHL!AI14+(DHL_FS))*(1+PostalMarkup),2)</f>
        <v>6.05</v>
      </c>
      <c r="I19" s="300">
        <f>ROUND((DHL!AJ14+(DHL_FS))*(1+PostalMarkup),2)</f>
        <v>10.25</v>
      </c>
      <c r="J19" s="300">
        <f>ROUND((DHL!AK14+(DHL_FS))*(1+PostalMarkup),2)</f>
        <v>10.25</v>
      </c>
      <c r="K19" s="300">
        <f>ROUND((DHL!AL14+(DHL_FS))*(1+PostalMarkup),2)</f>
        <v>10.25</v>
      </c>
    </row>
    <row r="20" spans="1:11">
      <c r="A20" s="304">
        <f>DHL!O15</f>
        <v>0.875</v>
      </c>
      <c r="B20" s="300">
        <f>ROUND((DHL!AC15+(DHL_FS))*(1+PostalMarkup),2)</f>
        <v>5.3</v>
      </c>
      <c r="C20" s="300">
        <f>ROUND((DHL!AD15+(DHL_FS))*(1+PostalMarkup),2)</f>
        <v>5.3</v>
      </c>
      <c r="D20" s="300">
        <f>ROUND((DHL!AE15+(DHL_FS))*(1+PostalMarkup),2)</f>
        <v>5.3</v>
      </c>
      <c r="E20" s="300">
        <f>ROUND((DHL!AF15+(DHL_FS))*(1+PostalMarkup),2)</f>
        <v>5.41</v>
      </c>
      <c r="F20" s="300">
        <f>ROUND((DHL!AG15+(DHL_FS))*(1+PostalMarkup),2)</f>
        <v>5.41</v>
      </c>
      <c r="G20" s="300">
        <f>ROUND((DHL!AH15+(DHL_FS))*(1+PostalMarkup),2)</f>
        <v>6.12</v>
      </c>
      <c r="H20" s="300">
        <f>ROUND((DHL!AI15+(DHL_FS))*(1+PostalMarkup),2)</f>
        <v>6.14</v>
      </c>
      <c r="I20" s="300">
        <f>ROUND((DHL!AJ15+(DHL_FS))*(1+PostalMarkup),2)</f>
        <v>10.25</v>
      </c>
      <c r="J20" s="300">
        <f>ROUND((DHL!AK15+(DHL_FS))*(1+PostalMarkup),2)</f>
        <v>10.25</v>
      </c>
      <c r="K20" s="300">
        <f>ROUND((DHL!AL15+(DHL_FS))*(1+PostalMarkup),2)</f>
        <v>10.25</v>
      </c>
    </row>
    <row r="21" spans="1:11" ht="15.75" customHeight="1">
      <c r="A21" s="304">
        <f>DHL!O16</f>
        <v>0.9375</v>
      </c>
      <c r="B21" s="300">
        <f>ROUND((DHL!AC16+(DHL_FS))*(1+PostalMarkup),2)</f>
        <v>5.31</v>
      </c>
      <c r="C21" s="300">
        <f>ROUND((DHL!AD16+(DHL_FS))*(1+PostalMarkup),2)</f>
        <v>5.31</v>
      </c>
      <c r="D21" s="300">
        <f>ROUND((DHL!AE16+(DHL_FS))*(1+PostalMarkup),2)</f>
        <v>5.32</v>
      </c>
      <c r="E21" s="300">
        <f>ROUND((DHL!AF16+(DHL_FS))*(1+PostalMarkup),2)</f>
        <v>5.43</v>
      </c>
      <c r="F21" s="300">
        <f>ROUND((DHL!AG16+(DHL_FS))*(1+PostalMarkup),2)</f>
        <v>5.43</v>
      </c>
      <c r="G21" s="300">
        <f>ROUND((DHL!AH16+(DHL_FS))*(1+PostalMarkup),2)</f>
        <v>6.2</v>
      </c>
      <c r="H21" s="300">
        <f>ROUND((DHL!AI16+(DHL_FS))*(1+PostalMarkup),2)</f>
        <v>6.23</v>
      </c>
      <c r="I21" s="300">
        <f>ROUND((DHL!AJ16+(DHL_FS))*(1+PostalMarkup),2)</f>
        <v>10.25</v>
      </c>
      <c r="J21" s="300">
        <f>ROUND((DHL!AK16+(DHL_FS))*(1+PostalMarkup),2)</f>
        <v>10.25</v>
      </c>
      <c r="K21" s="300">
        <f>ROUND((DHL!AL16+(DHL_FS))*(1+PostalMarkup),2)</f>
        <v>10.25</v>
      </c>
    </row>
    <row r="22" spans="1:11" ht="12.75" customHeight="1">
      <c r="A22" s="304">
        <f>DHL!O17</f>
        <v>0.99</v>
      </c>
      <c r="B22" s="300">
        <f>ROUND((DHL!AC17+(DHL_FS))*(1+PostalMarkup),2)</f>
        <v>5.32</v>
      </c>
      <c r="C22" s="300">
        <f>ROUND((DHL!AD17+(DHL_FS))*(1+PostalMarkup),2)</f>
        <v>5.32</v>
      </c>
      <c r="D22" s="300">
        <f>ROUND((DHL!AE17+(DHL_FS))*(1+PostalMarkup),2)</f>
        <v>5.35</v>
      </c>
      <c r="E22" s="300">
        <f>ROUND((DHL!AF17+(DHL_FS))*(1+PostalMarkup),2)</f>
        <v>5.45</v>
      </c>
      <c r="F22" s="300">
        <f>ROUND((DHL!AG17+(DHL_FS))*(1+PostalMarkup),2)</f>
        <v>5.46</v>
      </c>
      <c r="G22" s="300">
        <f>ROUND((DHL!AH17+(DHL_FS))*(1+PostalMarkup),2)</f>
        <v>6.29</v>
      </c>
      <c r="H22" s="300">
        <f>ROUND((DHL!AI17+(DHL_FS))*(1+PostalMarkup),2)</f>
        <v>6.33</v>
      </c>
      <c r="I22" s="300">
        <f>ROUND((DHL!AJ17+(DHL_FS))*(1+PostalMarkup),2)</f>
        <v>10.25</v>
      </c>
      <c r="J22" s="300">
        <f>ROUND((DHL!AK17+(DHL_FS))*(1+PostalMarkup),2)</f>
        <v>10.25</v>
      </c>
      <c r="K22" s="300">
        <f>ROUND((DHL!AL17+(DHL_FS))*(1+PostalMarkup),2)</f>
        <v>10.25</v>
      </c>
    </row>
    <row r="23" spans="1:11" ht="12.75" customHeight="1">
      <c r="A23" s="299">
        <f>DHL!O18</f>
        <v>1</v>
      </c>
      <c r="B23" s="300">
        <f>ROUND((DHL!AC18+(DHL!$AB18*DHL_FS))*(1+PostalMarkup),2)</f>
        <v>5.57</v>
      </c>
      <c r="C23" s="300">
        <f>ROUND((DHL!AD18+(DHL!$AB18*DHL_FS))*(1+PostalMarkup),2)</f>
        <v>5.57</v>
      </c>
      <c r="D23" s="300">
        <f>ROUND((DHL!AE18+(DHL!$AB18*DHL_FS))*(1+PostalMarkup),2)</f>
        <v>5.59</v>
      </c>
      <c r="E23" s="300">
        <f>ROUND((DHL!AF18+(DHL!$AB18*DHL_FS))*(1+PostalMarkup),2)</f>
        <v>5.69</v>
      </c>
      <c r="F23" s="300">
        <f>ROUND((DHL!AG18+(DHL!$AB18*DHL_FS))*(1+PostalMarkup),2)</f>
        <v>5.7</v>
      </c>
      <c r="G23" s="300">
        <f>ROUND((DHL!AH18+(DHL!$AB18*DHL_FS))*(1+PostalMarkup),2)</f>
        <v>6.56</v>
      </c>
      <c r="H23" s="300">
        <f>ROUND((DHL!AI18+(DHL!$AB18*DHL_FS))*(1+PostalMarkup),2)</f>
        <v>6.59</v>
      </c>
      <c r="I23" s="300">
        <f>ROUND((DHL!AJ18+(DHL!$AB18*DHL_FS))*(1+PostalMarkup),2)</f>
        <v>18.25</v>
      </c>
      <c r="J23" s="300">
        <f>ROUND((DHL!AK18+(DHL!$AB18*DHL_FS))*(1+PostalMarkup),2)</f>
        <v>18.25</v>
      </c>
      <c r="K23" s="300">
        <f>ROUND((DHL!AL18+(DHL!$AB18*DHL_FS))*(1+PostalMarkup),2)</f>
        <v>18.25</v>
      </c>
    </row>
    <row r="24" spans="1:11" ht="12.75" customHeight="1">
      <c r="A24" s="299">
        <f>DHL!O19</f>
        <v>2</v>
      </c>
      <c r="B24" s="300">
        <f>ROUND((DHL!AC19+(DHL!$AB19*DHL_FS))*(1+PostalMarkup),2)</f>
        <v>6.13</v>
      </c>
      <c r="C24" s="300">
        <f>ROUND((DHL!AD19+(DHL!$AB19*DHL_FS))*(1+PostalMarkup),2)</f>
        <v>6.13</v>
      </c>
      <c r="D24" s="300">
        <f>ROUND((DHL!AE19+(DHL!$AB19*DHL_FS))*(1+PostalMarkup),2)</f>
        <v>6.26</v>
      </c>
      <c r="E24" s="300">
        <f>ROUND((DHL!AF19+(DHL!$AB19*DHL_FS))*(1+PostalMarkup),2)</f>
        <v>6.43</v>
      </c>
      <c r="F24" s="300">
        <f>ROUND((DHL!AG19+(DHL!$AB19*DHL_FS))*(1+PostalMarkup),2)</f>
        <v>6.45</v>
      </c>
      <c r="G24" s="300">
        <f>ROUND((DHL!AH19+(DHL!$AB19*DHL_FS))*(1+PostalMarkup),2)</f>
        <v>8.26</v>
      </c>
      <c r="H24" s="300">
        <f>ROUND((DHL!AI19+(DHL!$AB19*DHL_FS))*(1+PostalMarkup),2)</f>
        <v>8.3800000000000008</v>
      </c>
      <c r="I24" s="300">
        <f>ROUND((DHL!AJ19+(DHL!$AB19*DHL_FS))*(1+PostalMarkup),2)</f>
        <v>23.94</v>
      </c>
      <c r="J24" s="300">
        <f>ROUND((DHL!AK19+(DHL!$AB19*DHL_FS))*(1+PostalMarkup),2)</f>
        <v>23.94</v>
      </c>
      <c r="K24" s="300">
        <f>ROUND((DHL!AL19+(DHL!$AB19*DHL_FS))*(1+PostalMarkup),2)</f>
        <v>23.94</v>
      </c>
    </row>
    <row r="25" spans="1:11" ht="12.75" customHeight="1">
      <c r="A25" s="299">
        <f>DHL!O20</f>
        <v>3</v>
      </c>
      <c r="B25" s="300">
        <f>ROUND((DHL!AC20+(DHL!$AB20*DHL_FS))*(1+PostalMarkup),2)</f>
        <v>6.95</v>
      </c>
      <c r="C25" s="300">
        <f>ROUND((DHL!AD20+(DHL!$AB20*DHL_FS))*(1+PostalMarkup),2)</f>
        <v>6.95</v>
      </c>
      <c r="D25" s="300">
        <f>ROUND((DHL!AE20+(DHL!$AB20*DHL_FS))*(1+PostalMarkup),2)</f>
        <v>7.18</v>
      </c>
      <c r="E25" s="300">
        <f>ROUND((DHL!AF20+(DHL!$AB20*DHL_FS))*(1+PostalMarkup),2)</f>
        <v>7.41</v>
      </c>
      <c r="F25" s="300">
        <f>ROUND((DHL!AG20+(DHL!$AB20*DHL_FS))*(1+PostalMarkup),2)</f>
        <v>7.45</v>
      </c>
      <c r="G25" s="300">
        <f>ROUND((DHL!AH20+(DHL!$AB20*DHL_FS))*(1+PostalMarkup),2)</f>
        <v>10.19</v>
      </c>
      <c r="H25" s="300">
        <f>ROUND((DHL!AI20+(DHL!$AB20*DHL_FS))*(1+PostalMarkup),2)</f>
        <v>10.41</v>
      </c>
      <c r="I25" s="300">
        <f>ROUND((DHL!AJ20+(DHL!$AB20*DHL_FS))*(1+PostalMarkup),2)</f>
        <v>29.98</v>
      </c>
      <c r="J25" s="300">
        <f>ROUND((DHL!AK20+(DHL!$AB20*DHL_FS))*(1+PostalMarkup),2)</f>
        <v>29.98</v>
      </c>
      <c r="K25" s="300">
        <f>ROUND((DHL!AL20+(DHL!$AB20*DHL_FS))*(1+PostalMarkup),2)</f>
        <v>29.98</v>
      </c>
    </row>
    <row r="26" spans="1:11" ht="12.75" customHeight="1">
      <c r="A26" s="299">
        <f>DHL!O21</f>
        <v>4</v>
      </c>
      <c r="B26" s="300">
        <f>ROUND((DHL!AC21+(DHL!$AB21*DHL_FS))*(1+PostalMarkup),2)</f>
        <v>7.69</v>
      </c>
      <c r="C26" s="300">
        <f>ROUND((DHL!AD21+(DHL!$AB21*DHL_FS))*(1+PostalMarkup),2)</f>
        <v>7.69</v>
      </c>
      <c r="D26" s="300">
        <f>ROUND((DHL!AE21+(DHL!$AB21*DHL_FS))*(1+PostalMarkup),2)</f>
        <v>8.0500000000000007</v>
      </c>
      <c r="E26" s="300">
        <f>ROUND((DHL!AF21+(DHL!$AB21*DHL_FS))*(1+PostalMarkup),2)</f>
        <v>8.33</v>
      </c>
      <c r="F26" s="300">
        <f>ROUND((DHL!AG21+(DHL!$AB21*DHL_FS))*(1+PostalMarkup),2)</f>
        <v>8.4</v>
      </c>
      <c r="G26" s="300">
        <f>ROUND((DHL!AH21+(DHL!$AB21*DHL_FS))*(1+PostalMarkup),2)</f>
        <v>12.08</v>
      </c>
      <c r="H26" s="300">
        <f>ROUND((DHL!AI21+(DHL!$AB21*DHL_FS))*(1+PostalMarkup),2)</f>
        <v>12.39</v>
      </c>
      <c r="I26" s="300">
        <f>ROUND((DHL!AJ21+(DHL!$AB21*DHL_FS))*(1+PostalMarkup),2)</f>
        <v>35.21</v>
      </c>
      <c r="J26" s="300">
        <f>ROUND((DHL!AK21+(DHL!$AB21*DHL_FS))*(1+PostalMarkup),2)</f>
        <v>35.21</v>
      </c>
      <c r="K26" s="300">
        <f>ROUND((DHL!AL21+(DHL!$AB21*DHL_FS))*(1+PostalMarkup),2)</f>
        <v>35.21</v>
      </c>
    </row>
    <row r="27" spans="1:11" ht="12.75" customHeight="1">
      <c r="A27" s="299">
        <f>DHL!O22</f>
        <v>5</v>
      </c>
      <c r="B27" s="300">
        <f>ROUND((DHL!AC22+(DHL!$AB22*DHL_FS))*(1+PostalMarkup),2)</f>
        <v>8.4600000000000009</v>
      </c>
      <c r="C27" s="300">
        <f>ROUND((DHL!AD22+(DHL!$AB22*DHL_FS))*(1+PostalMarkup),2)</f>
        <v>8.4600000000000009</v>
      </c>
      <c r="D27" s="300">
        <f>ROUND((DHL!AE22+(DHL!$AB22*DHL_FS))*(1+PostalMarkup),2)</f>
        <v>8.9499999999999993</v>
      </c>
      <c r="E27" s="300">
        <f>ROUND((DHL!AF22+(DHL!$AB22*DHL_FS))*(1+PostalMarkup),2)</f>
        <v>9.27</v>
      </c>
      <c r="F27" s="300">
        <f>ROUND((DHL!AG22+(DHL!$AB22*DHL_FS))*(1+PostalMarkup),2)</f>
        <v>9.3699999999999992</v>
      </c>
      <c r="G27" s="300">
        <f>ROUND((DHL!AH22+(DHL!$AB22*DHL_FS))*(1+PostalMarkup),2)</f>
        <v>13.97</v>
      </c>
      <c r="H27" s="300">
        <f>ROUND((DHL!AI22+(DHL!$AB22*DHL_FS))*(1+PostalMarkup),2)</f>
        <v>14.39</v>
      </c>
      <c r="I27" s="300">
        <f>ROUND((DHL!AJ22+(DHL!$AB22*DHL_FS))*(1+PostalMarkup),2)</f>
        <v>40.72</v>
      </c>
      <c r="J27" s="300">
        <f>ROUND((DHL!AK22+(DHL!$AB22*DHL_FS))*(1+PostalMarkup),2)</f>
        <v>40.72</v>
      </c>
      <c r="K27" s="300">
        <f>ROUND((DHL!AL22+(DHL!$AB22*DHL_FS))*(1+PostalMarkup),2)</f>
        <v>40.72</v>
      </c>
    </row>
    <row r="28" spans="1:11" ht="12.75" customHeight="1">
      <c r="A28" s="299">
        <f>DHL!O23</f>
        <v>6</v>
      </c>
      <c r="B28" s="300">
        <f>ROUND((DHL!AC23+(DHL!$AB23*DHL_FS))*(1+PostalMarkup),2)</f>
        <v>9.1999999999999993</v>
      </c>
      <c r="C28" s="300">
        <f>ROUND((DHL!AD23+(DHL!$AB23*DHL_FS))*(1+PostalMarkup),2)</f>
        <v>9.1999999999999993</v>
      </c>
      <c r="D28" s="300">
        <f>ROUND((DHL!AE23+(DHL!$AB23*DHL_FS))*(1+PostalMarkup),2)</f>
        <v>9.81</v>
      </c>
      <c r="E28" s="300">
        <f>ROUND((DHL!AF23+(DHL!$AB23*DHL_FS))*(1+PostalMarkup),2)</f>
        <v>10.19</v>
      </c>
      <c r="F28" s="300">
        <f>ROUND((DHL!AG23+(DHL!$AB23*DHL_FS))*(1+PostalMarkup),2)</f>
        <v>10.32</v>
      </c>
      <c r="G28" s="300">
        <f>ROUND((DHL!AH23+(DHL!$AB23*DHL_FS))*(1+PostalMarkup),2)</f>
        <v>15.85</v>
      </c>
      <c r="H28" s="300">
        <f>ROUND((DHL!AI23+(DHL!$AB23*DHL_FS))*(1+PostalMarkup),2)</f>
        <v>16.38</v>
      </c>
      <c r="I28" s="300">
        <f>ROUND((DHL!AJ23+(DHL!$AB23*DHL_FS))*(1+PostalMarkup),2)</f>
        <v>46.18</v>
      </c>
      <c r="J28" s="300">
        <f>ROUND((DHL!AK23+(DHL!$AB23*DHL_FS))*(1+PostalMarkup),2)</f>
        <v>46.18</v>
      </c>
      <c r="K28" s="300">
        <f>ROUND((DHL!AL23+(DHL!$AB23*DHL_FS))*(1+PostalMarkup),2)</f>
        <v>46.18</v>
      </c>
    </row>
    <row r="29" spans="1:11" ht="12.75" customHeight="1">
      <c r="A29" s="299">
        <f>DHL!O24</f>
        <v>7</v>
      </c>
      <c r="B29" s="300">
        <f>ROUND((DHL!AC24+(DHL!$AB24*DHL_FS))*(1+PostalMarkup),2)</f>
        <v>9.5</v>
      </c>
      <c r="C29" s="300">
        <f>ROUND((DHL!AD24+(DHL!$AB24*DHL_FS))*(1+PostalMarkup),2)</f>
        <v>9.5</v>
      </c>
      <c r="D29" s="300">
        <f>ROUND((DHL!AE24+(DHL!$AB24*DHL_FS))*(1+PostalMarkup),2)</f>
        <v>10.210000000000001</v>
      </c>
      <c r="E29" s="300">
        <f>ROUND((DHL!AF24+(DHL!$AB24*DHL_FS))*(1+PostalMarkup),2)</f>
        <v>10.6</v>
      </c>
      <c r="F29" s="300">
        <f>ROUND((DHL!AG24+(DHL!$AB24*DHL_FS))*(1+PostalMarkup),2)</f>
        <v>10.75</v>
      </c>
      <c r="G29" s="300">
        <f>ROUND((DHL!AH24+(DHL!$AB24*DHL_FS))*(1+PostalMarkup),2)</f>
        <v>16.91</v>
      </c>
      <c r="H29" s="300">
        <f>ROUND((DHL!AI24+(DHL!$AB24*DHL_FS))*(1+PostalMarkup),2)</f>
        <v>17.5</v>
      </c>
      <c r="I29" s="300">
        <f>ROUND((DHL!AJ24+(DHL!$AB24*DHL_FS))*(1+PostalMarkup),2)</f>
        <v>51.53</v>
      </c>
      <c r="J29" s="300">
        <f>ROUND((DHL!AK24+(DHL!$AB24*DHL_FS))*(1+PostalMarkup),2)</f>
        <v>51.53</v>
      </c>
      <c r="K29" s="300">
        <f>ROUND((DHL!AL24+(DHL!$AB24*DHL_FS))*(1+PostalMarkup),2)</f>
        <v>51.53</v>
      </c>
    </row>
    <row r="30" spans="1:11" ht="12.75" customHeight="1">
      <c r="A30" s="299">
        <f>DHL!O25</f>
        <v>8</v>
      </c>
      <c r="B30" s="300">
        <f>ROUND((DHL!AC25+(DHL!$AB25*DHL_FS))*(1+PostalMarkup),2)</f>
        <v>10.65</v>
      </c>
      <c r="C30" s="300">
        <f>ROUND((DHL!AD25+(DHL!$AB25*DHL_FS))*(1+PostalMarkup),2)</f>
        <v>10.66</v>
      </c>
      <c r="D30" s="300">
        <f>ROUND((DHL!AE25+(DHL!$AB25*DHL_FS))*(1+PostalMarkup),2)</f>
        <v>11.52</v>
      </c>
      <c r="E30" s="300">
        <f>ROUND((DHL!AF25+(DHL!$AB25*DHL_FS))*(1+PostalMarkup),2)</f>
        <v>11.98</v>
      </c>
      <c r="F30" s="300">
        <f>ROUND((DHL!AG25+(DHL!$AB25*DHL_FS))*(1+PostalMarkup),2)</f>
        <v>12.17</v>
      </c>
      <c r="G30" s="300">
        <f>ROUND((DHL!AH25+(DHL!$AB25*DHL_FS))*(1+PostalMarkup),2)</f>
        <v>19.559999999999999</v>
      </c>
      <c r="H30" s="300">
        <f>ROUND((DHL!AI25+(DHL!$AB25*DHL_FS))*(1+PostalMarkup),2)</f>
        <v>20.309999999999999</v>
      </c>
      <c r="I30" s="300">
        <f>ROUND((DHL!AJ25+(DHL!$AB25*DHL_FS))*(1+PostalMarkup),2)</f>
        <v>56.94</v>
      </c>
      <c r="J30" s="300">
        <f>ROUND((DHL!AK25+(DHL!$AB25*DHL_FS))*(1+PostalMarkup),2)</f>
        <v>56.94</v>
      </c>
      <c r="K30" s="300">
        <f>ROUND((DHL!AL25+(DHL!$AB25*DHL_FS))*(1+PostalMarkup),2)</f>
        <v>56.94</v>
      </c>
    </row>
    <row r="31" spans="1:11" ht="12.75" customHeight="1">
      <c r="A31" s="299">
        <f>DHL!O26</f>
        <v>9</v>
      </c>
      <c r="B31" s="300">
        <f>ROUND((DHL!AC26+(DHL!$AB26*DHL_FS))*(1+PostalMarkup),2)</f>
        <v>11.33</v>
      </c>
      <c r="C31" s="300">
        <f>ROUND((DHL!AD26+(DHL!$AB26*DHL_FS))*(1+PostalMarkup),2)</f>
        <v>11.36</v>
      </c>
      <c r="D31" s="300">
        <f>ROUND((DHL!AE26+(DHL!$AB26*DHL_FS))*(1+PostalMarkup),2)</f>
        <v>12.35</v>
      </c>
      <c r="E31" s="300">
        <f>ROUND((DHL!AF26+(DHL!$AB26*DHL_FS))*(1+PostalMarkup),2)</f>
        <v>12.85</v>
      </c>
      <c r="F31" s="300">
        <f>ROUND((DHL!AG26+(DHL!$AB26*DHL_FS))*(1+PostalMarkup),2)</f>
        <v>13.06</v>
      </c>
      <c r="G31" s="300">
        <f>ROUND((DHL!AH26+(DHL!$AB26*DHL_FS))*(1+PostalMarkup),2)</f>
        <v>21.39</v>
      </c>
      <c r="H31" s="300">
        <f>ROUND((DHL!AI26+(DHL!$AB26*DHL_FS))*(1+PostalMarkup),2)</f>
        <v>22.25</v>
      </c>
      <c r="I31" s="300">
        <f>ROUND((DHL!AJ26+(DHL!$AB26*DHL_FS))*(1+PostalMarkup),2)</f>
        <v>62.1</v>
      </c>
      <c r="J31" s="300">
        <f>ROUND((DHL!AK26+(DHL!$AB26*DHL_FS))*(1+PostalMarkup),2)</f>
        <v>62.1</v>
      </c>
      <c r="K31" s="300">
        <f>ROUND((DHL!AL26+(DHL!$AB26*DHL_FS))*(1+PostalMarkup),2)</f>
        <v>62.1</v>
      </c>
    </row>
    <row r="32" spans="1:11" ht="12.75" customHeight="1">
      <c r="A32" s="299">
        <f>DHL!O27</f>
        <v>10</v>
      </c>
      <c r="B32" s="300">
        <f>ROUND((DHL!AC27+(DHL!$AB27*DHL_FS))*(1+PostalMarkup),2)</f>
        <v>12.02</v>
      </c>
      <c r="C32" s="300">
        <f>ROUND((DHL!AD27+(DHL!$AB27*DHL_FS))*(1+PostalMarkup),2)</f>
        <v>12.09</v>
      </c>
      <c r="D32" s="300">
        <f>ROUND((DHL!AE27+(DHL!$AB27*DHL_FS))*(1+PostalMarkup),2)</f>
        <v>13.19</v>
      </c>
      <c r="E32" s="300">
        <f>ROUND((DHL!AF27+(DHL!$AB27*DHL_FS))*(1+PostalMarkup),2)</f>
        <v>13.72</v>
      </c>
      <c r="F32" s="300">
        <f>ROUND((DHL!AG27+(DHL!$AB27*DHL_FS))*(1+PostalMarkup),2)</f>
        <v>13.97</v>
      </c>
      <c r="G32" s="300">
        <f>ROUND((DHL!AH27+(DHL!$AB27*DHL_FS))*(1+PostalMarkup),2)</f>
        <v>23.23</v>
      </c>
      <c r="H32" s="300">
        <f>ROUND((DHL!AI27+(DHL!$AB27*DHL_FS))*(1+PostalMarkup),2)</f>
        <v>24.2</v>
      </c>
      <c r="I32" s="300">
        <f>ROUND((DHL!AJ27+(DHL!$AB27*DHL_FS))*(1+PostalMarkup),2)</f>
        <v>67.319999999999993</v>
      </c>
      <c r="J32" s="300">
        <f>ROUND((DHL!AK27+(DHL!$AB27*DHL_FS))*(1+PostalMarkup),2)</f>
        <v>67.319999999999993</v>
      </c>
      <c r="K32" s="300">
        <f>ROUND((DHL!AL27+(DHL!$AB27*DHL_FS))*(1+PostalMarkup),2)</f>
        <v>67.319999999999993</v>
      </c>
    </row>
    <row r="33" spans="1:11" ht="12.75" customHeight="1">
      <c r="A33" s="299">
        <f>DHL!O28</f>
        <v>11</v>
      </c>
      <c r="B33" s="300">
        <f>ROUND((DHL!AC28+(DHL!$AB28*DHL_FS))*(1+PostalMarkup),2)</f>
        <v>12.62</v>
      </c>
      <c r="C33" s="300">
        <f>ROUND((DHL!AD28+(DHL!$AB28*DHL_FS))*(1+PostalMarkup),2)</f>
        <v>12.71</v>
      </c>
      <c r="D33" s="300">
        <f>ROUND((DHL!AE28+(DHL!$AB28*DHL_FS))*(1+PostalMarkup),2)</f>
        <v>13.92</v>
      </c>
      <c r="E33" s="300">
        <f>ROUND((DHL!AF28+(DHL!$AB28*DHL_FS))*(1+PostalMarkup),2)</f>
        <v>14.5</v>
      </c>
      <c r="F33" s="300">
        <f>ROUND((DHL!AG28+(DHL!$AB28*DHL_FS))*(1+PostalMarkup),2)</f>
        <v>14.78</v>
      </c>
      <c r="G33" s="300">
        <f>ROUND((DHL!AH28+(DHL!$AB28*DHL_FS))*(1+PostalMarkup),2)</f>
        <v>24.97</v>
      </c>
      <c r="H33" s="300">
        <f>ROUND((DHL!AI28+(DHL!$AB28*DHL_FS))*(1+PostalMarkup),2)</f>
        <v>26.05</v>
      </c>
      <c r="I33" s="300">
        <f>ROUND((DHL!AJ28+(DHL!$AB28*DHL_FS))*(1+PostalMarkup),2)</f>
        <v>72.67</v>
      </c>
      <c r="J33" s="300">
        <f>ROUND((DHL!AK28+(DHL!$AB28*DHL_FS))*(1+PostalMarkup),2)</f>
        <v>72.67</v>
      </c>
      <c r="K33" s="300">
        <f>ROUND((DHL!AL28+(DHL!$AB28*DHL_FS))*(1+PostalMarkup),2)</f>
        <v>72.67</v>
      </c>
    </row>
    <row r="34" spans="1:11" ht="12.75" customHeight="1">
      <c r="A34" s="299">
        <f>DHL!O29</f>
        <v>12</v>
      </c>
      <c r="B34" s="300">
        <f>ROUND((DHL!AC29+(DHL!$AB29*DHL_FS))*(1+PostalMarkup),2)</f>
        <v>13.29</v>
      </c>
      <c r="C34" s="300">
        <f>ROUND((DHL!AD29+(DHL!$AB29*DHL_FS))*(1+PostalMarkup),2)</f>
        <v>13.41</v>
      </c>
      <c r="D34" s="300">
        <f>ROUND((DHL!AE29+(DHL!$AB29*DHL_FS))*(1+PostalMarkup),2)</f>
        <v>14.73</v>
      </c>
      <c r="E34" s="300">
        <f>ROUND((DHL!AF29+(DHL!$AB29*DHL_FS))*(1+PostalMarkup),2)</f>
        <v>15.35</v>
      </c>
      <c r="F34" s="300">
        <f>ROUND((DHL!AG29+(DHL!$AB29*DHL_FS))*(1+PostalMarkup),2)</f>
        <v>15.66</v>
      </c>
      <c r="G34" s="300">
        <f>ROUND((DHL!AH29+(DHL!$AB29*DHL_FS))*(1+PostalMarkup),2)</f>
        <v>26.78</v>
      </c>
      <c r="H34" s="300">
        <f>ROUND((DHL!AI29+(DHL!$AB29*DHL_FS))*(1+PostalMarkup),2)</f>
        <v>27.97</v>
      </c>
      <c r="I34" s="300">
        <f>ROUND((DHL!AJ29+(DHL!$AB29*DHL_FS))*(1+PostalMarkup),2)</f>
        <v>78.13</v>
      </c>
      <c r="J34" s="300">
        <f>ROUND((DHL!AK29+(DHL!$AB29*DHL_FS))*(1+PostalMarkup),2)</f>
        <v>78.13</v>
      </c>
      <c r="K34" s="300">
        <f>ROUND((DHL!AL29+(DHL!$AB29*DHL_FS))*(1+PostalMarkup),2)</f>
        <v>78.13</v>
      </c>
    </row>
    <row r="35" spans="1:11" ht="12.75" customHeight="1">
      <c r="A35" s="299">
        <f>DHL!O30</f>
        <v>13</v>
      </c>
      <c r="B35" s="300">
        <f>ROUND((DHL!AC30+(DHL!$AB30*DHL_FS))*(1+PostalMarkup),2)</f>
        <v>13.96</v>
      </c>
      <c r="C35" s="300">
        <f>ROUND((DHL!AD30+(DHL!$AB30*DHL_FS))*(1+PostalMarkup),2)</f>
        <v>14.11</v>
      </c>
      <c r="D35" s="300">
        <f>ROUND((DHL!AE30+(DHL!$AB30*DHL_FS))*(1+PostalMarkup),2)</f>
        <v>15.54</v>
      </c>
      <c r="E35" s="300">
        <f>ROUND((DHL!AF30+(DHL!$AB30*DHL_FS))*(1+PostalMarkup),2)</f>
        <v>16.22</v>
      </c>
      <c r="F35" s="300">
        <f>ROUND((DHL!AG30+(DHL!$AB30*DHL_FS))*(1+PostalMarkup),2)</f>
        <v>16.54</v>
      </c>
      <c r="G35" s="300">
        <f>ROUND((DHL!AH30+(DHL!$AB30*DHL_FS))*(1+PostalMarkup),2)</f>
        <v>28.59</v>
      </c>
      <c r="H35" s="300">
        <f>ROUND((DHL!AI30+(DHL!$AB30*DHL_FS))*(1+PostalMarkup),2)</f>
        <v>29.89</v>
      </c>
      <c r="I35" s="300">
        <f>ROUND((DHL!AJ30+(DHL!$AB30*DHL_FS))*(1+PostalMarkup),2)</f>
        <v>83.77</v>
      </c>
      <c r="J35" s="300">
        <f>ROUND((DHL!AK30+(DHL!$AB30*DHL_FS))*(1+PostalMarkup),2)</f>
        <v>83.77</v>
      </c>
      <c r="K35" s="300">
        <f>ROUND((DHL!AL30+(DHL!$AB30*DHL_FS))*(1+PostalMarkup),2)</f>
        <v>83.77</v>
      </c>
    </row>
    <row r="36" spans="1:11" ht="12.75" customHeight="1">
      <c r="A36" s="299">
        <f>DHL!O31</f>
        <v>14</v>
      </c>
      <c r="B36" s="300">
        <f>ROUND((DHL!AC31+(DHL!$AB31*DHL_FS))*(1+PostalMarkup),2)</f>
        <v>14.62</v>
      </c>
      <c r="C36" s="300">
        <f>ROUND((DHL!AD31+(DHL!$AB31*DHL_FS))*(1+PostalMarkup),2)</f>
        <v>14.8</v>
      </c>
      <c r="D36" s="300">
        <f>ROUND((DHL!AE31+(DHL!$AB31*DHL_FS))*(1+PostalMarkup),2)</f>
        <v>16.34</v>
      </c>
      <c r="E36" s="300">
        <f>ROUND((DHL!AF31+(DHL!$AB31*DHL_FS))*(1+PostalMarkup),2)</f>
        <v>17.05</v>
      </c>
      <c r="F36" s="300">
        <f>ROUND((DHL!AG31+(DHL!$AB31*DHL_FS))*(1+PostalMarkup),2)</f>
        <v>17.41</v>
      </c>
      <c r="G36" s="300">
        <f>ROUND((DHL!AH31+(DHL!$AB31*DHL_FS))*(1+PostalMarkup),2)</f>
        <v>30.39</v>
      </c>
      <c r="H36" s="300">
        <f>ROUND((DHL!AI31+(DHL!$AB31*DHL_FS))*(1+PostalMarkup),2)</f>
        <v>31.81</v>
      </c>
      <c r="I36" s="300">
        <f>ROUND((DHL!AJ31+(DHL!$AB31*DHL_FS))*(1+PostalMarkup),2)</f>
        <v>89.4</v>
      </c>
      <c r="J36" s="300">
        <f>ROUND((DHL!AK31+(DHL!$AB31*DHL_FS))*(1+PostalMarkup),2)</f>
        <v>89.4</v>
      </c>
      <c r="K36" s="300">
        <f>ROUND((DHL!AL31+(DHL!$AB31*DHL_FS))*(1+PostalMarkup),2)</f>
        <v>89.4</v>
      </c>
    </row>
    <row r="37" spans="1:11" ht="12.75" customHeight="1">
      <c r="A37" s="299">
        <f>DHL!O32</f>
        <v>15</v>
      </c>
      <c r="B37" s="300">
        <f>ROUND((DHL!AC32+(DHL!$AB32*DHL_FS))*(1+PostalMarkup),2)</f>
        <v>15.28</v>
      </c>
      <c r="C37" s="300">
        <f>ROUND((DHL!AD32+(DHL!$AB32*DHL_FS))*(1+PostalMarkup),2)</f>
        <v>15.5</v>
      </c>
      <c r="D37" s="300">
        <f>ROUND((DHL!AE32+(DHL!$AB32*DHL_FS))*(1+PostalMarkup),2)</f>
        <v>17.149999999999999</v>
      </c>
      <c r="E37" s="300">
        <f>ROUND((DHL!AF32+(DHL!$AB32*DHL_FS))*(1+PostalMarkup),2)</f>
        <v>17.91</v>
      </c>
      <c r="F37" s="300">
        <f>ROUND((DHL!AG32+(DHL!$AB32*DHL_FS))*(1+PostalMarkup),2)</f>
        <v>18.29</v>
      </c>
      <c r="G37" s="300">
        <f>ROUND((DHL!AH32+(DHL!$AB32*DHL_FS))*(1+PostalMarkup),2)</f>
        <v>32.200000000000003</v>
      </c>
      <c r="H37" s="300">
        <f>ROUND((DHL!AI32+(DHL!$AB32*DHL_FS))*(1+PostalMarkup),2)</f>
        <v>33.729999999999997</v>
      </c>
      <c r="I37" s="300">
        <f>ROUND((DHL!AJ32+(DHL!$AB32*DHL_FS))*(1+PostalMarkup),2)</f>
        <v>93.98</v>
      </c>
      <c r="J37" s="300">
        <f>ROUND((DHL!AK32+(DHL!$AB32*DHL_FS))*(1+PostalMarkup),2)</f>
        <v>93.98</v>
      </c>
      <c r="K37" s="300">
        <f>ROUND((DHL!AL32+(DHL!$AB32*DHL_FS))*(1+PostalMarkup),2)</f>
        <v>93.98</v>
      </c>
    </row>
    <row r="38" spans="1:11" ht="12.75" customHeight="1">
      <c r="A38" s="299">
        <f>DHL!O33</f>
        <v>16</v>
      </c>
      <c r="B38" s="300">
        <f>ROUND((DHL!AC33+(DHL!$AB33*DHL_FS))*(1+PostalMarkup),2)</f>
        <v>15.95</v>
      </c>
      <c r="C38" s="300">
        <f>ROUND((DHL!AD33+(DHL!$AB33*DHL_FS))*(1+PostalMarkup),2)</f>
        <v>16.18</v>
      </c>
      <c r="D38" s="300">
        <f>ROUND((DHL!AE33+(DHL!$AB33*DHL_FS))*(1+PostalMarkup),2)</f>
        <v>17.95</v>
      </c>
      <c r="E38" s="300">
        <f>ROUND((DHL!AF33+(DHL!$AB33*DHL_FS))*(1+PostalMarkup),2)</f>
        <v>18.75</v>
      </c>
      <c r="F38" s="300">
        <f>ROUND((DHL!AG33+(DHL!$AB33*DHL_FS))*(1+PostalMarkup),2)</f>
        <v>19.170000000000002</v>
      </c>
      <c r="G38" s="300">
        <f>ROUND((DHL!AH33+(DHL!$AB33*DHL_FS))*(1+PostalMarkup),2)</f>
        <v>34.01</v>
      </c>
      <c r="H38" s="300">
        <f>ROUND((DHL!AI33+(DHL!$AB33*DHL_FS))*(1+PostalMarkup),2)</f>
        <v>35.64</v>
      </c>
      <c r="I38" s="300">
        <f>ROUND((DHL!AJ33+(DHL!$AB33*DHL_FS))*(1+PostalMarkup),2)</f>
        <v>99.27</v>
      </c>
      <c r="J38" s="300">
        <f>ROUND((DHL!AK33+(DHL!$AB33*DHL_FS))*(1+PostalMarkup),2)</f>
        <v>99.27</v>
      </c>
      <c r="K38" s="300">
        <f>ROUND((DHL!AL33+(DHL!$AB33*DHL_FS))*(1+PostalMarkup),2)</f>
        <v>99.27</v>
      </c>
    </row>
    <row r="39" spans="1:11" ht="12.75" customHeight="1">
      <c r="A39" s="299">
        <f>DHL!O34</f>
        <v>17</v>
      </c>
      <c r="B39" s="300">
        <f>ROUND((DHL!AC34+(DHL!$AB34*DHL_FS))*(1+PostalMarkup),2)</f>
        <v>16.59</v>
      </c>
      <c r="C39" s="300">
        <f>ROUND((DHL!AD34+(DHL!$AB34*DHL_FS))*(1+PostalMarkup),2)</f>
        <v>16.86</v>
      </c>
      <c r="D39" s="300">
        <f>ROUND((DHL!AE34+(DHL!$AB34*DHL_FS))*(1+PostalMarkup),2)</f>
        <v>18.73</v>
      </c>
      <c r="E39" s="300">
        <f>ROUND((DHL!AF34+(DHL!$AB34*DHL_FS))*(1+PostalMarkup),2)</f>
        <v>19.57</v>
      </c>
      <c r="F39" s="300">
        <f>ROUND((DHL!AG34+(DHL!$AB34*DHL_FS))*(1+PostalMarkup),2)</f>
        <v>20.02</v>
      </c>
      <c r="G39" s="300">
        <f>ROUND((DHL!AH34+(DHL!$AB34*DHL_FS))*(1+PostalMarkup),2)</f>
        <v>35.799999999999997</v>
      </c>
      <c r="H39" s="300">
        <f>ROUND((DHL!AI34+(DHL!$AB34*DHL_FS))*(1+PostalMarkup),2)</f>
        <v>37.54</v>
      </c>
      <c r="I39" s="300">
        <f>ROUND((DHL!AJ34+(DHL!$AB34*DHL_FS))*(1+PostalMarkup),2)</f>
        <v>104.49</v>
      </c>
      <c r="J39" s="300">
        <f>ROUND((DHL!AK34+(DHL!$AB34*DHL_FS))*(1+PostalMarkup),2)</f>
        <v>104.49</v>
      </c>
      <c r="K39" s="300">
        <f>ROUND((DHL!AL34+(DHL!$AB34*DHL_FS))*(1+PostalMarkup),2)</f>
        <v>104.49</v>
      </c>
    </row>
    <row r="40" spans="1:11" ht="12.75" customHeight="1">
      <c r="A40" s="299">
        <f>DHL!O35</f>
        <v>18</v>
      </c>
      <c r="B40" s="300">
        <f>ROUND((DHL!AC35+(DHL!$AB35*DHL_FS))*(1+PostalMarkup),2)</f>
        <v>17.27</v>
      </c>
      <c r="C40" s="300">
        <f>ROUND((DHL!AD35+(DHL!$AB35*DHL_FS))*(1+PostalMarkup),2)</f>
        <v>17.559999999999999</v>
      </c>
      <c r="D40" s="300">
        <f>ROUND((DHL!AE35+(DHL!$AB35*DHL_FS))*(1+PostalMarkup),2)</f>
        <v>19.55</v>
      </c>
      <c r="E40" s="300">
        <f>ROUND((DHL!AF35+(DHL!$AB35*DHL_FS))*(1+PostalMarkup),2)</f>
        <v>20.420000000000002</v>
      </c>
      <c r="F40" s="300">
        <f>ROUND((DHL!AG35+(DHL!$AB35*DHL_FS))*(1+PostalMarkup),2)</f>
        <v>20.91</v>
      </c>
      <c r="G40" s="300">
        <f>ROUND((DHL!AH35+(DHL!$AB35*DHL_FS))*(1+PostalMarkup),2)</f>
        <v>37.619999999999997</v>
      </c>
      <c r="H40" s="300">
        <f>ROUND((DHL!AI35+(DHL!$AB35*DHL_FS))*(1+PostalMarkup),2)</f>
        <v>39.47</v>
      </c>
      <c r="I40" s="300">
        <f>ROUND((DHL!AJ35+(DHL!$AB35*DHL_FS))*(1+PostalMarkup),2)</f>
        <v>109.78</v>
      </c>
      <c r="J40" s="300">
        <f>ROUND((DHL!AK35+(DHL!$AB35*DHL_FS))*(1+PostalMarkup),2)</f>
        <v>109.78</v>
      </c>
      <c r="K40" s="300">
        <f>ROUND((DHL!AL35+(DHL!$AB35*DHL_FS))*(1+PostalMarkup),2)</f>
        <v>109.78</v>
      </c>
    </row>
    <row r="41" spans="1:11" ht="12.75" customHeight="1">
      <c r="A41" s="299">
        <f>DHL!O36</f>
        <v>19</v>
      </c>
      <c r="B41" s="300">
        <f>ROUND((DHL!AC36+(DHL!$AB36*DHL_FS))*(1+PostalMarkup),2)</f>
        <v>17.920000000000002</v>
      </c>
      <c r="C41" s="300">
        <f>ROUND((DHL!AD36+(DHL!$AB36*DHL_FS))*(1+PostalMarkup),2)</f>
        <v>18.25</v>
      </c>
      <c r="D41" s="300">
        <f>ROUND((DHL!AE36+(DHL!$AB36*DHL_FS))*(1+PostalMarkup),2)</f>
        <v>20.34</v>
      </c>
      <c r="E41" s="300">
        <f>ROUND((DHL!AF36+(DHL!$AB36*DHL_FS))*(1+PostalMarkup),2)</f>
        <v>21.26</v>
      </c>
      <c r="F41" s="300">
        <f>ROUND((DHL!AG36+(DHL!$AB36*DHL_FS))*(1+PostalMarkup),2)</f>
        <v>21.77</v>
      </c>
      <c r="G41" s="300">
        <f>ROUND((DHL!AH36+(DHL!$AB36*DHL_FS))*(1+PostalMarkup),2)</f>
        <v>39.409999999999997</v>
      </c>
      <c r="H41" s="300">
        <f>ROUND((DHL!AI36+(DHL!$AB36*DHL_FS))*(1+PostalMarkup),2)</f>
        <v>41.37</v>
      </c>
      <c r="I41" s="300">
        <f>ROUND((DHL!AJ36+(DHL!$AB36*DHL_FS))*(1+PostalMarkup),2)</f>
        <v>114.36</v>
      </c>
      <c r="J41" s="300">
        <f>ROUND((DHL!AK36+(DHL!$AB36*DHL_FS))*(1+PostalMarkup),2)</f>
        <v>114.36</v>
      </c>
      <c r="K41" s="300">
        <f>ROUND((DHL!AL36+(DHL!$AB36*DHL_FS))*(1+PostalMarkup),2)</f>
        <v>114.36</v>
      </c>
    </row>
    <row r="42" spans="1:11" ht="12.75" customHeight="1">
      <c r="A42" s="299">
        <f>DHL!O37</f>
        <v>20</v>
      </c>
      <c r="B42" s="300">
        <f>ROUND((DHL!AC37+(DHL!$AB37*DHL_FS))*(1+PostalMarkup),2)</f>
        <v>18.57</v>
      </c>
      <c r="C42" s="300">
        <f>ROUND((DHL!AD37+(DHL!$AB37*DHL_FS))*(1+PostalMarkup),2)</f>
        <v>18.940000000000001</v>
      </c>
      <c r="D42" s="300">
        <f>ROUND((DHL!AE37+(DHL!$AB37*DHL_FS))*(1+PostalMarkup),2)</f>
        <v>21.14</v>
      </c>
      <c r="E42" s="300">
        <f>ROUND((DHL!AF37+(DHL!$AB37*DHL_FS))*(1+PostalMarkup),2)</f>
        <v>22.1</v>
      </c>
      <c r="F42" s="300">
        <f>ROUND((DHL!AG37+(DHL!$AB37*DHL_FS))*(1+PostalMarkup),2)</f>
        <v>22.63</v>
      </c>
      <c r="G42" s="300">
        <f>ROUND((DHL!AH37+(DHL!$AB37*DHL_FS))*(1+PostalMarkup),2)</f>
        <v>41.2</v>
      </c>
      <c r="H42" s="300">
        <f>ROUND((DHL!AI37+(DHL!$AB37*DHL_FS))*(1+PostalMarkup),2)</f>
        <v>43.29</v>
      </c>
      <c r="I42" s="300">
        <f>ROUND((DHL!AJ37+(DHL!$AB37*DHL_FS))*(1+PostalMarkup),2)</f>
        <v>119.59</v>
      </c>
      <c r="J42" s="300">
        <f>ROUND((DHL!AK37+(DHL!$AB37*DHL_FS))*(1+PostalMarkup),2)</f>
        <v>119.59</v>
      </c>
      <c r="K42" s="300">
        <f>ROUND((DHL!AL37+(DHL!$AB37*DHL_FS))*(1+PostalMarkup),2)</f>
        <v>119.59</v>
      </c>
    </row>
    <row r="43" spans="1:11" ht="12.75" customHeight="1">
      <c r="A43" s="299">
        <f>DHL!O38</f>
        <v>21</v>
      </c>
      <c r="B43" s="300">
        <f>ROUND((DHL!AC38+(DHL!$AB38*DHL_FS))*(1+PostalMarkup),2)</f>
        <v>19.600000000000001</v>
      </c>
      <c r="C43" s="300">
        <f>ROUND((DHL!AD38+(DHL!$AB38*DHL_FS))*(1+PostalMarkup),2)</f>
        <v>19.96</v>
      </c>
      <c r="D43" s="300">
        <f>ROUND((DHL!AE38+(DHL!$AB38*DHL_FS))*(1+PostalMarkup),2)</f>
        <v>22.3</v>
      </c>
      <c r="E43" s="300">
        <f>ROUND((DHL!AF38+(DHL!$AB38*DHL_FS))*(1+PostalMarkup),2)</f>
        <v>23.31</v>
      </c>
      <c r="F43" s="300">
        <f>ROUND((DHL!AG38+(DHL!$AB38*DHL_FS))*(1+PostalMarkup),2)</f>
        <v>23.86</v>
      </c>
      <c r="G43" s="300">
        <f>ROUND((DHL!AH38+(DHL!$AB38*DHL_FS))*(1+PostalMarkup),2)</f>
        <v>43.36</v>
      </c>
      <c r="H43" s="300">
        <f>ROUND((DHL!AI38+(DHL!$AB38*DHL_FS))*(1+PostalMarkup),2)</f>
        <v>45.54</v>
      </c>
      <c r="I43" s="300">
        <f>ROUND((DHL!AJ38+(DHL!$AB38*DHL_FS))*(1+PostalMarkup),2)</f>
        <v>123.94</v>
      </c>
      <c r="J43" s="300">
        <f>ROUND((DHL!AK38+(DHL!$AB38*DHL_FS))*(1+PostalMarkup),2)</f>
        <v>123.94</v>
      </c>
      <c r="K43" s="300">
        <f>ROUND((DHL!AL38+(DHL!$AB38*DHL_FS))*(1+PostalMarkup),2)</f>
        <v>123.94</v>
      </c>
    </row>
    <row r="44" spans="1:11" ht="12.75" customHeight="1">
      <c r="A44" s="299">
        <f>DHL!O39</f>
        <v>22</v>
      </c>
      <c r="B44" s="300">
        <f>ROUND((DHL!AC39+(DHL!$AB39*DHL_FS))*(1+PostalMarkup),2)</f>
        <v>20.21</v>
      </c>
      <c r="C44" s="300">
        <f>ROUND((DHL!AD39+(DHL!$AB39*DHL_FS))*(1+PostalMarkup),2)</f>
        <v>20.6</v>
      </c>
      <c r="D44" s="300">
        <f>ROUND((DHL!AE39+(DHL!$AB39*DHL_FS))*(1+PostalMarkup),2)</f>
        <v>23.03</v>
      </c>
      <c r="E44" s="300">
        <f>ROUND((DHL!AF39+(DHL!$AB39*DHL_FS))*(1+PostalMarkup),2)</f>
        <v>24.09</v>
      </c>
      <c r="F44" s="300">
        <f>ROUND((DHL!AG39+(DHL!$AB39*DHL_FS))*(1+PostalMarkup),2)</f>
        <v>24.68</v>
      </c>
      <c r="G44" s="300">
        <f>ROUND((DHL!AH39+(DHL!$AB39*DHL_FS))*(1+PostalMarkup),2)</f>
        <v>45.1</v>
      </c>
      <c r="H44" s="300">
        <f>ROUND((DHL!AI39+(DHL!$AB39*DHL_FS))*(1+PostalMarkup),2)</f>
        <v>47.39</v>
      </c>
      <c r="I44" s="300">
        <f>ROUND((DHL!AJ39+(DHL!$AB39*DHL_FS))*(1+PostalMarkup),2)</f>
        <v>128.22999999999999</v>
      </c>
      <c r="J44" s="300">
        <f>ROUND((DHL!AK39+(DHL!$AB39*DHL_FS))*(1+PostalMarkup),2)</f>
        <v>128.22999999999999</v>
      </c>
      <c r="K44" s="300">
        <f>ROUND((DHL!AL39+(DHL!$AB39*DHL_FS))*(1+PostalMarkup),2)</f>
        <v>128.22999999999999</v>
      </c>
    </row>
    <row r="45" spans="1:11" ht="12.75" customHeight="1">
      <c r="A45" s="299">
        <f>DHL!O40</f>
        <v>23</v>
      </c>
      <c r="B45" s="300">
        <f>ROUND((DHL!AC40+(DHL!$AB40*DHL_FS))*(1+PostalMarkup),2)</f>
        <v>20.8</v>
      </c>
      <c r="C45" s="300">
        <f>ROUND((DHL!AD40+(DHL!$AB40*DHL_FS))*(1+PostalMarkup),2)</f>
        <v>21.24</v>
      </c>
      <c r="D45" s="300">
        <f>ROUND((DHL!AE40+(DHL!$AB40*DHL_FS))*(1+PostalMarkup),2)</f>
        <v>23.78</v>
      </c>
      <c r="E45" s="300">
        <f>ROUND((DHL!AF40+(DHL!$AB40*DHL_FS))*(1+PostalMarkup),2)</f>
        <v>24.87</v>
      </c>
      <c r="F45" s="300">
        <f>ROUND((DHL!AG40+(DHL!$AB40*DHL_FS))*(1+PostalMarkup),2)</f>
        <v>25.5</v>
      </c>
      <c r="G45" s="300">
        <f>ROUND((DHL!AH40+(DHL!$AB40*DHL_FS))*(1+PostalMarkup),2)</f>
        <v>46.85</v>
      </c>
      <c r="H45" s="300">
        <f>ROUND((DHL!AI40+(DHL!$AB40*DHL_FS))*(1+PostalMarkup),2)</f>
        <v>49.25</v>
      </c>
      <c r="I45" s="300">
        <f>ROUND((DHL!AJ40+(DHL!$AB40*DHL_FS))*(1+PostalMarkup),2)</f>
        <v>132.58000000000001</v>
      </c>
      <c r="J45" s="300">
        <f>ROUND((DHL!AK40+(DHL!$AB40*DHL_FS))*(1+PostalMarkup),2)</f>
        <v>132.58000000000001</v>
      </c>
      <c r="K45" s="300">
        <f>ROUND((DHL!AL40+(DHL!$AB40*DHL_FS))*(1+PostalMarkup),2)</f>
        <v>132.58000000000001</v>
      </c>
    </row>
    <row r="46" spans="1:11" ht="12.75" customHeight="1">
      <c r="A46" s="299">
        <f>DHL!O41</f>
        <v>24</v>
      </c>
      <c r="B46" s="300">
        <f>ROUND((DHL!AC41+(DHL!$AB41*DHL_FS))*(1+PostalMarkup),2)</f>
        <v>21.34</v>
      </c>
      <c r="C46" s="300">
        <f>ROUND((DHL!AD41+(DHL!$AB41*DHL_FS))*(1+PostalMarkup),2)</f>
        <v>21.82</v>
      </c>
      <c r="D46" s="300">
        <f>ROUND((DHL!AE41+(DHL!$AB41*DHL_FS))*(1+PostalMarkup),2)</f>
        <v>24.47</v>
      </c>
      <c r="E46" s="300">
        <f>ROUND((DHL!AF41+(DHL!$AB41*DHL_FS))*(1+PostalMarkup),2)</f>
        <v>25.6</v>
      </c>
      <c r="F46" s="300">
        <f>ROUND((DHL!AG41+(DHL!$AB41*DHL_FS))*(1+PostalMarkup),2)</f>
        <v>26.25</v>
      </c>
      <c r="G46" s="300">
        <f>ROUND((DHL!AH41+(DHL!$AB41*DHL_FS))*(1+PostalMarkup),2)</f>
        <v>48.54</v>
      </c>
      <c r="H46" s="300">
        <f>ROUND((DHL!AI41+(DHL!$AB41*DHL_FS))*(1+PostalMarkup),2)</f>
        <v>51.06</v>
      </c>
      <c r="I46" s="300">
        <f>ROUND((DHL!AJ41+(DHL!$AB41*DHL_FS))*(1+PostalMarkup),2)</f>
        <v>136.99</v>
      </c>
      <c r="J46" s="300">
        <f>ROUND((DHL!AK41+(DHL!$AB41*DHL_FS))*(1+PostalMarkup),2)</f>
        <v>136.99</v>
      </c>
      <c r="K46" s="300">
        <f>ROUND((DHL!AL41+(DHL!$AB41*DHL_FS))*(1+PostalMarkup),2)</f>
        <v>136.99</v>
      </c>
    </row>
    <row r="47" spans="1:11" ht="12.75" customHeight="1">
      <c r="A47" s="299">
        <f>DHL!O42</f>
        <v>25</v>
      </c>
      <c r="B47" s="300">
        <f>ROUND((DHL!AC42+(DHL!$AB42*DHL_FS))*(1+PostalMarkup),2)</f>
        <v>21.91</v>
      </c>
      <c r="C47" s="300">
        <f>ROUND((DHL!AD42+(DHL!$AB42*DHL_FS))*(1+PostalMarkup),2)</f>
        <v>22.4</v>
      </c>
      <c r="D47" s="300">
        <f>ROUND((DHL!AE42+(DHL!$AB42*DHL_FS))*(1+PostalMarkup),2)</f>
        <v>25.17</v>
      </c>
      <c r="E47" s="300">
        <f>ROUND((DHL!AF42+(DHL!$AB42*DHL_FS))*(1+PostalMarkup),2)</f>
        <v>26.35</v>
      </c>
      <c r="F47" s="300">
        <f>ROUND((DHL!AG42+(DHL!$AB42*DHL_FS))*(1+PostalMarkup),2)</f>
        <v>27.03</v>
      </c>
      <c r="G47" s="300">
        <f>ROUND((DHL!AH42+(DHL!$AB42*DHL_FS))*(1+PostalMarkup),2)</f>
        <v>50.24</v>
      </c>
      <c r="H47" s="300">
        <f>ROUND((DHL!AI42+(DHL!$AB42*DHL_FS))*(1+PostalMarkup),2)</f>
        <v>52.88</v>
      </c>
      <c r="I47" s="300">
        <f>ROUND((DHL!AJ42+(DHL!$AB42*DHL_FS))*(1+PostalMarkup),2)</f>
        <v>141.4</v>
      </c>
      <c r="J47" s="300">
        <f>ROUND((DHL!AK42+(DHL!$AB42*DHL_FS))*(1+PostalMarkup),2)</f>
        <v>141.4</v>
      </c>
      <c r="K47" s="300">
        <f>ROUND((DHL!AL42+(DHL!$AB42*DHL_FS))*(1+PostalMarkup),2)</f>
        <v>141.4</v>
      </c>
    </row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7:K47">
    <cfRule type="expression" dxfId="6" priority="1">
      <formula>MOD(ROW(),2)=0</formula>
    </cfRule>
  </conditionalFormatting>
  <pageMargins left="0.7" right="0.7" top="0.75" bottom="0.75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2F5496"/>
  </sheetPr>
  <dimension ref="A1:K1000"/>
  <sheetViews>
    <sheetView workbookViewId="0">
      <pane ySplit="6" topLeftCell="A7" activePane="bottomLeft" state="frozen"/>
      <selection pane="bottomLeft" activeCell="B8" sqref="B8"/>
    </sheetView>
  </sheetViews>
  <sheetFormatPr defaultColWidth="12.5703125" defaultRowHeight="15" customHeight="1"/>
  <cols>
    <col min="1" max="1" width="14.5703125" customWidth="1"/>
    <col min="2" max="8" width="8.5703125" customWidth="1"/>
    <col min="9" max="9" width="13.28515625" customWidth="1"/>
    <col min="10" max="10" width="10.42578125" customWidth="1"/>
    <col min="11" max="11" width="9.5703125" customWidth="1"/>
  </cols>
  <sheetData>
    <row r="1" spans="1:11" ht="15" customHeight="1">
      <c r="B1" s="303" t="s">
        <v>154</v>
      </c>
    </row>
    <row r="2" spans="1:11" ht="15" customHeight="1">
      <c r="B2" s="303" t="s">
        <v>146</v>
      </c>
    </row>
    <row r="3" spans="1:11" ht="15" customHeight="1">
      <c r="B3" s="303" t="s">
        <v>155</v>
      </c>
    </row>
    <row r="4" spans="1:11" ht="15" customHeight="1">
      <c r="B4" s="303" t="s">
        <v>156</v>
      </c>
    </row>
    <row r="5" spans="1:11" ht="20.25" customHeight="1">
      <c r="A5" s="298" t="s">
        <v>5</v>
      </c>
      <c r="B5" s="214" t="s">
        <v>67</v>
      </c>
      <c r="C5" s="214" t="s">
        <v>67</v>
      </c>
      <c r="D5" s="214" t="s">
        <v>67</v>
      </c>
      <c r="E5" s="214" t="s">
        <v>67</v>
      </c>
      <c r="F5" s="214" t="s">
        <v>67</v>
      </c>
      <c r="G5" s="214" t="s">
        <v>67</v>
      </c>
      <c r="H5" s="214" t="s">
        <v>67</v>
      </c>
      <c r="I5" s="214" t="s">
        <v>67</v>
      </c>
      <c r="J5" s="214" t="s">
        <v>67</v>
      </c>
      <c r="K5" s="223" t="s">
        <v>67</v>
      </c>
    </row>
    <row r="6" spans="1:11" ht="33.75">
      <c r="A6" s="282" t="s">
        <v>148</v>
      </c>
      <c r="B6" s="282">
        <v>2</v>
      </c>
      <c r="C6" s="282">
        <v>3</v>
      </c>
      <c r="D6" s="282">
        <v>4</v>
      </c>
      <c r="E6" s="282">
        <v>5</v>
      </c>
      <c r="F6" s="282">
        <v>6</v>
      </c>
      <c r="G6" s="282">
        <v>7</v>
      </c>
      <c r="H6" s="282">
        <v>8</v>
      </c>
      <c r="I6" s="282" t="s">
        <v>149</v>
      </c>
      <c r="J6" s="282" t="s">
        <v>150</v>
      </c>
      <c r="K6" s="282" t="s">
        <v>151</v>
      </c>
    </row>
    <row r="7" spans="1:11">
      <c r="A7" s="304">
        <f>DHL!O2</f>
        <v>6.25E-2</v>
      </c>
      <c r="B7" s="300">
        <f>ROUND((DHL!P2+(DHL_FS))*(1+PostalMarkup),2)</f>
        <v>5.2</v>
      </c>
      <c r="C7" s="300">
        <f>ROUND((DHL!Q2+(DHL_FS))*(1+PostalMarkup),2)</f>
        <v>5.2</v>
      </c>
      <c r="D7" s="300">
        <f>ROUND((DHL!R2+(DHL_FS))*(1+PostalMarkup),2)</f>
        <v>5.2</v>
      </c>
      <c r="E7" s="300">
        <f>ROUND((DHL!S2+(DHL_FS))*(1+PostalMarkup),2)</f>
        <v>5.2</v>
      </c>
      <c r="F7" s="300">
        <f>ROUND((DHL!T2+(DHL_FS))*(1+PostalMarkup),2)</f>
        <v>5.2</v>
      </c>
      <c r="G7" s="300">
        <f>ROUND((DHL!U2+(DHL_FS))*(1+PostalMarkup),2)</f>
        <v>5.2</v>
      </c>
      <c r="H7" s="300">
        <f>ROUND((DHL!V2+(DHL_FS))*(1+PostalMarkup),2)</f>
        <v>5.2</v>
      </c>
      <c r="I7" s="300">
        <f>ROUND((DHL!W2+(DHL_FS))*(1+PostalMarkup),2)</f>
        <v>5.2</v>
      </c>
      <c r="J7" s="300">
        <f>ROUND((DHL!X2+(DHL_FS))*(1+PostalMarkup),2)</f>
        <v>5.2</v>
      </c>
      <c r="K7" s="300">
        <f>ROUND((DHL!Y2+(DHL_FS))*(1+PostalMarkup),2)</f>
        <v>5.2</v>
      </c>
    </row>
    <row r="8" spans="1:11">
      <c r="A8" s="304">
        <f>DHL!O3</f>
        <v>0.125</v>
      </c>
      <c r="B8" s="300">
        <f>ROUND((DHL!P3+(DHL_FS))*(1+PostalMarkup),2)</f>
        <v>5.21</v>
      </c>
      <c r="C8" s="300">
        <f>ROUND((DHL!Q3+(DHL_FS))*(1+PostalMarkup),2)</f>
        <v>5.21</v>
      </c>
      <c r="D8" s="300">
        <f>ROUND((DHL!R3+(DHL_FS))*(1+PostalMarkup),2)</f>
        <v>5.21</v>
      </c>
      <c r="E8" s="300">
        <f>ROUND((DHL!S3+(DHL_FS))*(1+PostalMarkup),2)</f>
        <v>5.21</v>
      </c>
      <c r="F8" s="300">
        <f>ROUND((DHL!T3+(DHL_FS))*(1+PostalMarkup),2)</f>
        <v>5.21</v>
      </c>
      <c r="G8" s="300">
        <f>ROUND((DHL!U3+(DHL_FS))*(1+PostalMarkup),2)</f>
        <v>5.21</v>
      </c>
      <c r="H8" s="300">
        <f>ROUND((DHL!V3+(DHL_FS))*(1+PostalMarkup),2)</f>
        <v>5.21</v>
      </c>
      <c r="I8" s="300">
        <f>ROUND((DHL!W3+(DHL_FS))*(1+PostalMarkup),2)</f>
        <v>5.21</v>
      </c>
      <c r="J8" s="300">
        <f>ROUND((DHL!X3+(DHL_FS))*(1+PostalMarkup),2)</f>
        <v>5.21</v>
      </c>
      <c r="K8" s="300">
        <f>ROUND((DHL!Y3+(DHL_FS))*(1+PostalMarkup),2)</f>
        <v>5.21</v>
      </c>
    </row>
    <row r="9" spans="1:11">
      <c r="A9" s="304">
        <f>DHL!O4</f>
        <v>0.1875</v>
      </c>
      <c r="B9" s="300">
        <f>ROUND((DHL!P4+(DHL_FS))*(1+PostalMarkup),2)</f>
        <v>5.22</v>
      </c>
      <c r="C9" s="300">
        <f>ROUND((DHL!Q4+(DHL_FS))*(1+PostalMarkup),2)</f>
        <v>5.22</v>
      </c>
      <c r="D9" s="300">
        <f>ROUND((DHL!R4+(DHL_FS))*(1+PostalMarkup),2)</f>
        <v>5.22</v>
      </c>
      <c r="E9" s="300">
        <f>ROUND((DHL!S4+(DHL_FS))*(1+PostalMarkup),2)</f>
        <v>5.22</v>
      </c>
      <c r="F9" s="300">
        <f>ROUND((DHL!T4+(DHL_FS))*(1+PostalMarkup),2)</f>
        <v>5.22</v>
      </c>
      <c r="G9" s="300">
        <f>ROUND((DHL!U4+(DHL_FS))*(1+PostalMarkup),2)</f>
        <v>5.27</v>
      </c>
      <c r="H9" s="300">
        <f>ROUND((DHL!V4+(DHL_FS))*(1+PostalMarkup),2)</f>
        <v>5.27</v>
      </c>
      <c r="I9" s="300">
        <f>ROUND((DHL!W4+(DHL_FS))*(1+PostalMarkup),2)</f>
        <v>5.27</v>
      </c>
      <c r="J9" s="300">
        <f>ROUND((DHL!X4+(DHL_FS))*(1+PostalMarkup),2)</f>
        <v>5.27</v>
      </c>
      <c r="K9" s="300">
        <f>ROUND((DHL!Y4+(DHL_FS))*(1+PostalMarkup),2)</f>
        <v>5.27</v>
      </c>
    </row>
    <row r="10" spans="1:11">
      <c r="A10" s="304">
        <f>DHL!O5</f>
        <v>0.25</v>
      </c>
      <c r="B10" s="300">
        <f>ROUND((DHL!P5+(DHL_FS))*(1+PostalMarkup),2)</f>
        <v>5.23</v>
      </c>
      <c r="C10" s="300">
        <f>ROUND((DHL!Q5+(DHL_FS))*(1+PostalMarkup),2)</f>
        <v>5.23</v>
      </c>
      <c r="D10" s="300">
        <f>ROUND((DHL!R5+(DHL_FS))*(1+PostalMarkup),2)</f>
        <v>5.23</v>
      </c>
      <c r="E10" s="300">
        <f>ROUND((DHL!S5+(DHL_FS))*(1+PostalMarkup),2)</f>
        <v>5.23</v>
      </c>
      <c r="F10" s="300">
        <f>ROUND((DHL!T5+(DHL_FS))*(1+PostalMarkup),2)</f>
        <v>5.3</v>
      </c>
      <c r="G10" s="300">
        <f>ROUND((DHL!U5+(DHL_FS))*(1+PostalMarkup),2)</f>
        <v>5.37</v>
      </c>
      <c r="H10" s="300">
        <f>ROUND((DHL!V5+(DHL_FS))*(1+PostalMarkup),2)</f>
        <v>5.37</v>
      </c>
      <c r="I10" s="300">
        <f>ROUND((DHL!W5+(DHL_FS))*(1+PostalMarkup),2)</f>
        <v>5.37</v>
      </c>
      <c r="J10" s="300">
        <f>ROUND((DHL!X5+(DHL_FS))*(1+PostalMarkup),2)</f>
        <v>5.37</v>
      </c>
      <c r="K10" s="300">
        <f>ROUND((DHL!Y5+(DHL_FS))*(1+PostalMarkup),2)</f>
        <v>5.37</v>
      </c>
    </row>
    <row r="11" spans="1:11">
      <c r="A11" s="304">
        <f>DHL!O6</f>
        <v>0.3125</v>
      </c>
      <c r="B11" s="300">
        <f>ROUND((DHL!P6+(DHL_FS))*(1+PostalMarkup),2)</f>
        <v>5.28</v>
      </c>
      <c r="C11" s="300">
        <f>ROUND((DHL!Q6+(DHL_FS))*(1+PostalMarkup),2)</f>
        <v>5.28</v>
      </c>
      <c r="D11" s="300">
        <f>ROUND((DHL!R6+(DHL_FS))*(1+PostalMarkup),2)</f>
        <v>5.28</v>
      </c>
      <c r="E11" s="300">
        <f>ROUND((DHL!S6+(DHL_FS))*(1+PostalMarkup),2)</f>
        <v>5.28</v>
      </c>
      <c r="F11" s="300">
        <f>ROUND((DHL!T6+(DHL_FS))*(1+PostalMarkup),2)</f>
        <v>5.43</v>
      </c>
      <c r="G11" s="300">
        <f>ROUND((DHL!U6+(DHL_FS))*(1+PostalMarkup),2)</f>
        <v>5.51</v>
      </c>
      <c r="H11" s="300">
        <f>ROUND((DHL!V6+(DHL_FS))*(1+PostalMarkup),2)</f>
        <v>5.51</v>
      </c>
      <c r="I11" s="300">
        <f>ROUND((DHL!W6+(DHL_FS))*(1+PostalMarkup),2)</f>
        <v>5.51</v>
      </c>
      <c r="J11" s="300">
        <f>ROUND((DHL!X6+(DHL_FS))*(1+PostalMarkup),2)</f>
        <v>5.51</v>
      </c>
      <c r="K11" s="300">
        <f>ROUND((DHL!Y6+(DHL_FS))*(1+PostalMarkup),2)</f>
        <v>5.51</v>
      </c>
    </row>
    <row r="12" spans="1:11">
      <c r="A12" s="304">
        <f>DHL!O7</f>
        <v>0.375</v>
      </c>
      <c r="B12" s="300">
        <f>ROUND((DHL!P7+(DHL_FS))*(1+PostalMarkup),2)</f>
        <v>5.29</v>
      </c>
      <c r="C12" s="300">
        <f>ROUND((DHL!Q7+(DHL_FS))*(1+PostalMarkup),2)</f>
        <v>5.29</v>
      </c>
      <c r="D12" s="300">
        <f>ROUND((DHL!R7+(DHL_FS))*(1+PostalMarkup),2)</f>
        <v>5.29</v>
      </c>
      <c r="E12" s="300">
        <f>ROUND((DHL!S7+(DHL_FS))*(1+PostalMarkup),2)</f>
        <v>5.29</v>
      </c>
      <c r="F12" s="300">
        <f>ROUND((DHL!T7+(DHL_FS))*(1+PostalMarkup),2)</f>
        <v>5.52</v>
      </c>
      <c r="G12" s="300">
        <f>ROUND((DHL!U7+(DHL_FS))*(1+PostalMarkup),2)</f>
        <v>5.61</v>
      </c>
      <c r="H12" s="300">
        <f>ROUND((DHL!V7+(DHL_FS))*(1+PostalMarkup),2)</f>
        <v>5.61</v>
      </c>
      <c r="I12" s="300">
        <f>ROUND((DHL!W7+(DHL_FS))*(1+PostalMarkup),2)</f>
        <v>5.61</v>
      </c>
      <c r="J12" s="300">
        <f>ROUND((DHL!X7+(DHL_FS))*(1+PostalMarkup),2)</f>
        <v>5.61</v>
      </c>
      <c r="K12" s="300">
        <f>ROUND((DHL!Y7+(DHL_FS))*(1+PostalMarkup),2)</f>
        <v>5.61</v>
      </c>
    </row>
    <row r="13" spans="1:11">
      <c r="A13" s="304">
        <f>DHL!O8</f>
        <v>0.4375</v>
      </c>
      <c r="B13" s="300">
        <f>ROUND((DHL!P8+(DHL_FS))*(1+PostalMarkup),2)</f>
        <v>5.3</v>
      </c>
      <c r="C13" s="300">
        <f>ROUND((DHL!Q8+(DHL_FS))*(1+PostalMarkup),2)</f>
        <v>5.3</v>
      </c>
      <c r="D13" s="300">
        <f>ROUND((DHL!R8+(DHL_FS))*(1+PostalMarkup),2)</f>
        <v>5.3</v>
      </c>
      <c r="E13" s="300">
        <f>ROUND((DHL!S8+(DHL_FS))*(1+PostalMarkup),2)</f>
        <v>5.3</v>
      </c>
      <c r="F13" s="300">
        <f>ROUND((DHL!T8+(DHL_FS))*(1+PostalMarkup),2)</f>
        <v>5.61</v>
      </c>
      <c r="G13" s="300">
        <f>ROUND((DHL!U8+(DHL_FS))*(1+PostalMarkup),2)</f>
        <v>5.72</v>
      </c>
      <c r="H13" s="300">
        <f>ROUND((DHL!V8+(DHL_FS))*(1+PostalMarkup),2)</f>
        <v>5.72</v>
      </c>
      <c r="I13" s="300">
        <f>ROUND((DHL!W8+(DHL_FS))*(1+PostalMarkup),2)</f>
        <v>5.72</v>
      </c>
      <c r="J13" s="300">
        <f>ROUND((DHL!X8+(DHL_FS))*(1+PostalMarkup),2)</f>
        <v>5.72</v>
      </c>
      <c r="K13" s="300">
        <f>ROUND((DHL!Y8+(DHL_FS))*(1+PostalMarkup),2)</f>
        <v>5.72</v>
      </c>
    </row>
    <row r="14" spans="1:11">
      <c r="A14" s="304">
        <f>DHL!O9</f>
        <v>0.5</v>
      </c>
      <c r="B14" s="300">
        <f>ROUND((DHL!P9+(DHL_FS))*(1+PostalMarkup),2)</f>
        <v>5.32</v>
      </c>
      <c r="C14" s="300">
        <f>ROUND((DHL!Q9+(DHL_FS))*(1+PostalMarkup),2)</f>
        <v>5.32</v>
      </c>
      <c r="D14" s="300">
        <f>ROUND((DHL!R9+(DHL_FS))*(1+PostalMarkup),2)</f>
        <v>5.32</v>
      </c>
      <c r="E14" s="300">
        <f>ROUND((DHL!S9+(DHL_FS))*(1+PostalMarkup),2)</f>
        <v>5.32</v>
      </c>
      <c r="F14" s="300">
        <f>ROUND((DHL!T9+(DHL_FS))*(1+PostalMarkup),2)</f>
        <v>5.72</v>
      </c>
      <c r="G14" s="300">
        <f>ROUND((DHL!U9+(DHL_FS))*(1+PostalMarkup),2)</f>
        <v>5.82</v>
      </c>
      <c r="H14" s="300">
        <f>ROUND((DHL!V9+(DHL_FS))*(1+PostalMarkup),2)</f>
        <v>5.82</v>
      </c>
      <c r="I14" s="300">
        <f>ROUND((DHL!W9+(DHL_FS))*(1+PostalMarkup),2)</f>
        <v>5.82</v>
      </c>
      <c r="J14" s="300">
        <f>ROUND((DHL!X9+(DHL_FS))*(1+PostalMarkup),2)</f>
        <v>5.82</v>
      </c>
      <c r="K14" s="300">
        <f>ROUND((DHL!Y9+(DHL_FS))*(1+PostalMarkup),2)</f>
        <v>5.82</v>
      </c>
    </row>
    <row r="15" spans="1:11">
      <c r="A15" s="304">
        <f>DHL!O10</f>
        <v>0.5625</v>
      </c>
      <c r="B15" s="300">
        <f>ROUND((DHL!P10+(DHL_FS))*(1+PostalMarkup),2)</f>
        <v>5.34</v>
      </c>
      <c r="C15" s="300">
        <f>ROUND((DHL!Q10+(DHL_FS))*(1+PostalMarkup),2)</f>
        <v>5.34</v>
      </c>
      <c r="D15" s="300">
        <f>ROUND((DHL!R10+(DHL_FS))*(1+PostalMarkup),2)</f>
        <v>5.34</v>
      </c>
      <c r="E15" s="300">
        <f>ROUND((DHL!S10+(DHL_FS))*(1+PostalMarkup),2)</f>
        <v>5.35</v>
      </c>
      <c r="F15" s="300">
        <f>ROUND((DHL!T10+(DHL_FS))*(1+PostalMarkup),2)</f>
        <v>5.81</v>
      </c>
      <c r="G15" s="300">
        <f>ROUND((DHL!U10+(DHL_FS))*(1+PostalMarkup),2)</f>
        <v>5.92</v>
      </c>
      <c r="H15" s="300">
        <f>ROUND((DHL!V10+(DHL_FS))*(1+PostalMarkup),2)</f>
        <v>5.92</v>
      </c>
      <c r="I15" s="300">
        <f>ROUND((DHL!W10+(DHL_FS))*(1+PostalMarkup),2)</f>
        <v>5.92</v>
      </c>
      <c r="J15" s="300">
        <f>ROUND((DHL!X10+(DHL_FS))*(1+PostalMarkup),2)</f>
        <v>5.92</v>
      </c>
      <c r="K15" s="300">
        <f>ROUND((DHL!Y10+(DHL_FS))*(1+PostalMarkup),2)</f>
        <v>5.92</v>
      </c>
    </row>
    <row r="16" spans="1:11">
      <c r="A16" s="304">
        <f>DHL!O11</f>
        <v>0.625</v>
      </c>
      <c r="B16" s="300">
        <f>ROUND((DHL!P11+(DHL_FS))*(1+PostalMarkup),2)</f>
        <v>5.35</v>
      </c>
      <c r="C16" s="300">
        <f>ROUND((DHL!Q11+(DHL_FS))*(1+PostalMarkup),2)</f>
        <v>5.35</v>
      </c>
      <c r="D16" s="300">
        <f>ROUND((DHL!R11+(DHL_FS))*(1+PostalMarkup),2)</f>
        <v>5.35</v>
      </c>
      <c r="E16" s="300">
        <f>ROUND((DHL!S11+(DHL_FS))*(1+PostalMarkup),2)</f>
        <v>5.39</v>
      </c>
      <c r="F16" s="300">
        <f>ROUND((DHL!T11+(DHL_FS))*(1+PostalMarkup),2)</f>
        <v>5.9</v>
      </c>
      <c r="G16" s="300">
        <f>ROUND((DHL!U11+(DHL_FS))*(1+PostalMarkup),2)</f>
        <v>6.04</v>
      </c>
      <c r="H16" s="300">
        <f>ROUND((DHL!V11+(DHL_FS))*(1+PostalMarkup),2)</f>
        <v>6.04</v>
      </c>
      <c r="I16" s="300">
        <f>ROUND((DHL!W11+(DHL_FS))*(1+PostalMarkup),2)</f>
        <v>6.04</v>
      </c>
      <c r="J16" s="300">
        <f>ROUND((DHL!X11+(DHL_FS))*(1+PostalMarkup),2)</f>
        <v>6.04</v>
      </c>
      <c r="K16" s="300">
        <f>ROUND((DHL!Y11+(DHL_FS))*(1+PostalMarkup),2)</f>
        <v>6.04</v>
      </c>
    </row>
    <row r="17" spans="1:11">
      <c r="A17" s="304">
        <f>DHL!O12</f>
        <v>0.6875</v>
      </c>
      <c r="B17" s="300">
        <f>ROUND((DHL!P12+(DHL_FS))*(1+PostalMarkup),2)</f>
        <v>5.36</v>
      </c>
      <c r="C17" s="300">
        <f>ROUND((DHL!Q12+(DHL_FS))*(1+PostalMarkup),2)</f>
        <v>5.36</v>
      </c>
      <c r="D17" s="300">
        <f>ROUND((DHL!R12+(DHL_FS))*(1+PostalMarkup),2)</f>
        <v>5.36</v>
      </c>
      <c r="E17" s="300">
        <f>ROUND((DHL!S12+(DHL_FS))*(1+PostalMarkup),2)</f>
        <v>5.44</v>
      </c>
      <c r="F17" s="300">
        <f>ROUND((DHL!T12+(DHL_FS))*(1+PostalMarkup),2)</f>
        <v>6</v>
      </c>
      <c r="G17" s="300">
        <f>ROUND((DHL!U12+(DHL_FS))*(1+PostalMarkup),2)</f>
        <v>6.14</v>
      </c>
      <c r="H17" s="300">
        <f>ROUND((DHL!V12+(DHL_FS))*(1+PostalMarkup),2)</f>
        <v>6.14</v>
      </c>
      <c r="I17" s="300">
        <f>ROUND((DHL!W12+(DHL_FS))*(1+PostalMarkup),2)</f>
        <v>6.14</v>
      </c>
      <c r="J17" s="300">
        <f>ROUND((DHL!X12+(DHL_FS))*(1+PostalMarkup),2)</f>
        <v>6.14</v>
      </c>
      <c r="K17" s="300">
        <f>ROUND((DHL!Y12+(DHL_FS))*(1+PostalMarkup),2)</f>
        <v>6.14</v>
      </c>
    </row>
    <row r="18" spans="1:11">
      <c r="A18" s="304">
        <f>DHL!O13</f>
        <v>0.75</v>
      </c>
      <c r="B18" s="300">
        <f>ROUND((DHL!P13+(DHL_FS))*(1+PostalMarkup),2)</f>
        <v>5.37</v>
      </c>
      <c r="C18" s="300">
        <f>ROUND((DHL!Q13+(DHL_FS))*(1+PostalMarkup),2)</f>
        <v>5.37</v>
      </c>
      <c r="D18" s="300">
        <f>ROUND((DHL!R13+(DHL_FS))*(1+PostalMarkup),2)</f>
        <v>5.37</v>
      </c>
      <c r="E18" s="300">
        <f>ROUND((DHL!S13+(DHL_FS))*(1+PostalMarkup),2)</f>
        <v>5.47</v>
      </c>
      <c r="F18" s="300">
        <f>ROUND((DHL!T13+(DHL_FS))*(1+PostalMarkup),2)</f>
        <v>6.1</v>
      </c>
      <c r="G18" s="300">
        <f>ROUND((DHL!U13+(DHL_FS))*(1+PostalMarkup),2)</f>
        <v>6.24</v>
      </c>
      <c r="H18" s="300">
        <f>ROUND((DHL!V13+(DHL_FS))*(1+PostalMarkup),2)</f>
        <v>6.24</v>
      </c>
      <c r="I18" s="300">
        <f>ROUND((DHL!W13+(DHL_FS))*(1+PostalMarkup),2)</f>
        <v>6.24</v>
      </c>
      <c r="J18" s="300">
        <f>ROUND((DHL!X13+(DHL_FS))*(1+PostalMarkup),2)</f>
        <v>6.24</v>
      </c>
      <c r="K18" s="300">
        <f>ROUND((DHL!Y13+(DHL_FS))*(1+PostalMarkup),2)</f>
        <v>6.24</v>
      </c>
    </row>
    <row r="19" spans="1:11">
      <c r="A19" s="304">
        <f>DHL!O14</f>
        <v>0.8125</v>
      </c>
      <c r="B19" s="300">
        <f>ROUND((DHL!P14+(DHL_FS))*(1+PostalMarkup),2)</f>
        <v>5.39</v>
      </c>
      <c r="C19" s="300">
        <f>ROUND((DHL!Q14+(DHL_FS))*(1+PostalMarkup),2)</f>
        <v>5.39</v>
      </c>
      <c r="D19" s="300">
        <f>ROUND((DHL!R14+(DHL_FS))*(1+PostalMarkup),2)</f>
        <v>5.39</v>
      </c>
      <c r="E19" s="300">
        <f>ROUND((DHL!S14+(DHL_FS))*(1+PostalMarkup),2)</f>
        <v>5.52</v>
      </c>
      <c r="F19" s="300">
        <f>ROUND((DHL!T14+(DHL_FS))*(1+PostalMarkup),2)</f>
        <v>6.19</v>
      </c>
      <c r="G19" s="300">
        <f>ROUND((DHL!U14+(DHL_FS))*(1+PostalMarkup),2)</f>
        <v>6.35</v>
      </c>
      <c r="H19" s="300">
        <f>ROUND((DHL!V14+(DHL_FS))*(1+PostalMarkup),2)</f>
        <v>6.35</v>
      </c>
      <c r="I19" s="300">
        <f>ROUND((DHL!W14+(DHL_FS))*(1+PostalMarkup),2)</f>
        <v>6.35</v>
      </c>
      <c r="J19" s="300">
        <f>ROUND((DHL!X14+(DHL_FS))*(1+PostalMarkup),2)</f>
        <v>6.35</v>
      </c>
      <c r="K19" s="300">
        <f>ROUND((DHL!Y14+(DHL_FS))*(1+PostalMarkup),2)</f>
        <v>6.35</v>
      </c>
    </row>
    <row r="20" spans="1:11">
      <c r="A20" s="304">
        <f>DHL!O15</f>
        <v>0.875</v>
      </c>
      <c r="B20" s="300">
        <f>ROUND((DHL!P15+(DHL_FS))*(1+PostalMarkup),2)</f>
        <v>5.41</v>
      </c>
      <c r="C20" s="300">
        <f>ROUND((DHL!Q15+(DHL_FS))*(1+PostalMarkup),2)</f>
        <v>5.41</v>
      </c>
      <c r="D20" s="300">
        <f>ROUND((DHL!R15+(DHL_FS))*(1+PostalMarkup),2)</f>
        <v>5.41</v>
      </c>
      <c r="E20" s="300">
        <f>ROUND((DHL!S15+(DHL_FS))*(1+PostalMarkup),2)</f>
        <v>5.57</v>
      </c>
      <c r="F20" s="300">
        <f>ROUND((DHL!T15+(DHL_FS))*(1+PostalMarkup),2)</f>
        <v>6.29</v>
      </c>
      <c r="G20" s="300">
        <f>ROUND((DHL!U15+(DHL_FS))*(1+PostalMarkup),2)</f>
        <v>6.45</v>
      </c>
      <c r="H20" s="300">
        <f>ROUND((DHL!V15+(DHL_FS))*(1+PostalMarkup),2)</f>
        <v>6.45</v>
      </c>
      <c r="I20" s="300">
        <f>ROUND((DHL!W15+(DHL_FS))*(1+PostalMarkup),2)</f>
        <v>6.45</v>
      </c>
      <c r="J20" s="300">
        <f>ROUND((DHL!X15+(DHL_FS))*(1+PostalMarkup),2)</f>
        <v>6.45</v>
      </c>
      <c r="K20" s="300">
        <f>ROUND((DHL!Y15+(DHL_FS))*(1+PostalMarkup),2)</f>
        <v>6.45</v>
      </c>
    </row>
    <row r="21" spans="1:11" ht="15.75" customHeight="1">
      <c r="A21" s="304">
        <f>DHL!O16</f>
        <v>0.9375</v>
      </c>
      <c r="B21" s="300">
        <f>ROUND((DHL!P16+(DHL_FS))*(1+PostalMarkup),2)</f>
        <v>5.42</v>
      </c>
      <c r="C21" s="300">
        <f>ROUND((DHL!Q16+(DHL_FS))*(1+PostalMarkup),2)</f>
        <v>5.42</v>
      </c>
      <c r="D21" s="300">
        <f>ROUND((DHL!R16+(DHL_FS))*(1+PostalMarkup),2)</f>
        <v>5.43</v>
      </c>
      <c r="E21" s="300">
        <f>ROUND((DHL!S16+(DHL_FS))*(1+PostalMarkup),2)</f>
        <v>5.6</v>
      </c>
      <c r="F21" s="300">
        <f>ROUND((DHL!T16+(DHL_FS))*(1+PostalMarkup),2)</f>
        <v>6.38</v>
      </c>
      <c r="G21" s="300">
        <f>ROUND((DHL!U16+(DHL_FS))*(1+PostalMarkup),2)</f>
        <v>6.56</v>
      </c>
      <c r="H21" s="300">
        <f>ROUND((DHL!V16+(DHL_FS))*(1+PostalMarkup),2)</f>
        <v>6.56</v>
      </c>
      <c r="I21" s="300">
        <f>ROUND((DHL!W16+(DHL_FS))*(1+PostalMarkup),2)</f>
        <v>6.56</v>
      </c>
      <c r="J21" s="300">
        <f>ROUND((DHL!X16+(DHL_FS))*(1+PostalMarkup),2)</f>
        <v>6.56</v>
      </c>
      <c r="K21" s="300">
        <f>ROUND((DHL!Y16+(DHL_FS))*(1+PostalMarkup),2)</f>
        <v>6.56</v>
      </c>
    </row>
    <row r="22" spans="1:11" ht="12.75" customHeight="1">
      <c r="A22" s="304">
        <f>DHL!O17</f>
        <v>0.99</v>
      </c>
      <c r="B22" s="300">
        <f>ROUND((DHL!P17+(DHL_FS))*(1+PostalMarkup),2)</f>
        <v>5.43</v>
      </c>
      <c r="C22" s="300">
        <f>ROUND((DHL!Q17+(DHL_FS))*(1+PostalMarkup),2)</f>
        <v>5.43</v>
      </c>
      <c r="D22" s="300">
        <f>ROUND((DHL!R17+(DHL_FS))*(1+PostalMarkup),2)</f>
        <v>5.45</v>
      </c>
      <c r="E22" s="300">
        <f>ROUND((DHL!S17+(DHL_FS))*(1+PostalMarkup),2)</f>
        <v>5.65</v>
      </c>
      <c r="F22" s="300">
        <f>ROUND((DHL!T17+(DHL_FS))*(1+PostalMarkup),2)</f>
        <v>6.47</v>
      </c>
      <c r="G22" s="300">
        <f>ROUND((DHL!U17+(DHL_FS))*(1+PostalMarkup),2)</f>
        <v>6.67</v>
      </c>
      <c r="H22" s="300">
        <f>ROUND((DHL!V17+(DHL_FS))*(1+PostalMarkup),2)</f>
        <v>6.67</v>
      </c>
      <c r="I22" s="300">
        <f>ROUND((DHL!W17+(DHL_FS))*(1+PostalMarkup),2)</f>
        <v>6.67</v>
      </c>
      <c r="J22" s="300">
        <f>ROUND((DHL!X17+(DHL_FS))*(1+PostalMarkup),2)</f>
        <v>6.67</v>
      </c>
      <c r="K22" s="300">
        <f>ROUND((DHL!Y17+(DHL_FS))*(1+PostalMarkup),2)</f>
        <v>6.67</v>
      </c>
    </row>
    <row r="23" spans="1:11" ht="12.75" customHeight="1">
      <c r="A23" s="299">
        <f>DHL!O18</f>
        <v>1</v>
      </c>
      <c r="B23" s="300">
        <f>ROUND((DHL!P18+($A23*DHL_FS))*(1+PostalMarkup),2)</f>
        <v>5.43</v>
      </c>
      <c r="C23" s="300">
        <f>ROUND((DHL!Q18+($A23*DHL_FS))*(1+PostalMarkup),2)</f>
        <v>5.43</v>
      </c>
      <c r="D23" s="300">
        <f>ROUND((DHL!R18+($A23*DHL_FS))*(1+PostalMarkup),2)</f>
        <v>5.45</v>
      </c>
      <c r="E23" s="300">
        <f>ROUND((DHL!S18+($A23*DHL_FS))*(1+PostalMarkup),2)</f>
        <v>5.65</v>
      </c>
      <c r="F23" s="300">
        <f>ROUND((DHL!T18+($A23*DHL_FS))*(1+PostalMarkup),2)</f>
        <v>6.47</v>
      </c>
      <c r="G23" s="300">
        <f>ROUND((DHL!U18+($A23*DHL_FS))*(1+PostalMarkup),2)</f>
        <v>6.67</v>
      </c>
      <c r="H23" s="300">
        <f>ROUND((DHL!V18+($A23*DHL_FS))*(1+PostalMarkup),2)</f>
        <v>6.67</v>
      </c>
      <c r="I23" s="300">
        <f>ROUND((DHL!W18+($A23*DHL_FS))*(1+PostalMarkup),2)</f>
        <v>18.25</v>
      </c>
      <c r="J23" s="300">
        <f>ROUND((DHL!X18+($A23*DHL_FS))*(1+PostalMarkup),2)</f>
        <v>18.25</v>
      </c>
      <c r="K23" s="300">
        <f>ROUND((DHL!Y18+($A23*DHL_FS))*(1+PostalMarkup),2)</f>
        <v>18.25</v>
      </c>
    </row>
    <row r="24" spans="1:11" ht="12.75" customHeight="1">
      <c r="A24" s="299">
        <f>DHL!O19</f>
        <v>2</v>
      </c>
      <c r="B24" s="300">
        <f>ROUND((DHL!P19+($A24*DHL_FS))*(1+PostalMarkup),2)</f>
        <v>6.24</v>
      </c>
      <c r="C24" s="300">
        <f>ROUND((DHL!Q19+($A24*DHL_FS))*(1+PostalMarkup),2)</f>
        <v>6.24</v>
      </c>
      <c r="D24" s="300">
        <f>ROUND((DHL!R19+($A24*DHL_FS))*(1+PostalMarkup),2)</f>
        <v>6.38</v>
      </c>
      <c r="E24" s="300">
        <f>ROUND((DHL!S19+($A24*DHL_FS))*(1+PostalMarkup),2)</f>
        <v>6.89</v>
      </c>
      <c r="F24" s="300">
        <f>ROUND((DHL!T19+($A24*DHL_FS))*(1+PostalMarkup),2)</f>
        <v>8.6300000000000008</v>
      </c>
      <c r="G24" s="300">
        <f>ROUND((DHL!U19+($A24*DHL_FS))*(1+PostalMarkup),2)</f>
        <v>8.99</v>
      </c>
      <c r="H24" s="300">
        <f>ROUND((DHL!V19+($A24*DHL_FS))*(1+PostalMarkup),2)</f>
        <v>9</v>
      </c>
      <c r="I24" s="300">
        <f>ROUND((DHL!W19+($A24*DHL_FS))*(1+PostalMarkup),2)</f>
        <v>23.94</v>
      </c>
      <c r="J24" s="300">
        <f>ROUND((DHL!X19+($A24*DHL_FS))*(1+PostalMarkup),2)</f>
        <v>23.94</v>
      </c>
      <c r="K24" s="300">
        <f>ROUND((DHL!Y19+($A24*DHL_FS))*(1+PostalMarkup),2)</f>
        <v>23.94</v>
      </c>
    </row>
    <row r="25" spans="1:11" ht="12.75" customHeight="1">
      <c r="A25" s="299">
        <f>DHL!O20</f>
        <v>3</v>
      </c>
      <c r="B25" s="300">
        <f>ROUND((DHL!P20+($A25*DHL_FS))*(1+PostalMarkup),2)</f>
        <v>7.07</v>
      </c>
      <c r="C25" s="300">
        <f>ROUND((DHL!Q20+($A25*DHL_FS))*(1+PostalMarkup),2)</f>
        <v>7.07</v>
      </c>
      <c r="D25" s="300">
        <f>ROUND((DHL!R20+($A25*DHL_FS))*(1+PostalMarkup),2)</f>
        <v>7.31</v>
      </c>
      <c r="E25" s="300">
        <f>ROUND((DHL!S20+($A25*DHL_FS))*(1+PostalMarkup),2)</f>
        <v>8.1300000000000008</v>
      </c>
      <c r="F25" s="300">
        <f>ROUND((DHL!T20+($A25*DHL_FS))*(1+PostalMarkup),2)</f>
        <v>10.75</v>
      </c>
      <c r="G25" s="300">
        <f>ROUND((DHL!U20+($A25*DHL_FS))*(1+PostalMarkup),2)</f>
        <v>11.3</v>
      </c>
      <c r="H25" s="300">
        <f>ROUND((DHL!V20+($A25*DHL_FS))*(1+PostalMarkup),2)</f>
        <v>11.32</v>
      </c>
      <c r="I25" s="300">
        <f>ROUND((DHL!W20+($A25*DHL_FS))*(1+PostalMarkup),2)</f>
        <v>29.98</v>
      </c>
      <c r="J25" s="300">
        <f>ROUND((DHL!X20+($A25*DHL_FS))*(1+PostalMarkup),2)</f>
        <v>29.98</v>
      </c>
      <c r="K25" s="300">
        <f>ROUND((DHL!Y20+($A25*DHL_FS))*(1+PostalMarkup),2)</f>
        <v>29.98</v>
      </c>
    </row>
    <row r="26" spans="1:11" ht="12.75" customHeight="1">
      <c r="A26" s="299">
        <f>DHL!O21</f>
        <v>4</v>
      </c>
      <c r="B26" s="300">
        <f>ROUND((DHL!P21+($A26*DHL_FS))*(1+PostalMarkup),2)</f>
        <v>7.83</v>
      </c>
      <c r="C26" s="300">
        <f>ROUND((DHL!Q21+($A26*DHL_FS))*(1+PostalMarkup),2)</f>
        <v>7.83</v>
      </c>
      <c r="D26" s="300">
        <f>ROUND((DHL!R21+($A26*DHL_FS))*(1+PostalMarkup),2)</f>
        <v>8.1999999999999993</v>
      </c>
      <c r="E26" s="300">
        <f>ROUND((DHL!S21+($A26*DHL_FS))*(1+PostalMarkup),2)</f>
        <v>9.33</v>
      </c>
      <c r="F26" s="300">
        <f>ROUND((DHL!T21+($A26*DHL_FS))*(1+PostalMarkup),2)</f>
        <v>12.82</v>
      </c>
      <c r="G26" s="300">
        <f>ROUND((DHL!U21+($A26*DHL_FS))*(1+PostalMarkup),2)</f>
        <v>13.55</v>
      </c>
      <c r="H26" s="300">
        <f>ROUND((DHL!V21+($A26*DHL_FS))*(1+PostalMarkup),2)</f>
        <v>13.6</v>
      </c>
      <c r="I26" s="300">
        <f>ROUND((DHL!W21+($A26*DHL_FS))*(1+PostalMarkup),2)</f>
        <v>35.21</v>
      </c>
      <c r="J26" s="300">
        <f>ROUND((DHL!X21+($A26*DHL_FS))*(1+PostalMarkup),2)</f>
        <v>35.21</v>
      </c>
      <c r="K26" s="300">
        <f>ROUND((DHL!Y21+($A26*DHL_FS))*(1+PostalMarkup),2)</f>
        <v>35.21</v>
      </c>
    </row>
    <row r="27" spans="1:11" ht="12.75" customHeight="1">
      <c r="A27" s="299">
        <f>DHL!O22</f>
        <v>5</v>
      </c>
      <c r="B27" s="300">
        <f>ROUND((DHL!P22+($A27*DHL_FS))*(1+PostalMarkup),2)</f>
        <v>8.61</v>
      </c>
      <c r="C27" s="300">
        <f>ROUND((DHL!Q22+($A27*DHL_FS))*(1+PostalMarkup),2)</f>
        <v>8.61</v>
      </c>
      <c r="D27" s="300">
        <f>ROUND((DHL!R22+($A27*DHL_FS))*(1+PostalMarkup),2)</f>
        <v>9.11</v>
      </c>
      <c r="E27" s="300">
        <f>ROUND((DHL!S22+($A27*DHL_FS))*(1+PostalMarkup),2)</f>
        <v>10.53</v>
      </c>
      <c r="F27" s="300">
        <f>ROUND((DHL!T22+($A27*DHL_FS))*(1+PostalMarkup),2)</f>
        <v>14.92</v>
      </c>
      <c r="G27" s="300">
        <f>ROUND((DHL!U22+($A27*DHL_FS))*(1+PostalMarkup),2)</f>
        <v>15.81</v>
      </c>
      <c r="H27" s="300">
        <f>ROUND((DHL!V22+($A27*DHL_FS))*(1+PostalMarkup),2)</f>
        <v>15.92</v>
      </c>
      <c r="I27" s="300">
        <f>ROUND((DHL!W22+($A27*DHL_FS))*(1+PostalMarkup),2)</f>
        <v>40.72</v>
      </c>
      <c r="J27" s="300">
        <f>ROUND((DHL!X22+($A27*DHL_FS))*(1+PostalMarkup),2)</f>
        <v>40.72</v>
      </c>
      <c r="K27" s="300">
        <f>ROUND((DHL!Y22+($A27*DHL_FS))*(1+PostalMarkup),2)</f>
        <v>40.72</v>
      </c>
    </row>
    <row r="28" spans="1:11" ht="12.75" customHeight="1">
      <c r="A28" s="299">
        <f>DHL!O23</f>
        <v>6</v>
      </c>
      <c r="B28" s="300">
        <f>ROUND((DHL!P23+($A28*DHL_FS))*(1+PostalMarkup),2)</f>
        <v>9.36</v>
      </c>
      <c r="C28" s="300">
        <f>ROUND((DHL!Q23+($A28*DHL_FS))*(1+PostalMarkup),2)</f>
        <v>9.36</v>
      </c>
      <c r="D28" s="300">
        <f>ROUND((DHL!R23+($A28*DHL_FS))*(1+PostalMarkup),2)</f>
        <v>9.98</v>
      </c>
      <c r="E28" s="300">
        <f>ROUND((DHL!S23+($A28*DHL_FS))*(1+PostalMarkup),2)</f>
        <v>11.72</v>
      </c>
      <c r="F28" s="300">
        <f>ROUND((DHL!T23+($A28*DHL_FS))*(1+PostalMarkup),2)</f>
        <v>16.989999999999998</v>
      </c>
      <c r="G28" s="300">
        <f>ROUND((DHL!U23+($A28*DHL_FS))*(1+PostalMarkup),2)</f>
        <v>18.059999999999999</v>
      </c>
      <c r="H28" s="300">
        <f>ROUND((DHL!V23+($A28*DHL_FS))*(1+PostalMarkup),2)</f>
        <v>18.190000000000001</v>
      </c>
      <c r="I28" s="300">
        <f>ROUND((DHL!W23+($A28*DHL_FS))*(1+PostalMarkup),2)</f>
        <v>46.18</v>
      </c>
      <c r="J28" s="300">
        <f>ROUND((DHL!X23+($A28*DHL_FS))*(1+PostalMarkup),2)</f>
        <v>46.18</v>
      </c>
      <c r="K28" s="300">
        <f>ROUND((DHL!Y23+($A28*DHL_FS))*(1+PostalMarkup),2)</f>
        <v>46.18</v>
      </c>
    </row>
    <row r="29" spans="1:11" ht="12.75" customHeight="1">
      <c r="A29" s="299">
        <f>DHL!O24</f>
        <v>7</v>
      </c>
      <c r="B29" s="300">
        <f>ROUND((DHL!P24+($A29*DHL_FS))*(1+PostalMarkup),2)</f>
        <v>10.1</v>
      </c>
      <c r="C29" s="300">
        <f>ROUND((DHL!Q24+($A29*DHL_FS))*(1+PostalMarkup),2)</f>
        <v>10.1</v>
      </c>
      <c r="D29" s="300">
        <f>ROUND((DHL!R24+($A29*DHL_FS))*(1+PostalMarkup),2)</f>
        <v>10.58</v>
      </c>
      <c r="E29" s="300">
        <f>ROUND((DHL!S24+($A29*DHL_FS))*(1+PostalMarkup),2)</f>
        <v>12.89</v>
      </c>
      <c r="F29" s="300">
        <f>ROUND((DHL!T24+($A29*DHL_FS))*(1+PostalMarkup),2)</f>
        <v>19.04</v>
      </c>
      <c r="G29" s="300">
        <f>ROUND((DHL!U24+($A29*DHL_FS))*(1+PostalMarkup),2)</f>
        <v>20.29</v>
      </c>
      <c r="H29" s="300">
        <f>ROUND((DHL!V24+($A29*DHL_FS))*(1+PostalMarkup),2)</f>
        <v>20.47</v>
      </c>
      <c r="I29" s="300">
        <f>ROUND((DHL!W24+($A29*DHL_FS))*(1+PostalMarkup),2)</f>
        <v>51.53</v>
      </c>
      <c r="J29" s="300">
        <f>ROUND((DHL!X24+($A29*DHL_FS))*(1+PostalMarkup),2)</f>
        <v>51.53</v>
      </c>
      <c r="K29" s="300">
        <f>ROUND((DHL!Y24+($A29*DHL_FS))*(1+PostalMarkup),2)</f>
        <v>51.53</v>
      </c>
    </row>
    <row r="30" spans="1:11" ht="12.75" customHeight="1">
      <c r="A30" s="299">
        <f>DHL!O25</f>
        <v>8</v>
      </c>
      <c r="B30" s="300">
        <f>ROUND((DHL!P25+($A30*DHL_FS))*(1+PostalMarkup),2)</f>
        <v>10.83</v>
      </c>
      <c r="C30" s="300">
        <f>ROUND((DHL!Q25+($A30*DHL_FS))*(1+PostalMarkup),2)</f>
        <v>10.84</v>
      </c>
      <c r="D30" s="300">
        <f>ROUND((DHL!R25+($A30*DHL_FS))*(1+PostalMarkup),2)</f>
        <v>11.73</v>
      </c>
      <c r="E30" s="300">
        <f>ROUND((DHL!S25+($A30*DHL_FS))*(1+PostalMarkup),2)</f>
        <v>14.06</v>
      </c>
      <c r="F30" s="300">
        <f>ROUND((DHL!T25+($A30*DHL_FS))*(1+PostalMarkup),2)</f>
        <v>21.1</v>
      </c>
      <c r="G30" s="300">
        <f>ROUND((DHL!U25+($A30*DHL_FS))*(1+PostalMarkup),2)</f>
        <v>22.51</v>
      </c>
      <c r="H30" s="300">
        <f>ROUND((DHL!V25+($A30*DHL_FS))*(1+PostalMarkup),2)</f>
        <v>22.75</v>
      </c>
      <c r="I30" s="300">
        <f>ROUND((DHL!W25+($A30*DHL_FS))*(1+PostalMarkup),2)</f>
        <v>56.94</v>
      </c>
      <c r="J30" s="300">
        <f>ROUND((DHL!X25+($A30*DHL_FS))*(1+PostalMarkup),2)</f>
        <v>56.94</v>
      </c>
      <c r="K30" s="300">
        <f>ROUND((DHL!Y25+($A30*DHL_FS))*(1+PostalMarkup),2)</f>
        <v>56.94</v>
      </c>
    </row>
    <row r="31" spans="1:11" ht="12.75" customHeight="1">
      <c r="A31" s="299">
        <f>DHL!O26</f>
        <v>9</v>
      </c>
      <c r="B31" s="300">
        <f>ROUND((DHL!P26+($A31*DHL_FS))*(1+PostalMarkup),2)</f>
        <v>11.52</v>
      </c>
      <c r="C31" s="300">
        <f>ROUND((DHL!Q26+($A31*DHL_FS))*(1+PostalMarkup),2)</f>
        <v>11.56</v>
      </c>
      <c r="D31" s="300">
        <f>ROUND((DHL!R26+($A31*DHL_FS))*(1+PostalMarkup),2)</f>
        <v>12.57</v>
      </c>
      <c r="E31" s="300">
        <f>ROUND((DHL!S26+($A31*DHL_FS))*(1+PostalMarkup),2)</f>
        <v>15.2</v>
      </c>
      <c r="F31" s="300">
        <f>ROUND((DHL!T26+($A31*DHL_FS))*(1+PostalMarkup),2)</f>
        <v>23.13</v>
      </c>
      <c r="G31" s="300">
        <f>ROUND((DHL!U26+($A31*DHL_FS))*(1+PostalMarkup),2)</f>
        <v>24.7</v>
      </c>
      <c r="H31" s="300">
        <f>ROUND((DHL!V26+($A31*DHL_FS))*(1+PostalMarkup),2)</f>
        <v>24.98</v>
      </c>
      <c r="I31" s="300">
        <f>ROUND((DHL!W26+($A31*DHL_FS))*(1+PostalMarkup),2)</f>
        <v>62.1</v>
      </c>
      <c r="J31" s="300">
        <f>ROUND((DHL!X26+($A31*DHL_FS))*(1+PostalMarkup),2)</f>
        <v>62.1</v>
      </c>
      <c r="K31" s="300">
        <f>ROUND((DHL!Y26+($A31*DHL_FS))*(1+PostalMarkup),2)</f>
        <v>62.1</v>
      </c>
    </row>
    <row r="32" spans="1:11" ht="12.75" customHeight="1">
      <c r="A32" s="299">
        <f>DHL!O27</f>
        <v>10</v>
      </c>
      <c r="B32" s="300">
        <f>ROUND((DHL!P27+($A32*DHL_FS))*(1+PostalMarkup),2)</f>
        <v>12.22</v>
      </c>
      <c r="C32" s="300">
        <f>ROUND((DHL!Q27+($A32*DHL_FS))*(1+PostalMarkup),2)</f>
        <v>12.29</v>
      </c>
      <c r="D32" s="300">
        <f>ROUND((DHL!R27+($A32*DHL_FS))*(1+PostalMarkup),2)</f>
        <v>13.42</v>
      </c>
      <c r="E32" s="300">
        <f>ROUND((DHL!S27+($A32*DHL_FS))*(1+PostalMarkup),2)</f>
        <v>16.350000000000001</v>
      </c>
      <c r="F32" s="300">
        <f>ROUND((DHL!T27+($A32*DHL_FS))*(1+PostalMarkup),2)</f>
        <v>25.15</v>
      </c>
      <c r="G32" s="300">
        <f>ROUND((DHL!U27+($A32*DHL_FS))*(1+PostalMarkup),2)</f>
        <v>26.9</v>
      </c>
      <c r="H32" s="300">
        <f>ROUND((DHL!V27+($A32*DHL_FS))*(1+PostalMarkup),2)</f>
        <v>27.23</v>
      </c>
      <c r="I32" s="300">
        <f>ROUND((DHL!W27+($A32*DHL_FS))*(1+PostalMarkup),2)</f>
        <v>67.319999999999993</v>
      </c>
      <c r="J32" s="300">
        <f>ROUND((DHL!X27+($A32*DHL_FS))*(1+PostalMarkup),2)</f>
        <v>67.319999999999993</v>
      </c>
      <c r="K32" s="300">
        <f>ROUND((DHL!Y27+($A32*DHL_FS))*(1+PostalMarkup),2)</f>
        <v>67.319999999999993</v>
      </c>
    </row>
    <row r="33" spans="1:11" ht="12.75" customHeight="1">
      <c r="A33" s="299">
        <f>DHL!O28</f>
        <v>11</v>
      </c>
      <c r="B33" s="300">
        <f>ROUND((DHL!P28+($A33*DHL_FS))*(1+PostalMarkup),2)</f>
        <v>12.82</v>
      </c>
      <c r="C33" s="300">
        <f>ROUND((DHL!Q28+($A33*DHL_FS))*(1+PostalMarkup),2)</f>
        <v>12.93</v>
      </c>
      <c r="D33" s="300">
        <f>ROUND((DHL!R28+($A33*DHL_FS))*(1+PostalMarkup),2)</f>
        <v>14.16</v>
      </c>
      <c r="E33" s="300">
        <f>ROUND((DHL!S28+($A33*DHL_FS))*(1+PostalMarkup),2)</f>
        <v>17.399999999999999</v>
      </c>
      <c r="F33" s="300">
        <f>ROUND((DHL!T28+($A33*DHL_FS))*(1+PostalMarkup),2)</f>
        <v>27.09</v>
      </c>
      <c r="G33" s="300">
        <f>ROUND((DHL!U28+($A33*DHL_FS))*(1+PostalMarkup),2)</f>
        <v>29</v>
      </c>
      <c r="H33" s="300">
        <f>ROUND((DHL!V28+($A33*DHL_FS))*(1+PostalMarkup),2)</f>
        <v>29.38</v>
      </c>
      <c r="I33" s="300">
        <f>ROUND((DHL!W28+($A33*DHL_FS))*(1+PostalMarkup),2)</f>
        <v>72.67</v>
      </c>
      <c r="J33" s="300">
        <f>ROUND((DHL!X28+($A33*DHL_FS))*(1+PostalMarkup),2)</f>
        <v>72.67</v>
      </c>
      <c r="K33" s="300">
        <f>ROUND((DHL!Y28+($A33*DHL_FS))*(1+PostalMarkup),2)</f>
        <v>72.67</v>
      </c>
    </row>
    <row r="34" spans="1:11" ht="12.75" customHeight="1">
      <c r="A34" s="299">
        <f>DHL!O29</f>
        <v>12</v>
      </c>
      <c r="B34" s="300">
        <f>ROUND((DHL!P29+($A34*DHL_FS))*(1+PostalMarkup),2)</f>
        <v>13.51</v>
      </c>
      <c r="C34" s="300">
        <f>ROUND((DHL!Q29+($A34*DHL_FS))*(1+PostalMarkup),2)</f>
        <v>13.63</v>
      </c>
      <c r="D34" s="300">
        <f>ROUND((DHL!R29+($A34*DHL_FS))*(1+PostalMarkup),2)</f>
        <v>14.98</v>
      </c>
      <c r="E34" s="300">
        <f>ROUND((DHL!S29+($A34*DHL_FS))*(1+PostalMarkup),2)</f>
        <v>18.53</v>
      </c>
      <c r="F34" s="300">
        <f>ROUND((DHL!T29+($A34*DHL_FS))*(1+PostalMarkup),2)</f>
        <v>29.11</v>
      </c>
      <c r="G34" s="300">
        <f>ROUND((DHL!U29+($A34*DHL_FS))*(1+PostalMarkup),2)</f>
        <v>31.19</v>
      </c>
      <c r="H34" s="300">
        <f>ROUND((DHL!V29+($A34*DHL_FS))*(1+PostalMarkup),2)</f>
        <v>31.61</v>
      </c>
      <c r="I34" s="300">
        <f>ROUND((DHL!W29+($A34*DHL_FS))*(1+PostalMarkup),2)</f>
        <v>78.13</v>
      </c>
      <c r="J34" s="300">
        <f>ROUND((DHL!X29+($A34*DHL_FS))*(1+PostalMarkup),2)</f>
        <v>78.13</v>
      </c>
      <c r="K34" s="300">
        <f>ROUND((DHL!Y29+($A34*DHL_FS))*(1+PostalMarkup),2)</f>
        <v>78.13</v>
      </c>
    </row>
    <row r="35" spans="1:11" ht="12.75" customHeight="1">
      <c r="A35" s="299">
        <f>DHL!O30</f>
        <v>13</v>
      </c>
      <c r="B35" s="300">
        <f>ROUND((DHL!P30+($A35*DHL_FS))*(1+PostalMarkup),2)</f>
        <v>14.19</v>
      </c>
      <c r="C35" s="300">
        <f>ROUND((DHL!Q30+($A35*DHL_FS))*(1+PostalMarkup),2)</f>
        <v>14.34</v>
      </c>
      <c r="D35" s="300">
        <f>ROUND((DHL!R30+($A35*DHL_FS))*(1+PostalMarkup),2)</f>
        <v>15.8</v>
      </c>
      <c r="E35" s="300">
        <f>ROUND((DHL!S30+($A35*DHL_FS))*(1+PostalMarkup),2)</f>
        <v>19.649999999999999</v>
      </c>
      <c r="F35" s="300">
        <f>ROUND((DHL!T30+($A35*DHL_FS))*(1+PostalMarkup),2)</f>
        <v>31.12</v>
      </c>
      <c r="G35" s="300">
        <f>ROUND((DHL!U30+($A35*DHL_FS))*(1+PostalMarkup),2)</f>
        <v>33.36</v>
      </c>
      <c r="H35" s="300">
        <f>ROUND((DHL!V30+($A35*DHL_FS))*(1+PostalMarkup),2)</f>
        <v>33.83</v>
      </c>
      <c r="I35" s="300">
        <f>ROUND((DHL!W30+($A35*DHL_FS))*(1+PostalMarkup),2)</f>
        <v>83.77</v>
      </c>
      <c r="J35" s="300">
        <f>ROUND((DHL!X30+($A35*DHL_FS))*(1+PostalMarkup),2)</f>
        <v>83.77</v>
      </c>
      <c r="K35" s="300">
        <f>ROUND((DHL!Y30+($A35*DHL_FS))*(1+PostalMarkup),2)</f>
        <v>83.77</v>
      </c>
    </row>
    <row r="36" spans="1:11" ht="12.75" customHeight="1">
      <c r="A36" s="299">
        <f>DHL!O31</f>
        <v>14</v>
      </c>
      <c r="B36" s="300">
        <f>ROUND((DHL!P31+($A36*DHL_FS))*(1+PostalMarkup),2)</f>
        <v>14.86</v>
      </c>
      <c r="C36" s="300">
        <f>ROUND((DHL!Q31+($A36*DHL_FS))*(1+PostalMarkup),2)</f>
        <v>15.04</v>
      </c>
      <c r="D36" s="300">
        <f>ROUND((DHL!R31+($A36*DHL_FS))*(1+PostalMarkup),2)</f>
        <v>16.62</v>
      </c>
      <c r="E36" s="300">
        <f>ROUND((DHL!S31+($A36*DHL_FS))*(1+PostalMarkup),2)</f>
        <v>20.77</v>
      </c>
      <c r="F36" s="300">
        <f>ROUND((DHL!T31+($A36*DHL_FS))*(1+PostalMarkup),2)</f>
        <v>33.119999999999997</v>
      </c>
      <c r="G36" s="300">
        <f>ROUND((DHL!U31+($A36*DHL_FS))*(1+PostalMarkup),2)</f>
        <v>35.54</v>
      </c>
      <c r="H36" s="300">
        <f>ROUND((DHL!V31+($A36*DHL_FS))*(1+PostalMarkup),2)</f>
        <v>36.049999999999997</v>
      </c>
      <c r="I36" s="300">
        <f>ROUND((DHL!W31+($A36*DHL_FS))*(1+PostalMarkup),2)</f>
        <v>89.4</v>
      </c>
      <c r="J36" s="300">
        <f>ROUND((DHL!X31+($A36*DHL_FS))*(1+PostalMarkup),2)</f>
        <v>89.4</v>
      </c>
      <c r="K36" s="300">
        <f>ROUND((DHL!Y31+($A36*DHL_FS))*(1+PostalMarkup),2)</f>
        <v>89.4</v>
      </c>
    </row>
    <row r="37" spans="1:11" ht="12.75" customHeight="1">
      <c r="A37" s="299">
        <f>DHL!O32</f>
        <v>15</v>
      </c>
      <c r="B37" s="300">
        <f>ROUND((DHL!P32+($A37*DHL_FS))*(1+PostalMarkup),2)</f>
        <v>15.54</v>
      </c>
      <c r="C37" s="300">
        <f>ROUND((DHL!Q32+($A37*DHL_FS))*(1+PostalMarkup),2)</f>
        <v>15.76</v>
      </c>
      <c r="D37" s="300">
        <f>ROUND((DHL!R32+($A37*DHL_FS))*(1+PostalMarkup),2)</f>
        <v>17.43</v>
      </c>
      <c r="E37" s="300">
        <f>ROUND((DHL!S32+($A37*DHL_FS))*(1+PostalMarkup),2)</f>
        <v>21.88</v>
      </c>
      <c r="F37" s="300">
        <f>ROUND((DHL!T32+($A37*DHL_FS))*(1+PostalMarkup),2)</f>
        <v>35.119999999999997</v>
      </c>
      <c r="G37" s="300">
        <f>ROUND((DHL!U32+($A37*DHL_FS))*(1+PostalMarkup),2)</f>
        <v>37.71</v>
      </c>
      <c r="H37" s="300">
        <f>ROUND((DHL!V32+($A37*DHL_FS))*(1+PostalMarkup),2)</f>
        <v>38.270000000000003</v>
      </c>
      <c r="I37" s="300">
        <f>ROUND((DHL!W32+($A37*DHL_FS))*(1+PostalMarkup),2)</f>
        <v>93.98</v>
      </c>
      <c r="J37" s="300">
        <f>ROUND((DHL!X32+($A37*DHL_FS))*(1+PostalMarkup),2)</f>
        <v>93.98</v>
      </c>
      <c r="K37" s="300">
        <f>ROUND((DHL!Y32+($A37*DHL_FS))*(1+PostalMarkup),2)</f>
        <v>93.98</v>
      </c>
    </row>
    <row r="38" spans="1:11" ht="12.75" customHeight="1">
      <c r="A38" s="299">
        <f>DHL!O33</f>
        <v>16</v>
      </c>
      <c r="B38" s="300">
        <f>ROUND((DHL!P33+($A38*DHL_FS))*(1+PostalMarkup),2)</f>
        <v>16.2</v>
      </c>
      <c r="C38" s="300">
        <f>ROUND((DHL!Q33+($A38*DHL_FS))*(1+PostalMarkup),2)</f>
        <v>16.45</v>
      </c>
      <c r="D38" s="300">
        <f>ROUND((DHL!R33+($A38*DHL_FS))*(1+PostalMarkup),2)</f>
        <v>18.25</v>
      </c>
      <c r="E38" s="300">
        <f>ROUND((DHL!S33+($A38*DHL_FS))*(1+PostalMarkup),2)</f>
        <v>23</v>
      </c>
      <c r="F38" s="300">
        <f>ROUND((DHL!T33+($A38*DHL_FS))*(1+PostalMarkup),2)</f>
        <v>37.119999999999997</v>
      </c>
      <c r="G38" s="300">
        <f>ROUND((DHL!U33+($A38*DHL_FS))*(1+PostalMarkup),2)</f>
        <v>39.880000000000003</v>
      </c>
      <c r="H38" s="300">
        <f>ROUND((DHL!V33+($A38*DHL_FS))*(1+PostalMarkup),2)</f>
        <v>40.49</v>
      </c>
      <c r="I38" s="300">
        <f>ROUND((DHL!W33+($A38*DHL_FS))*(1+PostalMarkup),2)</f>
        <v>99.27</v>
      </c>
      <c r="J38" s="300">
        <f>ROUND((DHL!X33+($A38*DHL_FS))*(1+PostalMarkup),2)</f>
        <v>99.27</v>
      </c>
      <c r="K38" s="300">
        <f>ROUND((DHL!Y33+($A38*DHL_FS))*(1+PostalMarkup),2)</f>
        <v>99.27</v>
      </c>
    </row>
    <row r="39" spans="1:11" ht="12.75" customHeight="1">
      <c r="A39" s="299">
        <f>DHL!O34</f>
        <v>17</v>
      </c>
      <c r="B39" s="300">
        <f>ROUND((DHL!P34+($A39*DHL_FS))*(1+PostalMarkup),2)</f>
        <v>16.86</v>
      </c>
      <c r="C39" s="300">
        <f>ROUND((DHL!Q34+($A39*DHL_FS))*(1+PostalMarkup),2)</f>
        <v>17.14</v>
      </c>
      <c r="D39" s="300">
        <f>ROUND((DHL!R34+($A39*DHL_FS))*(1+PostalMarkup),2)</f>
        <v>19.04</v>
      </c>
      <c r="E39" s="300">
        <f>ROUND((DHL!S34+($A39*DHL_FS))*(1+PostalMarkup),2)</f>
        <v>24.1</v>
      </c>
      <c r="F39" s="300">
        <f>ROUND((DHL!T34+($A39*DHL_FS))*(1+PostalMarkup),2)</f>
        <v>39.11</v>
      </c>
      <c r="G39" s="300">
        <f>ROUND((DHL!U34+($A39*DHL_FS))*(1+PostalMarkup),2)</f>
        <v>42.03</v>
      </c>
      <c r="H39" s="300">
        <f>ROUND((DHL!V34+($A39*DHL_FS))*(1+PostalMarkup),2)</f>
        <v>42.69</v>
      </c>
      <c r="I39" s="300">
        <f>ROUND((DHL!W34+($A39*DHL_FS))*(1+PostalMarkup),2)</f>
        <v>104.49</v>
      </c>
      <c r="J39" s="300">
        <f>ROUND((DHL!X34+($A39*DHL_FS))*(1+PostalMarkup),2)</f>
        <v>104.49</v>
      </c>
      <c r="K39" s="300">
        <f>ROUND((DHL!Y34+($A39*DHL_FS))*(1+PostalMarkup),2)</f>
        <v>104.49</v>
      </c>
    </row>
    <row r="40" spans="1:11" ht="12.75" customHeight="1">
      <c r="A40" s="299">
        <f>DHL!O35</f>
        <v>18</v>
      </c>
      <c r="B40" s="300">
        <f>ROUND((DHL!P35+($A40*DHL_FS))*(1+PostalMarkup),2)</f>
        <v>17.55</v>
      </c>
      <c r="C40" s="300">
        <f>ROUND((DHL!Q35+($A40*DHL_FS))*(1+PostalMarkup),2)</f>
        <v>17.850000000000001</v>
      </c>
      <c r="D40" s="300">
        <f>ROUND((DHL!R35+($A40*DHL_FS))*(1+PostalMarkup),2)</f>
        <v>19.87</v>
      </c>
      <c r="E40" s="300">
        <f>ROUND((DHL!S35+($A40*DHL_FS))*(1+PostalMarkup),2)</f>
        <v>25.23</v>
      </c>
      <c r="F40" s="300">
        <f>ROUND((DHL!T35+($A40*DHL_FS))*(1+PostalMarkup),2)</f>
        <v>41.12</v>
      </c>
      <c r="G40" s="300">
        <f>ROUND((DHL!U35+($A40*DHL_FS))*(1+PostalMarkup),2)</f>
        <v>44.22</v>
      </c>
      <c r="H40" s="300">
        <f>ROUND((DHL!V35+($A40*DHL_FS))*(1+PostalMarkup),2)</f>
        <v>44.92</v>
      </c>
      <c r="I40" s="300">
        <f>ROUND((DHL!W35+($A40*DHL_FS))*(1+PostalMarkup),2)</f>
        <v>109.78</v>
      </c>
      <c r="J40" s="300">
        <f>ROUND((DHL!X35+($A40*DHL_FS))*(1+PostalMarkup),2)</f>
        <v>109.78</v>
      </c>
      <c r="K40" s="300">
        <f>ROUND((DHL!Y35+($A40*DHL_FS))*(1+PostalMarkup),2)</f>
        <v>109.78</v>
      </c>
    </row>
    <row r="41" spans="1:11" ht="12.75" customHeight="1">
      <c r="A41" s="299">
        <f>DHL!O36</f>
        <v>19</v>
      </c>
      <c r="B41" s="300">
        <f>ROUND((DHL!P36+($A41*DHL_FS))*(1+PostalMarkup),2)</f>
        <v>18.2</v>
      </c>
      <c r="C41" s="300">
        <f>ROUND((DHL!Q36+($A41*DHL_FS))*(1+PostalMarkup),2)</f>
        <v>18.54</v>
      </c>
      <c r="D41" s="300">
        <f>ROUND((DHL!R36+($A41*DHL_FS))*(1+PostalMarkup),2)</f>
        <v>20.68</v>
      </c>
      <c r="E41" s="300">
        <f>ROUND((DHL!S36+($A41*DHL_FS))*(1+PostalMarkup),2)</f>
        <v>26.34</v>
      </c>
      <c r="F41" s="300">
        <f>ROUND((DHL!T36+($A41*DHL_FS))*(1+PostalMarkup),2)</f>
        <v>43.11</v>
      </c>
      <c r="G41" s="300">
        <f>ROUND((DHL!U36+($A41*DHL_FS))*(1+PostalMarkup),2)</f>
        <v>46.38</v>
      </c>
      <c r="H41" s="300">
        <f>ROUND((DHL!V36+($A41*DHL_FS))*(1+PostalMarkup),2)</f>
        <v>47.13</v>
      </c>
      <c r="I41" s="300">
        <f>ROUND((DHL!W36+($A41*DHL_FS))*(1+PostalMarkup),2)</f>
        <v>114.36</v>
      </c>
      <c r="J41" s="300">
        <f>ROUND((DHL!X36+($A41*DHL_FS))*(1+PostalMarkup),2)</f>
        <v>114.36</v>
      </c>
      <c r="K41" s="300">
        <f>ROUND((DHL!Y36+($A41*DHL_FS))*(1+PostalMarkup),2)</f>
        <v>114.36</v>
      </c>
    </row>
    <row r="42" spans="1:11" ht="12.75" customHeight="1">
      <c r="A42" s="299">
        <f>DHL!O37</f>
        <v>20</v>
      </c>
      <c r="B42" s="300">
        <f>ROUND((DHL!P37+($A42*DHL_FS))*(1+PostalMarkup),2)</f>
        <v>18.87</v>
      </c>
      <c r="C42" s="300">
        <f>ROUND((DHL!Q37+($A42*DHL_FS))*(1+PostalMarkup),2)</f>
        <v>19.239999999999998</v>
      </c>
      <c r="D42" s="300">
        <f>ROUND((DHL!R37+($A42*DHL_FS))*(1+PostalMarkup),2)</f>
        <v>21.48</v>
      </c>
      <c r="E42" s="300">
        <f>ROUND((DHL!S37+($A42*DHL_FS))*(1+PostalMarkup),2)</f>
        <v>27.45</v>
      </c>
      <c r="F42" s="300">
        <f>ROUND((DHL!T37+($A42*DHL_FS))*(1+PostalMarkup),2)</f>
        <v>45.11</v>
      </c>
      <c r="G42" s="300">
        <f>ROUND((DHL!U37+($A42*DHL_FS))*(1+PostalMarkup),2)</f>
        <v>48.54</v>
      </c>
      <c r="H42" s="300">
        <f>ROUND((DHL!V37+($A42*DHL_FS))*(1+PostalMarkup),2)</f>
        <v>49.34</v>
      </c>
      <c r="I42" s="300">
        <f>ROUND((DHL!W37+($A42*DHL_FS))*(1+PostalMarkup),2)</f>
        <v>119.59</v>
      </c>
      <c r="J42" s="300">
        <f>ROUND((DHL!X37+($A42*DHL_FS))*(1+PostalMarkup),2)</f>
        <v>119.59</v>
      </c>
      <c r="K42" s="300">
        <f>ROUND((DHL!Y37+($A42*DHL_FS))*(1+PostalMarkup),2)</f>
        <v>119.59</v>
      </c>
    </row>
    <row r="43" spans="1:11" ht="12.75" customHeight="1">
      <c r="A43" s="299">
        <f>DHL!O38</f>
        <v>21</v>
      </c>
      <c r="B43" s="300">
        <f>ROUND((DHL!P38+($A43*DHL_FS))*(1+PostalMarkup),2)</f>
        <v>19.91</v>
      </c>
      <c r="C43" s="300">
        <f>ROUND((DHL!Q38+($A43*DHL_FS))*(1+PostalMarkup),2)</f>
        <v>20.29</v>
      </c>
      <c r="D43" s="300">
        <f>ROUND((DHL!R38+($A43*DHL_FS))*(1+PostalMarkup),2)</f>
        <v>22.67</v>
      </c>
      <c r="E43" s="300">
        <f>ROUND((DHL!S38+($A43*DHL_FS))*(1+PostalMarkup),2)</f>
        <v>28.91</v>
      </c>
      <c r="F43" s="300">
        <f>ROUND((DHL!T38+($A43*DHL_FS))*(1+PostalMarkup),2)</f>
        <v>47.46</v>
      </c>
      <c r="G43" s="300">
        <f>ROUND((DHL!U38+($A43*DHL_FS))*(1+PostalMarkup),2)</f>
        <v>51.06</v>
      </c>
      <c r="H43" s="300">
        <f>ROUND((DHL!V38+($A43*DHL_FS))*(1+PostalMarkup),2)</f>
        <v>51.89</v>
      </c>
      <c r="I43" s="300">
        <f>ROUND((DHL!W38+($A43*DHL_FS))*(1+PostalMarkup),2)</f>
        <v>123.94</v>
      </c>
      <c r="J43" s="300">
        <f>ROUND((DHL!X38+($A43*DHL_FS))*(1+PostalMarkup),2)</f>
        <v>123.94</v>
      </c>
      <c r="K43" s="300">
        <f>ROUND((DHL!Y38+($A43*DHL_FS))*(1+PostalMarkup),2)</f>
        <v>123.94</v>
      </c>
    </row>
    <row r="44" spans="1:11" ht="12.75" customHeight="1">
      <c r="A44" s="299">
        <f>DHL!O39</f>
        <v>22</v>
      </c>
      <c r="B44" s="300">
        <f>ROUND((DHL!P39+($A44*DHL_FS))*(1+PostalMarkup),2)</f>
        <v>20.53</v>
      </c>
      <c r="C44" s="300">
        <f>ROUND((DHL!Q39+($A44*DHL_FS))*(1+PostalMarkup),2)</f>
        <v>20.92</v>
      </c>
      <c r="D44" s="300">
        <f>ROUND((DHL!R39+($A44*DHL_FS))*(1+PostalMarkup),2)</f>
        <v>23.41</v>
      </c>
      <c r="E44" s="300">
        <f>ROUND((DHL!S39+($A44*DHL_FS))*(1+PostalMarkup),2)</f>
        <v>29.97</v>
      </c>
      <c r="F44" s="300">
        <f>ROUND((DHL!T39+($A44*DHL_FS))*(1+PostalMarkup),2)</f>
        <v>49.39</v>
      </c>
      <c r="G44" s="300">
        <f>ROUND((DHL!U39+($A44*DHL_FS))*(1+PostalMarkup),2)</f>
        <v>53.18</v>
      </c>
      <c r="H44" s="300">
        <f>ROUND((DHL!V39+($A44*DHL_FS))*(1+PostalMarkup),2)</f>
        <v>54.05</v>
      </c>
      <c r="I44" s="300">
        <f>ROUND((DHL!W39+($A44*DHL_FS))*(1+PostalMarkup),2)</f>
        <v>128.22999999999999</v>
      </c>
      <c r="J44" s="300">
        <f>ROUND((DHL!X39+($A44*DHL_FS))*(1+PostalMarkup),2)</f>
        <v>128.22999999999999</v>
      </c>
      <c r="K44" s="300">
        <f>ROUND((DHL!Y39+($A44*DHL_FS))*(1+PostalMarkup),2)</f>
        <v>128.22999999999999</v>
      </c>
    </row>
    <row r="45" spans="1:11" ht="12.75" customHeight="1">
      <c r="A45" s="299">
        <f>DHL!O40</f>
        <v>23</v>
      </c>
      <c r="B45" s="300">
        <f>ROUND((DHL!P40+($A45*DHL_FS))*(1+PostalMarkup),2)</f>
        <v>21.13</v>
      </c>
      <c r="C45" s="300">
        <f>ROUND((DHL!Q40+($A45*DHL_FS))*(1+PostalMarkup),2)</f>
        <v>21.57</v>
      </c>
      <c r="D45" s="300">
        <f>ROUND((DHL!R40+($A45*DHL_FS))*(1+PostalMarkup),2)</f>
        <v>24.17</v>
      </c>
      <c r="E45" s="300">
        <f>ROUND((DHL!S40+($A45*DHL_FS))*(1+PostalMarkup),2)</f>
        <v>31.03</v>
      </c>
      <c r="F45" s="300">
        <f>ROUND((DHL!T40+($A45*DHL_FS))*(1+PostalMarkup),2)</f>
        <v>51.35</v>
      </c>
      <c r="G45" s="300">
        <f>ROUND((DHL!U40+($A45*DHL_FS))*(1+PostalMarkup),2)</f>
        <v>55.29</v>
      </c>
      <c r="H45" s="300">
        <f>ROUND((DHL!V40+($A45*DHL_FS))*(1+PostalMarkup),2)</f>
        <v>56.21</v>
      </c>
      <c r="I45" s="300">
        <f>ROUND((DHL!W40+($A45*DHL_FS))*(1+PostalMarkup),2)</f>
        <v>132.58000000000001</v>
      </c>
      <c r="J45" s="300">
        <f>ROUND((DHL!X40+($A45*DHL_FS))*(1+PostalMarkup),2)</f>
        <v>132.58000000000001</v>
      </c>
      <c r="K45" s="300">
        <f>ROUND((DHL!Y40+($A45*DHL_FS))*(1+PostalMarkup),2)</f>
        <v>132.58000000000001</v>
      </c>
    </row>
    <row r="46" spans="1:11" ht="12.75" customHeight="1">
      <c r="A46" s="299">
        <f>DHL!O41</f>
        <v>24</v>
      </c>
      <c r="B46" s="300">
        <f>ROUND((DHL!P41+($A46*DHL_FS))*(1+PostalMarkup),2)</f>
        <v>21.68</v>
      </c>
      <c r="C46" s="300">
        <f>ROUND((DHL!Q41+($A46*DHL_FS))*(1+PostalMarkup),2)</f>
        <v>22.16</v>
      </c>
      <c r="D46" s="300">
        <f>ROUND((DHL!R41+($A46*DHL_FS))*(1+PostalMarkup),2)</f>
        <v>24.86</v>
      </c>
      <c r="E46" s="300">
        <f>ROUND((DHL!S41+($A46*DHL_FS))*(1+PostalMarkup),2)</f>
        <v>32.03</v>
      </c>
      <c r="F46" s="300">
        <f>ROUND((DHL!T41+($A46*DHL_FS))*(1+PostalMarkup),2)</f>
        <v>53.23</v>
      </c>
      <c r="G46" s="300">
        <f>ROUND((DHL!U41+($A46*DHL_FS))*(1+PostalMarkup),2)</f>
        <v>57.34</v>
      </c>
      <c r="H46" s="300">
        <f>ROUND((DHL!V41+($A46*DHL_FS))*(1+PostalMarkup),2)</f>
        <v>58.32</v>
      </c>
      <c r="I46" s="300">
        <f>ROUND((DHL!W41+($A46*DHL_FS))*(1+PostalMarkup),2)</f>
        <v>136.99</v>
      </c>
      <c r="J46" s="300">
        <f>ROUND((DHL!X41+($A46*DHL_FS))*(1+PostalMarkup),2)</f>
        <v>136.99</v>
      </c>
      <c r="K46" s="300">
        <f>ROUND((DHL!Y41+($A46*DHL_FS))*(1+PostalMarkup),2)</f>
        <v>136.99</v>
      </c>
    </row>
    <row r="47" spans="1:11" ht="12.75" customHeight="1">
      <c r="A47" s="299">
        <f>DHL!O42</f>
        <v>25</v>
      </c>
      <c r="B47" s="300">
        <f>ROUND((DHL!P42+($A47*DHL_FS))*(1+PostalMarkup),2)</f>
        <v>22.25</v>
      </c>
      <c r="C47" s="300">
        <f>ROUND((DHL!Q42+($A47*DHL_FS))*(1+PostalMarkup),2)</f>
        <v>22.75</v>
      </c>
      <c r="D47" s="300">
        <f>ROUND((DHL!R42+($A47*DHL_FS))*(1+PostalMarkup),2)</f>
        <v>25.58</v>
      </c>
      <c r="E47" s="300">
        <f>ROUND((DHL!S42+($A47*DHL_FS))*(1+PostalMarkup),2)</f>
        <v>33.049999999999997</v>
      </c>
      <c r="F47" s="300">
        <f>ROUND((DHL!T42+($A47*DHL_FS))*(1+PostalMarkup),2)</f>
        <v>55.14</v>
      </c>
      <c r="G47" s="300">
        <f>ROUND((DHL!U42+($A47*DHL_FS))*(1+PostalMarkup),2)</f>
        <v>59.42</v>
      </c>
      <c r="H47" s="300">
        <f>ROUND((DHL!V42+($A47*DHL_FS))*(1+PostalMarkup),2)</f>
        <v>60.44</v>
      </c>
      <c r="I47" s="300">
        <f>ROUND((DHL!W42+($A47*DHL_FS))*(1+PostalMarkup),2)</f>
        <v>141.4</v>
      </c>
      <c r="J47" s="300">
        <f>ROUND((DHL!X42+($A47*DHL_FS))*(1+PostalMarkup),2)</f>
        <v>141.4</v>
      </c>
      <c r="K47" s="300">
        <f>ROUND((DHL!Y42+($A47*DHL_FS))*(1+PostalMarkup),2)</f>
        <v>141.4</v>
      </c>
    </row>
    <row r="48" spans="1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7:K47">
    <cfRule type="expression" dxfId="5" priority="1">
      <formula>MOD(ROW(),2)=0</formula>
    </cfRule>
  </conditionalFormatting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D9E2F3"/>
  </sheetPr>
  <dimension ref="A1:B1000"/>
  <sheetViews>
    <sheetView workbookViewId="0"/>
  </sheetViews>
  <sheetFormatPr defaultColWidth="12.5703125" defaultRowHeight="15" customHeight="1"/>
  <cols>
    <col min="1" max="1" width="10.42578125" customWidth="1"/>
    <col min="2" max="26" width="8.5703125" customWidth="1"/>
  </cols>
  <sheetData>
    <row r="1" spans="1:2" ht="12.75" customHeight="1">
      <c r="A1" s="219" t="s">
        <v>157</v>
      </c>
    </row>
    <row r="2" spans="1:2" ht="12.75" customHeight="1">
      <c r="A2" s="219"/>
    </row>
    <row r="3" spans="1:2" ht="12.75" customHeight="1">
      <c r="A3" s="305" t="s">
        <v>158</v>
      </c>
      <c r="B3" s="93" t="s">
        <v>72</v>
      </c>
    </row>
    <row r="4" spans="1:2" ht="12.75" customHeight="1">
      <c r="A4" s="5">
        <v>1</v>
      </c>
      <c r="B4" s="109">
        <f>ROUND('USPS Base'!AC2*(1+PostalMarkup),2)</f>
        <v>5.14</v>
      </c>
    </row>
    <row r="5" spans="1:2" ht="12.75" customHeight="1">
      <c r="A5" s="9">
        <v>2</v>
      </c>
      <c r="B5" s="111">
        <f>ROUND('USPS Base'!AC3*(1+PostalMarkup),2)</f>
        <v>6</v>
      </c>
    </row>
    <row r="6" spans="1:2" ht="12.75" customHeight="1">
      <c r="A6" s="13">
        <v>3</v>
      </c>
      <c r="B6" s="113">
        <f>ROUND('USPS Base'!AC4*(1+PostalMarkup),2)</f>
        <v>6.87</v>
      </c>
    </row>
    <row r="7" spans="1:2" ht="12.75" customHeight="1">
      <c r="A7" s="13">
        <v>4</v>
      </c>
      <c r="B7" s="113">
        <f>ROUND('USPS Base'!AC5*(1+PostalMarkup),2)</f>
        <v>7.73</v>
      </c>
    </row>
    <row r="8" spans="1:2" ht="12.75" customHeight="1">
      <c r="A8" s="16">
        <v>5</v>
      </c>
      <c r="B8" s="115">
        <f>ROUND('USPS Base'!AC6*(1+PostalMarkup),2)</f>
        <v>8.59</v>
      </c>
    </row>
    <row r="9" spans="1:2" ht="12.75" customHeight="1">
      <c r="A9" s="19">
        <v>6</v>
      </c>
      <c r="B9" s="117">
        <f>ROUND('USPS Base'!AC7*(1+PostalMarkup),2)</f>
        <v>9.4499999999999993</v>
      </c>
    </row>
    <row r="10" spans="1:2" ht="12.75" customHeight="1">
      <c r="A10" s="23">
        <v>7</v>
      </c>
      <c r="B10" s="120">
        <f>ROUND('USPS Base'!AC8*(1+PostalMarkup),2)</f>
        <v>10.32</v>
      </c>
    </row>
    <row r="11" spans="1:2" ht="12.75" customHeight="1">
      <c r="A11" s="19">
        <v>8</v>
      </c>
      <c r="B11" s="120">
        <f>ROUND('USPS Base'!AC9*(1+PostalMarkup),2)</f>
        <v>11.18</v>
      </c>
    </row>
    <row r="12" spans="1:2" ht="12.75" customHeight="1">
      <c r="A12" s="19">
        <v>9</v>
      </c>
      <c r="B12" s="120">
        <f>ROUND('USPS Base'!AC10*(1+PostalMarkup),2)</f>
        <v>12.04</v>
      </c>
    </row>
    <row r="13" spans="1:2" ht="12.75" customHeight="1">
      <c r="A13" s="27">
        <v>10</v>
      </c>
      <c r="B13" s="120">
        <f>ROUND('USPS Base'!AC11*(1+PostalMarkup),2)</f>
        <v>12.9</v>
      </c>
    </row>
    <row r="14" spans="1:2" ht="12.75" customHeight="1">
      <c r="A14" s="13">
        <v>11</v>
      </c>
      <c r="B14" s="111">
        <f>ROUND('USPS Base'!AC12*(1+PostalMarkup),2)</f>
        <v>13.77</v>
      </c>
    </row>
    <row r="15" spans="1:2" ht="12.75" customHeight="1">
      <c r="A15" s="13">
        <v>12</v>
      </c>
      <c r="B15" s="113">
        <f>ROUND('USPS Base'!AC13*(1+PostalMarkup),2)</f>
        <v>14.63</v>
      </c>
    </row>
    <row r="16" spans="1:2" ht="12.75" customHeight="1">
      <c r="A16" s="13">
        <v>13</v>
      </c>
      <c r="B16" s="113">
        <f>ROUND('USPS Base'!AC14*(1+PostalMarkup),2)</f>
        <v>15.49</v>
      </c>
    </row>
    <row r="17" spans="1:2" ht="12.75" customHeight="1">
      <c r="A17" s="13">
        <v>14</v>
      </c>
      <c r="B17" s="113">
        <f>ROUND('USPS Base'!AC15*(1+PostalMarkup),2)</f>
        <v>16.350000000000001</v>
      </c>
    </row>
    <row r="18" spans="1:2" ht="12.75" customHeight="1">
      <c r="A18" s="13">
        <v>15</v>
      </c>
      <c r="B18" s="115">
        <f>ROUND('USPS Base'!AC16*(1+PostalMarkup),2)</f>
        <v>17.22</v>
      </c>
    </row>
    <row r="19" spans="1:2" ht="12.75" customHeight="1">
      <c r="A19" s="31">
        <v>16</v>
      </c>
      <c r="B19" s="117">
        <f>ROUND('USPS Base'!AC17*(1+PostalMarkup),2)</f>
        <v>18.079999999999998</v>
      </c>
    </row>
    <row r="20" spans="1:2" ht="12.75" customHeight="1">
      <c r="A20" s="19">
        <v>17</v>
      </c>
      <c r="B20" s="120">
        <f>ROUND('USPS Base'!AC18*(1+PostalMarkup),2)</f>
        <v>18.940000000000001</v>
      </c>
    </row>
    <row r="21" spans="1:2" ht="12.75" customHeight="1">
      <c r="A21" s="19">
        <v>18</v>
      </c>
      <c r="B21" s="120">
        <f>ROUND('USPS Base'!AC19*(1+PostalMarkup),2)</f>
        <v>19.8</v>
      </c>
    </row>
    <row r="22" spans="1:2" ht="12.75" customHeight="1">
      <c r="A22" s="19">
        <v>19</v>
      </c>
      <c r="B22" s="120">
        <f>ROUND('USPS Base'!AC20*(1+PostalMarkup),2)</f>
        <v>20.67</v>
      </c>
    </row>
    <row r="23" spans="1:2" ht="12.75" customHeight="1">
      <c r="A23" s="19">
        <v>20</v>
      </c>
      <c r="B23" s="123">
        <f>ROUND('USPS Base'!AC21*(1+PostalMarkup),2)</f>
        <v>21.53</v>
      </c>
    </row>
    <row r="24" spans="1:2" ht="12.75" customHeight="1">
      <c r="A24" s="32">
        <v>21</v>
      </c>
      <c r="B24" s="111">
        <f>ROUND('USPS Base'!AC22*(1+PostalMarkup),2)</f>
        <v>22.39</v>
      </c>
    </row>
    <row r="25" spans="1:2" ht="12.75" customHeight="1">
      <c r="A25" s="13">
        <v>22</v>
      </c>
      <c r="B25" s="113">
        <f>ROUND('USPS Base'!AC23*(1+PostalMarkup),2)</f>
        <v>23.25</v>
      </c>
    </row>
    <row r="26" spans="1:2" ht="12.75" customHeight="1">
      <c r="A26" s="13">
        <v>23</v>
      </c>
      <c r="B26" s="113">
        <f>ROUND('USPS Base'!AC24*(1+PostalMarkup),2)</f>
        <v>24.12</v>
      </c>
    </row>
    <row r="27" spans="1:2" ht="12.75" customHeight="1">
      <c r="A27" s="13">
        <v>24</v>
      </c>
      <c r="B27" s="113">
        <f>ROUND('USPS Base'!AC25*(1+PostalMarkup),2)</f>
        <v>24.98</v>
      </c>
    </row>
    <row r="28" spans="1:2" ht="12.75" customHeight="1">
      <c r="A28" s="16">
        <v>25</v>
      </c>
      <c r="B28" s="115">
        <f>ROUND('USPS Base'!AC26*(1+PostalMarkup),2)</f>
        <v>25.84</v>
      </c>
    </row>
    <row r="29" spans="1:2" ht="12.75" customHeight="1">
      <c r="A29" s="19">
        <v>26</v>
      </c>
      <c r="B29" s="117">
        <f>ROUND('USPS Base'!AC27*(1+PostalMarkup),2)</f>
        <v>26.7</v>
      </c>
    </row>
    <row r="30" spans="1:2" ht="12.75" customHeight="1">
      <c r="A30" s="23">
        <v>27</v>
      </c>
      <c r="B30" s="120">
        <f>ROUND('USPS Base'!AC28*(1+PostalMarkup),2)</f>
        <v>27.57</v>
      </c>
    </row>
    <row r="31" spans="1:2" ht="12.75" customHeight="1">
      <c r="A31" s="23">
        <v>28</v>
      </c>
      <c r="B31" s="120">
        <f>ROUND('USPS Base'!AC29*(1+PostalMarkup),2)</f>
        <v>28.43</v>
      </c>
    </row>
    <row r="32" spans="1:2" ht="12.75" customHeight="1">
      <c r="A32" s="23">
        <v>29</v>
      </c>
      <c r="B32" s="120">
        <f>ROUND('USPS Base'!AC30*(1+PostalMarkup),2)</f>
        <v>29.29</v>
      </c>
    </row>
    <row r="33" spans="1:2" ht="12.75" customHeight="1">
      <c r="A33" s="23">
        <v>30</v>
      </c>
      <c r="B33" s="123">
        <f>ROUND('USPS Base'!AC31*(1+PostalMarkup),2)</f>
        <v>30.15</v>
      </c>
    </row>
    <row r="34" spans="1:2" ht="12.75" customHeight="1">
      <c r="A34" s="9">
        <v>31</v>
      </c>
      <c r="B34" s="111">
        <f>ROUND('USPS Base'!AC32*(1+PostalMarkup),2)</f>
        <v>31.02</v>
      </c>
    </row>
    <row r="35" spans="1:2" ht="12.75" customHeight="1">
      <c r="A35" s="33">
        <v>32</v>
      </c>
      <c r="B35" s="113">
        <f>ROUND('USPS Base'!AC33*(1+PostalMarkup),2)</f>
        <v>31.88</v>
      </c>
    </row>
    <row r="36" spans="1:2" ht="12.75" customHeight="1">
      <c r="A36" s="33">
        <v>33</v>
      </c>
      <c r="B36" s="113">
        <f>ROUND('USPS Base'!AC34*(1+PostalMarkup),2)</f>
        <v>32.74</v>
      </c>
    </row>
    <row r="37" spans="1:2" ht="12.75" customHeight="1">
      <c r="A37" s="33">
        <v>34</v>
      </c>
      <c r="B37" s="113">
        <f>ROUND('USPS Base'!AC35*(1+PostalMarkup),2)</f>
        <v>33.6</v>
      </c>
    </row>
    <row r="38" spans="1:2" ht="12.75" customHeight="1">
      <c r="A38" s="16">
        <v>35</v>
      </c>
      <c r="B38" s="115">
        <f>ROUND('USPS Base'!AC36*(1+PostalMarkup),2)</f>
        <v>34.47</v>
      </c>
    </row>
    <row r="39" spans="1:2" ht="12.75" customHeight="1">
      <c r="A39" s="5">
        <v>36</v>
      </c>
      <c r="B39" s="109">
        <f>ROUND('USPS Base'!AC37*(1+PostalMarkup),2)</f>
        <v>35.33</v>
      </c>
    </row>
    <row r="40" spans="1:2" ht="12.75" customHeight="1">
      <c r="A40" s="9">
        <v>37</v>
      </c>
      <c r="B40" s="111">
        <f>ROUND('USPS Base'!AC38*(1+PostalMarkup),2)</f>
        <v>36.19</v>
      </c>
    </row>
    <row r="41" spans="1:2" ht="12.75" customHeight="1">
      <c r="A41" s="13">
        <v>38</v>
      </c>
      <c r="B41" s="113">
        <f>ROUND('USPS Base'!AC39*(1+PostalMarkup),2)</f>
        <v>37.049999999999997</v>
      </c>
    </row>
    <row r="42" spans="1:2" ht="12.75" customHeight="1">
      <c r="A42" s="13">
        <v>39</v>
      </c>
      <c r="B42" s="113">
        <f>ROUND('USPS Base'!AC40*(1+PostalMarkup),2)</f>
        <v>37.92</v>
      </c>
    </row>
    <row r="43" spans="1:2" ht="12.75" customHeight="1">
      <c r="A43" s="16">
        <v>40</v>
      </c>
      <c r="B43" s="115">
        <f>ROUND('USPS Base'!AC41*(1+PostalMarkup),2)</f>
        <v>38.78</v>
      </c>
    </row>
    <row r="44" spans="1:2" ht="12.75" customHeight="1">
      <c r="A44" s="19">
        <v>41</v>
      </c>
      <c r="B44" s="117">
        <f>ROUND('USPS Base'!AC42*(1+PostalMarkup),2)</f>
        <v>39.64</v>
      </c>
    </row>
    <row r="45" spans="1:2" ht="12.75" customHeight="1">
      <c r="A45" s="23">
        <v>42</v>
      </c>
      <c r="B45" s="120">
        <f>ROUND('USPS Base'!AC43*(1+PostalMarkup),2)</f>
        <v>40.5</v>
      </c>
    </row>
    <row r="46" spans="1:2" ht="12.75" customHeight="1">
      <c r="A46" s="19">
        <v>43</v>
      </c>
      <c r="B46" s="120">
        <f>ROUND('USPS Base'!AC44*(1+PostalMarkup),2)</f>
        <v>41.37</v>
      </c>
    </row>
    <row r="47" spans="1:2" ht="12.75" customHeight="1">
      <c r="A47" s="19">
        <v>44</v>
      </c>
      <c r="B47" s="120">
        <f>ROUND('USPS Base'!AC45*(1+PostalMarkup),2)</f>
        <v>42.23</v>
      </c>
    </row>
    <row r="48" spans="1:2" ht="12.75" customHeight="1">
      <c r="A48" s="27">
        <v>45</v>
      </c>
      <c r="B48" s="120">
        <f>ROUND('USPS Base'!AC46*(1+PostalMarkup),2)</f>
        <v>43.09</v>
      </c>
    </row>
    <row r="49" spans="1:2" ht="12.75" customHeight="1">
      <c r="A49" s="13">
        <v>46</v>
      </c>
      <c r="B49" s="111">
        <f>ROUND('USPS Base'!AC47*(1+PostalMarkup),2)</f>
        <v>43.95</v>
      </c>
    </row>
    <row r="50" spans="1:2" ht="12.75" customHeight="1">
      <c r="A50" s="13">
        <v>47</v>
      </c>
      <c r="B50" s="113">
        <f>ROUND('USPS Base'!AC48*(1+PostalMarkup),2)</f>
        <v>44.82</v>
      </c>
    </row>
    <row r="51" spans="1:2" ht="12.75" customHeight="1">
      <c r="A51" s="13">
        <v>48</v>
      </c>
      <c r="B51" s="113">
        <f>ROUND('USPS Base'!AC49*(1+PostalMarkup),2)</f>
        <v>45.68</v>
      </c>
    </row>
    <row r="52" spans="1:2" ht="12.75" customHeight="1">
      <c r="A52" s="13">
        <v>49</v>
      </c>
      <c r="B52" s="113">
        <f>ROUND('USPS Base'!AC50*(1+PostalMarkup),2)</f>
        <v>46.54</v>
      </c>
    </row>
    <row r="53" spans="1:2" ht="12.75" customHeight="1">
      <c r="A53" s="13">
        <v>50</v>
      </c>
      <c r="B53" s="115">
        <f>ROUND('USPS Base'!AC51*(1+PostalMarkup),2)</f>
        <v>47.4</v>
      </c>
    </row>
    <row r="54" spans="1:2" ht="12.75" customHeight="1">
      <c r="A54" s="31">
        <v>51</v>
      </c>
      <c r="B54" s="117">
        <f>ROUND('USPS Base'!AC52*(1+PostalMarkup),2)</f>
        <v>48.27</v>
      </c>
    </row>
    <row r="55" spans="1:2" ht="12.75" customHeight="1">
      <c r="A55" s="19">
        <v>52</v>
      </c>
      <c r="B55" s="120">
        <f>ROUND('USPS Base'!AC53*(1+PostalMarkup),2)</f>
        <v>49.13</v>
      </c>
    </row>
    <row r="56" spans="1:2" ht="12.75" customHeight="1">
      <c r="A56" s="19">
        <v>53</v>
      </c>
      <c r="B56" s="120">
        <f>ROUND('USPS Base'!AC54*(1+PostalMarkup),2)</f>
        <v>49.99</v>
      </c>
    </row>
    <row r="57" spans="1:2" ht="12.75" customHeight="1">
      <c r="A57" s="19">
        <v>54</v>
      </c>
      <c r="B57" s="120">
        <f>ROUND('USPS Base'!AC55*(1+PostalMarkup),2)</f>
        <v>50.85</v>
      </c>
    </row>
    <row r="58" spans="1:2" ht="12.75" customHeight="1">
      <c r="A58" s="19">
        <v>55</v>
      </c>
      <c r="B58" s="123">
        <f>ROUND('USPS Base'!AC56*(1+PostalMarkup),2)</f>
        <v>51.72</v>
      </c>
    </row>
    <row r="59" spans="1:2" ht="12.75" customHeight="1">
      <c r="A59" s="32">
        <v>56</v>
      </c>
      <c r="B59" s="111">
        <f>ROUND('USPS Base'!AC57*(1+PostalMarkup),2)</f>
        <v>52.58</v>
      </c>
    </row>
    <row r="60" spans="1:2" ht="12.75" customHeight="1">
      <c r="A60" s="13">
        <v>57</v>
      </c>
      <c r="B60" s="113">
        <f>ROUND('USPS Base'!AC58*(1+PostalMarkup),2)</f>
        <v>53.44</v>
      </c>
    </row>
    <row r="61" spans="1:2" ht="12.75" customHeight="1">
      <c r="A61" s="13">
        <v>58</v>
      </c>
      <c r="B61" s="113">
        <f>ROUND('USPS Base'!AC59*(1+PostalMarkup),2)</f>
        <v>54.3</v>
      </c>
    </row>
    <row r="62" spans="1:2" ht="12.75" customHeight="1">
      <c r="A62" s="13">
        <v>59</v>
      </c>
      <c r="B62" s="113">
        <f>ROUND('USPS Base'!AC60*(1+PostalMarkup),2)</f>
        <v>55.17</v>
      </c>
    </row>
    <row r="63" spans="1:2" ht="12.75" customHeight="1">
      <c r="A63" s="16">
        <v>60</v>
      </c>
      <c r="B63" s="115">
        <f>ROUND('USPS Base'!AC61*(1+PostalMarkup),2)</f>
        <v>56.03</v>
      </c>
    </row>
    <row r="64" spans="1:2" ht="12.75" customHeight="1">
      <c r="A64" s="19">
        <v>61</v>
      </c>
      <c r="B64" s="117">
        <f>ROUND('USPS Base'!AC62*(1+PostalMarkup),2)</f>
        <v>56.89</v>
      </c>
    </row>
    <row r="65" spans="1:2" ht="12.75" customHeight="1">
      <c r="A65" s="23">
        <v>62</v>
      </c>
      <c r="B65" s="120">
        <f>ROUND('USPS Base'!AC63*(1+PostalMarkup),2)</f>
        <v>57.75</v>
      </c>
    </row>
    <row r="66" spans="1:2" ht="12.75" customHeight="1">
      <c r="A66" s="23">
        <v>63</v>
      </c>
      <c r="B66" s="120">
        <f>ROUND('USPS Base'!AC64*(1+PostalMarkup),2)</f>
        <v>58.62</v>
      </c>
    </row>
    <row r="67" spans="1:2" ht="12.75" customHeight="1">
      <c r="A67" s="23">
        <v>64</v>
      </c>
      <c r="B67" s="120">
        <f>ROUND('USPS Base'!AC65*(1+PostalMarkup),2)</f>
        <v>59.48</v>
      </c>
    </row>
    <row r="68" spans="1:2" ht="12.75" customHeight="1">
      <c r="A68" s="23">
        <v>65</v>
      </c>
      <c r="B68" s="123">
        <f>ROUND('USPS Base'!AC66*(1+PostalMarkup),2)</f>
        <v>60.34</v>
      </c>
    </row>
    <row r="69" spans="1:2" ht="12.75" customHeight="1">
      <c r="A69" s="9">
        <v>66</v>
      </c>
      <c r="B69" s="111">
        <f>ROUND('USPS Base'!AC67*(1+PostalMarkup),2)</f>
        <v>61.2</v>
      </c>
    </row>
    <row r="70" spans="1:2" ht="12.75" customHeight="1">
      <c r="A70" s="33">
        <v>67</v>
      </c>
      <c r="B70" s="113">
        <f>ROUND('USPS Base'!AC68*(1+PostalMarkup),2)</f>
        <v>62.07</v>
      </c>
    </row>
    <row r="71" spans="1:2" ht="12.75" customHeight="1">
      <c r="A71" s="33">
        <v>68</v>
      </c>
      <c r="B71" s="113">
        <f>ROUND('USPS Base'!AC69*(1+PostalMarkup),2)</f>
        <v>62.93</v>
      </c>
    </row>
    <row r="72" spans="1:2" ht="12.75" customHeight="1">
      <c r="A72" s="33">
        <v>69</v>
      </c>
      <c r="B72" s="113">
        <f>ROUND('USPS Base'!AC70*(1+PostalMarkup),2)</f>
        <v>63.79</v>
      </c>
    </row>
    <row r="73" spans="1:2" ht="12.75" customHeight="1">
      <c r="A73" s="16">
        <v>70</v>
      </c>
      <c r="B73" s="115">
        <f>ROUND('USPS Base'!AC71*(1+PostalMarkup),2)</f>
        <v>64.650000000000006</v>
      </c>
    </row>
    <row r="74" spans="1:2" ht="12.75" customHeight="1"/>
    <row r="75" spans="1:2" ht="12.75" customHeight="1"/>
    <row r="76" spans="1:2" ht="12.75" customHeight="1"/>
    <row r="77" spans="1:2" ht="12.75" customHeight="1"/>
    <row r="78" spans="1:2" ht="12.75" customHeight="1"/>
    <row r="79" spans="1:2" ht="12.75" customHeight="1"/>
    <row r="80" spans="1:2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F7F7F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6" width="8.5703125" customWidth="1"/>
    <col min="7" max="7" width="9.140625" customWidth="1"/>
    <col min="8" max="8" width="10.28515625" customWidth="1"/>
    <col min="9" max="12" width="8.5703125" customWidth="1"/>
    <col min="13" max="13" width="10.5703125" customWidth="1"/>
    <col min="14" max="15" width="8.5703125" customWidth="1"/>
    <col min="16" max="16" width="10.42578125" customWidth="1"/>
    <col min="17" max="26" width="8.5703125" customWidth="1"/>
  </cols>
  <sheetData>
    <row r="1" spans="1:26" ht="12.75" customHeight="1">
      <c r="A1" s="60"/>
      <c r="B1" s="220" t="s">
        <v>83</v>
      </c>
      <c r="C1" s="209"/>
      <c r="D1" s="209"/>
      <c r="E1" s="221">
        <f>ExpressIntResFeeWithFS</f>
        <v>4.83</v>
      </c>
      <c r="F1" s="60"/>
      <c r="G1" s="212" t="s">
        <v>84</v>
      </c>
      <c r="H1" s="232"/>
      <c r="I1" s="232"/>
      <c r="J1" s="232"/>
      <c r="K1" s="232"/>
      <c r="L1" s="232"/>
      <c r="M1" s="232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2.75" customHeight="1">
      <c r="A2" s="60"/>
      <c r="B2" s="213" t="s">
        <v>85</v>
      </c>
      <c r="C2" s="213"/>
      <c r="D2" s="213"/>
      <c r="E2" s="213"/>
      <c r="F2" s="60"/>
      <c r="G2" s="212" t="s">
        <v>123</v>
      </c>
      <c r="H2" s="232"/>
      <c r="I2" s="232"/>
      <c r="J2" s="233"/>
      <c r="K2" s="233"/>
      <c r="L2" s="232"/>
      <c r="M2" s="232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2.75" customHeight="1">
      <c r="A3" s="60"/>
      <c r="B3" s="213" t="s">
        <v>159</v>
      </c>
      <c r="C3" s="213"/>
      <c r="D3" s="213"/>
      <c r="E3" s="213"/>
      <c r="F3" s="60"/>
      <c r="G3" s="60"/>
      <c r="H3" s="60"/>
      <c r="I3" s="60"/>
      <c r="J3" s="213"/>
      <c r="K3" s="213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45.75" customHeight="1">
      <c r="A4" s="222"/>
      <c r="B4" s="223" t="s">
        <v>16</v>
      </c>
      <c r="C4" s="223" t="s">
        <v>16</v>
      </c>
      <c r="D4" s="223" t="s">
        <v>19</v>
      </c>
      <c r="E4" s="223" t="s">
        <v>20</v>
      </c>
      <c r="F4" s="223" t="s">
        <v>21</v>
      </c>
      <c r="G4" s="223" t="s">
        <v>22</v>
      </c>
      <c r="H4" s="223" t="s">
        <v>23</v>
      </c>
      <c r="I4" s="223" t="s">
        <v>24</v>
      </c>
      <c r="J4" s="223" t="s">
        <v>25</v>
      </c>
      <c r="K4" s="223" t="s">
        <v>26</v>
      </c>
      <c r="L4" s="223" t="s">
        <v>27</v>
      </c>
      <c r="M4" s="223" t="s">
        <v>28</v>
      </c>
      <c r="N4" s="223" t="s">
        <v>29</v>
      </c>
      <c r="O4" s="223" t="s">
        <v>30</v>
      </c>
      <c r="P4" s="223" t="s">
        <v>31</v>
      </c>
      <c r="Q4" s="223" t="s">
        <v>81</v>
      </c>
      <c r="R4" s="60"/>
      <c r="S4" s="60"/>
      <c r="T4" s="60"/>
      <c r="U4" s="60"/>
      <c r="V4" s="60"/>
      <c r="W4" s="60"/>
      <c r="X4" s="60"/>
      <c r="Y4" s="60"/>
      <c r="Z4" s="60"/>
    </row>
    <row r="5" spans="1:26" ht="12.75" customHeight="1">
      <c r="A5" s="215" t="s">
        <v>5</v>
      </c>
      <c r="B5" s="214" t="s">
        <v>32</v>
      </c>
      <c r="C5" s="214" t="s">
        <v>33</v>
      </c>
      <c r="D5" s="214" t="s">
        <v>34</v>
      </c>
      <c r="E5" s="214" t="s">
        <v>35</v>
      </c>
      <c r="F5" s="214" t="s">
        <v>36</v>
      </c>
      <c r="G5" s="214" t="s">
        <v>37</v>
      </c>
      <c r="H5" s="214" t="s">
        <v>38</v>
      </c>
      <c r="I5" s="214" t="s">
        <v>39</v>
      </c>
      <c r="J5" s="214" t="s">
        <v>40</v>
      </c>
      <c r="K5" s="214" t="s">
        <v>41</v>
      </c>
      <c r="L5" s="214" t="s">
        <v>42</v>
      </c>
      <c r="M5" s="214" t="s">
        <v>43</v>
      </c>
      <c r="N5" s="214" t="s">
        <v>44</v>
      </c>
      <c r="O5" s="214" t="s">
        <v>45</v>
      </c>
      <c r="P5" s="214" t="s">
        <v>46</v>
      </c>
      <c r="Q5" s="214" t="s">
        <v>12</v>
      </c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217" t="s">
        <v>96</v>
      </c>
      <c r="B6" s="231">
        <f>IF('Intl Priority'!$B$105&gt;ROUND(((1-IntPriorityDiscount-IntPriorityIncentive)*'Intl Priority'!B3),2),ROUND('Intl Priority'!$B$105*(1+International_Fuel_Surcharge),2),ROUND(((1-IntPriorityDiscount-IntPriorityIncentive)*'Intl Priority'!B3)*(1+International_Fuel_Surcharge),2))</f>
        <v>40.700000000000003</v>
      </c>
      <c r="C6" s="231">
        <f>IF('Intl Priority'!$C$105&gt;ROUND(((1-IntPriorityDiscount-IntPriorityIncentive)*'Intl Priority'!C3),2),ROUND('Intl Priority'!$C$105*(1+International_Fuel_Surcharge),2),ROUND(((1-IntPriorityDiscount-IntPriorityIncentive)*'Intl Priority'!C3)*(1+International_Fuel_Surcharge),2))</f>
        <v>44.87</v>
      </c>
      <c r="D6" s="231">
        <f>IF('Intl Priority'!$D$105&gt;ROUND(((1-IntPriorityDiscount-IntPriorityIncentive)*'Intl Priority'!D3),2),ROUND('Intl Priority'!$D$105*(1+International_Fuel_Surcharge),2),ROUND(((1-IntPriorityDiscount-IntPriorityIncentive)*'Intl Priority'!D3)*(1+International_Fuel_Surcharge),2))</f>
        <v>39.81</v>
      </c>
      <c r="E6" s="231">
        <f>IF('Intl Priority'!$E$105&gt;ROUND(((1-IntPriorityDiscount-IntPriorityIncentive)*'Intl Priority'!E3),2),ROUND('Intl Priority'!$E$105*(1+International_Fuel_Surcharge),2),ROUND(((1-IntPriorityDiscount-IntPriorityIncentive)*'Intl Priority'!E3)*(1+International_Fuel_Surcharge),2))</f>
        <v>52.5</v>
      </c>
      <c r="F6" s="231">
        <f>IF('Intl Priority'!$F$105&gt;ROUND(((1-IntPriorityDiscount-IntPriorityIncentive)*'Intl Priority'!F3),2),ROUND('Intl Priority'!$F$105*(1+International_Fuel_Surcharge),2),ROUND(((1-IntPriorityDiscount-IntPriorityIncentive)*'Intl Priority'!F3)*(1+International_Fuel_Surcharge),2))</f>
        <v>77.27</v>
      </c>
      <c r="G6" s="231">
        <f>IF('Intl Priority'!$G$105&gt;ROUND(((1-IntPriorityDiscount-IntPriorityIncentive)*'Intl Priority'!G3),2),ROUND('Intl Priority'!$G$105*(1+International_Fuel_Surcharge),2),ROUND(((1-IntPriorityDiscount-IntPriorityIncentive)*'Intl Priority'!G3)*(1+International_Fuel_Surcharge),2))</f>
        <v>49.26</v>
      </c>
      <c r="H6" s="231">
        <f>IF('Intl Priority'!$H$105&gt;ROUND(((1-IntPriorityDiscount-IntPriorityIncentive)*'Intl Priority'!H3),2),ROUND('Intl Priority'!$H$105*(1+International_Fuel_Surcharge),2),ROUND(((1-IntPriorityDiscount-IntPriorityIncentive)*'Intl Priority'!H3)*(1+International_Fuel_Surcharge),2))</f>
        <v>47.55</v>
      </c>
      <c r="I6" s="231">
        <f>IF('Intl Priority'!$I$105&gt;ROUND(((1-IntPriorityDiscount-IntPriorityIncentive)*'Intl Priority'!I3),2),ROUND('Intl Priority'!$I$105*(1+International_Fuel_Surcharge),2),ROUND(((1-IntPriorityDiscount-IntPriorityIncentive)*'Intl Priority'!I3)*(1+International_Fuel_Surcharge),2))</f>
        <v>55.94</v>
      </c>
      <c r="J6" s="231">
        <f>IF('Intl Priority'!$J$105&gt;ROUND(((1-IntPriorityDiscount-IntPriorityIncentive)*'Intl Priority'!J3),2),ROUND('Intl Priority'!$J$105*(1+International_Fuel_Surcharge),2),ROUND(((1-IntPriorityDiscount-IntPriorityIncentive)*'Intl Priority'!J3)*(1+International_Fuel_Surcharge),2))</f>
        <v>47.98</v>
      </c>
      <c r="K6" s="231">
        <f>IF('Intl Priority'!$K$105&gt;ROUND(((1-IntPriorityDiscount-IntPriorityIncentive)*'Intl Priority'!K3),2),ROUND('Intl Priority'!$K$105*(1+International_Fuel_Surcharge),2),ROUND(((1-IntPriorityDiscount-IntPriorityIncentive)*'Intl Priority'!K3)*(1+International_Fuel_Surcharge),2))</f>
        <v>56.83</v>
      </c>
      <c r="L6" s="231">
        <f>IF('Intl Priority'!$L$105&gt;ROUND(((1-IntPriorityDiscount-IntPriorityIncentive)*'Intl Priority'!L3),2),ROUND('Intl Priority'!$L$105*(1+International_Fuel_Surcharge),2),ROUND(((1-IntPriorityDiscount-IntPriorityIncentive)*'Intl Priority'!L3)*(1+International_Fuel_Surcharge),2))</f>
        <v>55.54</v>
      </c>
      <c r="M6" s="231">
        <f>IF('Intl Priority'!$M$105&gt;ROUND(((1-IntPriorityDiscount-IntPriorityIncentive)*'Intl Priority'!M3),2),ROUND('Intl Priority'!$M$105*(1+International_Fuel_Surcharge),2),ROUND(((1-IntPriorityDiscount-IntPriorityIncentive)*'Intl Priority'!M3)*(1+International_Fuel_Surcharge),2))</f>
        <v>65.64</v>
      </c>
      <c r="N6" s="231">
        <f>IF('Intl Priority'!$N$105&gt;ROUND(((1-IntPriorityDiscount-IntPriorityIncentive)*'Intl Priority'!N3),2),ROUND('Intl Priority'!$N$105*(1+International_Fuel_Surcharge),2),ROUND(((1-IntPriorityDiscount-IntPriorityIncentive)*'Intl Priority'!N3)*(1+International_Fuel_Surcharge),2))</f>
        <v>81.5</v>
      </c>
      <c r="O6" s="231">
        <f>IF('Intl Priority'!$O$105&gt;ROUND(((1-IntPriorityDiscount-IntPriorityIncentive)*'Intl Priority'!O3),2),ROUND('Intl Priority'!$O$105*(1+International_Fuel_Surcharge),2),ROUND(((1-IntPriorityDiscount-IntPriorityIncentive)*'Intl Priority'!O3)*(1+International_Fuel_Surcharge),2))</f>
        <v>54.2</v>
      </c>
      <c r="P6" s="231">
        <f>IF('Intl Priority'!$P$105&gt;ROUND(((1-IntPriorityDiscount-IntPriorityIncentive)*'Intl Priority'!P3),2),ROUND('Intl Priority'!$P$105*(1+International_Fuel_Surcharge),2),ROUND(((1-IntPriorityDiscount-IntPriorityIncentive)*'Intl Priority'!P3)*(1+International_Fuel_Surcharge),2))</f>
        <v>60.44</v>
      </c>
      <c r="Q6" s="231">
        <f>IF('Intl Priority'!$Q$105&gt;ROUND(((1-PuertoRicoDiscount)*'Intl Priority'!Q3),2),ROUND('Intl Priority'!$Q$105*(1+International_Fuel_Surcharge),2),ROUND(((1-PuertoRicoDiscount)*'Intl Priority'!Q3)*(1+International_Fuel_Surcharge),2))</f>
        <v>69.52</v>
      </c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217">
        <v>2</v>
      </c>
      <c r="B7" s="231">
        <f>IF('Intl Priority'!$B$105&gt;ROUND(((1-IntPriorityDiscount-IntPriorityIncentive)*'Intl Priority'!B4),2),ROUND('Intl Priority'!$B$105*(1+International_Fuel_Surcharge),2),ROUND(((1-IntPriorityDiscount-IntPriorityIncentive)*'Intl Priority'!B4)*(1+International_Fuel_Surcharge),2))</f>
        <v>40.700000000000003</v>
      </c>
      <c r="C7" s="231">
        <f>IF('Intl Priority'!$C$105&gt;ROUND(((1-IntPriorityDiscount-IntPriorityIncentive)*'Intl Priority'!C4),2),ROUND('Intl Priority'!$C$105*(1+International_Fuel_Surcharge),2),ROUND(((1-IntPriorityDiscount-IntPriorityIncentive)*'Intl Priority'!C4)*(1+International_Fuel_Surcharge),2))</f>
        <v>44.87</v>
      </c>
      <c r="D7" s="231">
        <f>IF('Intl Priority'!$D$105&gt;ROUND(((1-IntPriorityDiscount-IntPriorityIncentive)*'Intl Priority'!D4),2),ROUND('Intl Priority'!$D$105*(1+International_Fuel_Surcharge),2),ROUND(((1-IntPriorityDiscount-IntPriorityIncentive)*'Intl Priority'!D4)*(1+International_Fuel_Surcharge),2))</f>
        <v>39.81</v>
      </c>
      <c r="E7" s="231">
        <f>IF('Intl Priority'!$E$105&gt;ROUND(((1-IntPriorityDiscount-IntPriorityIncentive)*'Intl Priority'!E4),2),ROUND('Intl Priority'!$E$105*(1+International_Fuel_Surcharge),2),ROUND(((1-IntPriorityDiscount-IntPriorityIncentive)*'Intl Priority'!E4)*(1+International_Fuel_Surcharge),2))</f>
        <v>52.5</v>
      </c>
      <c r="F7" s="231">
        <f>IF('Intl Priority'!$F$105&gt;ROUND(((1-IntPriorityDiscount-IntPriorityIncentive)*'Intl Priority'!F4),2),ROUND('Intl Priority'!$F$105*(1+International_Fuel_Surcharge),2),ROUND(((1-IntPriorityDiscount-IntPriorityIncentive)*'Intl Priority'!F4)*(1+International_Fuel_Surcharge),2))</f>
        <v>77.27</v>
      </c>
      <c r="G7" s="231">
        <f>IF('Intl Priority'!$G$105&gt;ROUND(((1-IntPriorityDiscount-IntPriorityIncentive)*'Intl Priority'!G4),2),ROUND('Intl Priority'!$G$105*(1+International_Fuel_Surcharge),2),ROUND(((1-IntPriorityDiscount-IntPriorityIncentive)*'Intl Priority'!G4)*(1+International_Fuel_Surcharge),2))</f>
        <v>49.26</v>
      </c>
      <c r="H7" s="231">
        <f>IF('Intl Priority'!$H$105&gt;ROUND(((1-IntPriorityDiscount-IntPriorityIncentive)*'Intl Priority'!H4),2),ROUND('Intl Priority'!$H$105*(1+International_Fuel_Surcharge),2),ROUND(((1-IntPriorityDiscount-IntPriorityIncentive)*'Intl Priority'!H4)*(1+International_Fuel_Surcharge),2))</f>
        <v>47.55</v>
      </c>
      <c r="I7" s="231">
        <f>IF('Intl Priority'!$I$105&gt;ROUND(((1-IntPriorityDiscount-IntPriorityIncentive)*'Intl Priority'!I4),2),ROUND('Intl Priority'!$I$105*(1+International_Fuel_Surcharge),2),ROUND(((1-IntPriorityDiscount-IntPriorityIncentive)*'Intl Priority'!I4)*(1+International_Fuel_Surcharge),2))</f>
        <v>55.94</v>
      </c>
      <c r="J7" s="231">
        <f>IF('Intl Priority'!$J$105&gt;ROUND(((1-IntPriorityDiscount-IntPriorityIncentive)*'Intl Priority'!J4),2),ROUND('Intl Priority'!$J$105*(1+International_Fuel_Surcharge),2),ROUND(((1-IntPriorityDiscount-IntPriorityIncentive)*'Intl Priority'!J4)*(1+International_Fuel_Surcharge),2))</f>
        <v>47.98</v>
      </c>
      <c r="K7" s="231">
        <f>IF('Intl Priority'!$K$105&gt;ROUND(((1-IntPriorityDiscount-IntPriorityIncentive)*'Intl Priority'!K4),2),ROUND('Intl Priority'!$K$105*(1+International_Fuel_Surcharge),2),ROUND(((1-IntPriorityDiscount-IntPriorityIncentive)*'Intl Priority'!K4)*(1+International_Fuel_Surcharge),2))</f>
        <v>56.83</v>
      </c>
      <c r="L7" s="231">
        <f>IF('Intl Priority'!$L$105&gt;ROUND(((1-IntPriorityDiscount-IntPriorityIncentive)*'Intl Priority'!L4),2),ROUND('Intl Priority'!$L$105*(1+International_Fuel_Surcharge),2),ROUND(((1-IntPriorityDiscount-IntPriorityIncentive)*'Intl Priority'!L4)*(1+International_Fuel_Surcharge),2))</f>
        <v>55.54</v>
      </c>
      <c r="M7" s="231">
        <f>IF('Intl Priority'!$M$105&gt;ROUND(((1-IntPriorityDiscount-IntPriorityIncentive)*'Intl Priority'!M4),2),ROUND('Intl Priority'!$M$105*(1+International_Fuel_Surcharge),2),ROUND(((1-IntPriorityDiscount-IntPriorityIncentive)*'Intl Priority'!M4)*(1+International_Fuel_Surcharge),2))</f>
        <v>65.64</v>
      </c>
      <c r="N7" s="231">
        <f>IF('Intl Priority'!$N$105&gt;ROUND(((1-IntPriorityDiscount-IntPriorityIncentive)*'Intl Priority'!N4),2),ROUND('Intl Priority'!$N$105*(1+International_Fuel_Surcharge),2),ROUND(((1-IntPriorityDiscount-IntPriorityIncentive)*'Intl Priority'!N4)*(1+International_Fuel_Surcharge),2))</f>
        <v>81.5</v>
      </c>
      <c r="O7" s="231">
        <f>IF('Intl Priority'!$O$105&gt;ROUND(((1-IntPriorityDiscount-IntPriorityIncentive)*'Intl Priority'!O4),2),ROUND('Intl Priority'!$O$105*(1+International_Fuel_Surcharge),2),ROUND(((1-IntPriorityDiscount-IntPriorityIncentive)*'Intl Priority'!O4)*(1+International_Fuel_Surcharge),2))</f>
        <v>54.2</v>
      </c>
      <c r="P7" s="231">
        <f>IF('Intl Priority'!$P$105&gt;ROUND(((1-IntPriorityDiscount-IntPriorityIncentive)*'Intl Priority'!P4),2),ROUND('Intl Priority'!$P$105*(1+International_Fuel_Surcharge),2),ROUND(((1-IntPriorityDiscount-IntPriorityIncentive)*'Intl Priority'!P4)*(1+International_Fuel_Surcharge),2))</f>
        <v>60.44</v>
      </c>
      <c r="Q7" s="231">
        <f>IF('Intl Priority'!$Q$105&gt;ROUND(((1-PuertoRicoDiscount)*'Intl Priority'!Q4),2),ROUND('Intl Priority'!$Q$105*(1+International_Fuel_Surcharge),2),ROUND(((1-PuertoRicoDiscount)*'Intl Priority'!Q4)*(1+International_Fuel_Surcharge),2))</f>
        <v>75.87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217">
        <v>3</v>
      </c>
      <c r="B8" s="231">
        <f>IF('Intl Priority'!$B$105&gt;ROUND(((1-IntPriorityDiscount-IntPriorityIncentive)*'Intl Priority'!B5),2),ROUND('Intl Priority'!$B$105*(1+International_Fuel_Surcharge),2),ROUND(((1-IntPriorityDiscount-IntPriorityIncentive)*'Intl Priority'!B5)*(1+International_Fuel_Surcharge),2))</f>
        <v>40.700000000000003</v>
      </c>
      <c r="C8" s="231">
        <f>IF('Intl Priority'!$C$105&gt;ROUND(((1-IntPriorityDiscount-IntPriorityIncentive)*'Intl Priority'!C5),2),ROUND('Intl Priority'!$C$105*(1+International_Fuel_Surcharge),2),ROUND(((1-IntPriorityDiscount-IntPriorityIncentive)*'Intl Priority'!C5)*(1+International_Fuel_Surcharge),2))</f>
        <v>44.87</v>
      </c>
      <c r="D8" s="231">
        <f>IF('Intl Priority'!$D$105&gt;ROUND(((1-IntPriorityDiscount-IntPriorityIncentive)*'Intl Priority'!D5),2),ROUND('Intl Priority'!$D$105*(1+International_Fuel_Surcharge),2),ROUND(((1-IntPriorityDiscount-IntPriorityIncentive)*'Intl Priority'!D5)*(1+International_Fuel_Surcharge),2))</f>
        <v>39.81</v>
      </c>
      <c r="E8" s="231">
        <f>IF('Intl Priority'!$E$105&gt;ROUND(((1-IntPriorityDiscount-IntPriorityIncentive)*'Intl Priority'!E5),2),ROUND('Intl Priority'!$E$105*(1+International_Fuel_Surcharge),2),ROUND(((1-IntPriorityDiscount-IntPriorityIncentive)*'Intl Priority'!E5)*(1+International_Fuel_Surcharge),2))</f>
        <v>52.5</v>
      </c>
      <c r="F8" s="231">
        <f>IF('Intl Priority'!$F$105&gt;ROUND(((1-IntPriorityDiscount-IntPriorityIncentive)*'Intl Priority'!F5),2),ROUND('Intl Priority'!$F$105*(1+International_Fuel_Surcharge),2),ROUND(((1-IntPriorityDiscount-IntPriorityIncentive)*'Intl Priority'!F5)*(1+International_Fuel_Surcharge),2))</f>
        <v>77.27</v>
      </c>
      <c r="G8" s="231">
        <f>IF('Intl Priority'!$G$105&gt;ROUND(((1-IntPriorityDiscount-IntPriorityIncentive)*'Intl Priority'!G5),2),ROUND('Intl Priority'!$G$105*(1+International_Fuel_Surcharge),2),ROUND(((1-IntPriorityDiscount-IntPriorityIncentive)*'Intl Priority'!G5)*(1+International_Fuel_Surcharge),2))</f>
        <v>49.26</v>
      </c>
      <c r="H8" s="231">
        <f>IF('Intl Priority'!$H$105&gt;ROUND(((1-IntPriorityDiscount-IntPriorityIncentive)*'Intl Priority'!H5),2),ROUND('Intl Priority'!$H$105*(1+International_Fuel_Surcharge),2),ROUND(((1-IntPriorityDiscount-IntPriorityIncentive)*'Intl Priority'!H5)*(1+International_Fuel_Surcharge),2))</f>
        <v>47.55</v>
      </c>
      <c r="I8" s="231">
        <f>IF('Intl Priority'!$I$105&gt;ROUND(((1-IntPriorityDiscount-IntPriorityIncentive)*'Intl Priority'!I5),2),ROUND('Intl Priority'!$I$105*(1+International_Fuel_Surcharge),2),ROUND(((1-IntPriorityDiscount-IntPriorityIncentive)*'Intl Priority'!I5)*(1+International_Fuel_Surcharge),2))</f>
        <v>55.94</v>
      </c>
      <c r="J8" s="231">
        <f>IF('Intl Priority'!$J$105&gt;ROUND(((1-IntPriorityDiscount-IntPriorityIncentive)*'Intl Priority'!J5),2),ROUND('Intl Priority'!$J$105*(1+International_Fuel_Surcharge),2),ROUND(((1-IntPriorityDiscount-IntPriorityIncentive)*'Intl Priority'!J5)*(1+International_Fuel_Surcharge),2))</f>
        <v>47.98</v>
      </c>
      <c r="K8" s="231">
        <f>IF('Intl Priority'!$K$105&gt;ROUND(((1-IntPriorityDiscount-IntPriorityIncentive)*'Intl Priority'!K5),2),ROUND('Intl Priority'!$K$105*(1+International_Fuel_Surcharge),2),ROUND(((1-IntPriorityDiscount-IntPriorityIncentive)*'Intl Priority'!K5)*(1+International_Fuel_Surcharge),2))</f>
        <v>56.83</v>
      </c>
      <c r="L8" s="231">
        <f>IF('Intl Priority'!$L$105&gt;ROUND(((1-IntPriorityDiscount-IntPriorityIncentive)*'Intl Priority'!L5),2),ROUND('Intl Priority'!$L$105*(1+International_Fuel_Surcharge),2),ROUND(((1-IntPriorityDiscount-IntPriorityIncentive)*'Intl Priority'!L5)*(1+International_Fuel_Surcharge),2))</f>
        <v>55.54</v>
      </c>
      <c r="M8" s="231">
        <f>IF('Intl Priority'!$M$105&gt;ROUND(((1-IntPriorityDiscount-IntPriorityIncentive)*'Intl Priority'!M5),2),ROUND('Intl Priority'!$M$105*(1+International_Fuel_Surcharge),2),ROUND(((1-IntPriorityDiscount-IntPriorityIncentive)*'Intl Priority'!M5)*(1+International_Fuel_Surcharge),2))</f>
        <v>65.64</v>
      </c>
      <c r="N8" s="231">
        <f>IF('Intl Priority'!$N$105&gt;ROUND(((1-IntPriorityDiscount-IntPriorityIncentive)*'Intl Priority'!N5),2),ROUND('Intl Priority'!$N$105*(1+International_Fuel_Surcharge),2),ROUND(((1-IntPriorityDiscount-IntPriorityIncentive)*'Intl Priority'!N5)*(1+International_Fuel_Surcharge),2))</f>
        <v>81.5</v>
      </c>
      <c r="O8" s="231">
        <f>IF('Intl Priority'!$O$105&gt;ROUND(((1-IntPriorityDiscount-IntPriorityIncentive)*'Intl Priority'!O5),2),ROUND('Intl Priority'!$O$105*(1+International_Fuel_Surcharge),2),ROUND(((1-IntPriorityDiscount-IntPriorityIncentive)*'Intl Priority'!O5)*(1+International_Fuel_Surcharge),2))</f>
        <v>54.2</v>
      </c>
      <c r="P8" s="231">
        <f>IF('Intl Priority'!$P$105&gt;ROUND(((1-IntPriorityDiscount-IntPriorityIncentive)*'Intl Priority'!P5),2),ROUND('Intl Priority'!$P$105*(1+International_Fuel_Surcharge),2),ROUND(((1-IntPriorityDiscount-IntPriorityIncentive)*'Intl Priority'!P5)*(1+International_Fuel_Surcharge),2))</f>
        <v>60.44</v>
      </c>
      <c r="Q8" s="231">
        <f>IF('Intl Priority'!$Q$105&gt;ROUND(((1-PuertoRicoDiscount)*'Intl Priority'!Q5),2),ROUND('Intl Priority'!$Q$105*(1+International_Fuel_Surcharge),2),ROUND(((1-PuertoRicoDiscount)*'Intl Priority'!Q5)*(1+International_Fuel_Surcharge),2))</f>
        <v>84.6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17">
        <v>4</v>
      </c>
      <c r="B9" s="231">
        <f>IF('Intl Priority'!$B$105&gt;ROUND(((1-IntPriorityDiscount-IntPriorityIncentive)*'Intl Priority'!B6),2),ROUND('Intl Priority'!$B$105*(1+International_Fuel_Surcharge),2),ROUND(((1-IntPriorityDiscount-IntPriorityIncentive)*'Intl Priority'!B6)*(1+International_Fuel_Surcharge),2))</f>
        <v>40.700000000000003</v>
      </c>
      <c r="C9" s="231">
        <f>IF('Intl Priority'!$C$105&gt;ROUND(((1-IntPriorityDiscount-IntPriorityIncentive)*'Intl Priority'!C6),2),ROUND('Intl Priority'!$C$105*(1+International_Fuel_Surcharge),2),ROUND(((1-IntPriorityDiscount-IntPriorityIncentive)*'Intl Priority'!C6)*(1+International_Fuel_Surcharge),2))</f>
        <v>44.87</v>
      </c>
      <c r="D9" s="231">
        <f>IF('Intl Priority'!$D$105&gt;ROUND(((1-IntPriorityDiscount-IntPriorityIncentive)*'Intl Priority'!D6),2),ROUND('Intl Priority'!$D$105*(1+International_Fuel_Surcharge),2),ROUND(((1-IntPriorityDiscount-IntPriorityIncentive)*'Intl Priority'!D6)*(1+International_Fuel_Surcharge),2))</f>
        <v>39.81</v>
      </c>
      <c r="E9" s="231">
        <f>IF('Intl Priority'!$E$105&gt;ROUND(((1-IntPriorityDiscount-IntPriorityIncentive)*'Intl Priority'!E6),2),ROUND('Intl Priority'!$E$105*(1+International_Fuel_Surcharge),2),ROUND(((1-IntPriorityDiscount-IntPriorityIncentive)*'Intl Priority'!E6)*(1+International_Fuel_Surcharge),2))</f>
        <v>52.5</v>
      </c>
      <c r="F9" s="231">
        <f>IF('Intl Priority'!$F$105&gt;ROUND(((1-IntPriorityDiscount-IntPriorityIncentive)*'Intl Priority'!F6),2),ROUND('Intl Priority'!$F$105*(1+International_Fuel_Surcharge),2),ROUND(((1-IntPriorityDiscount-IntPriorityIncentive)*'Intl Priority'!F6)*(1+International_Fuel_Surcharge),2))</f>
        <v>77.27</v>
      </c>
      <c r="G9" s="231">
        <f>IF('Intl Priority'!$G$105&gt;ROUND(((1-IntPriorityDiscount-IntPriorityIncentive)*'Intl Priority'!G6),2),ROUND('Intl Priority'!$G$105*(1+International_Fuel_Surcharge),2),ROUND(((1-IntPriorityDiscount-IntPriorityIncentive)*'Intl Priority'!G6)*(1+International_Fuel_Surcharge),2))</f>
        <v>49.26</v>
      </c>
      <c r="H9" s="231">
        <f>IF('Intl Priority'!$H$105&gt;ROUND(((1-IntPriorityDiscount-IntPriorityIncentive)*'Intl Priority'!H6),2),ROUND('Intl Priority'!$H$105*(1+International_Fuel_Surcharge),2),ROUND(((1-IntPriorityDiscount-IntPriorityIncentive)*'Intl Priority'!H6)*(1+International_Fuel_Surcharge),2))</f>
        <v>47.55</v>
      </c>
      <c r="I9" s="231">
        <f>IF('Intl Priority'!$I$105&gt;ROUND(((1-IntPriorityDiscount-IntPriorityIncentive)*'Intl Priority'!I6),2),ROUND('Intl Priority'!$I$105*(1+International_Fuel_Surcharge),2),ROUND(((1-IntPriorityDiscount-IntPriorityIncentive)*'Intl Priority'!I6)*(1+International_Fuel_Surcharge),2))</f>
        <v>55.94</v>
      </c>
      <c r="J9" s="231">
        <f>IF('Intl Priority'!$J$105&gt;ROUND(((1-IntPriorityDiscount-IntPriorityIncentive)*'Intl Priority'!J6),2),ROUND('Intl Priority'!$J$105*(1+International_Fuel_Surcharge),2),ROUND(((1-IntPriorityDiscount-IntPriorityIncentive)*'Intl Priority'!J6)*(1+International_Fuel_Surcharge),2))</f>
        <v>47.98</v>
      </c>
      <c r="K9" s="231">
        <f>IF('Intl Priority'!$K$105&gt;ROUND(((1-IntPriorityDiscount-IntPriorityIncentive)*'Intl Priority'!K6),2),ROUND('Intl Priority'!$K$105*(1+International_Fuel_Surcharge),2),ROUND(((1-IntPriorityDiscount-IntPriorityIncentive)*'Intl Priority'!K6)*(1+International_Fuel_Surcharge),2))</f>
        <v>56.83</v>
      </c>
      <c r="L9" s="231">
        <f>IF('Intl Priority'!$L$105&gt;ROUND(((1-IntPriorityDiscount-IntPriorityIncentive)*'Intl Priority'!L6),2),ROUND('Intl Priority'!$L$105*(1+International_Fuel_Surcharge),2),ROUND(((1-IntPriorityDiscount-IntPriorityIncentive)*'Intl Priority'!L6)*(1+International_Fuel_Surcharge),2))</f>
        <v>55.54</v>
      </c>
      <c r="M9" s="231">
        <f>IF('Intl Priority'!$M$105&gt;ROUND(((1-IntPriorityDiscount-IntPriorityIncentive)*'Intl Priority'!M6),2),ROUND('Intl Priority'!$M$105*(1+International_Fuel_Surcharge),2),ROUND(((1-IntPriorityDiscount-IntPriorityIncentive)*'Intl Priority'!M6)*(1+International_Fuel_Surcharge),2))</f>
        <v>67.11</v>
      </c>
      <c r="N9" s="231">
        <f>IF('Intl Priority'!$N$105&gt;ROUND(((1-IntPriorityDiscount-IntPriorityIncentive)*'Intl Priority'!N6),2),ROUND('Intl Priority'!$N$105*(1+International_Fuel_Surcharge),2),ROUND(((1-IntPriorityDiscount-IntPriorityIncentive)*'Intl Priority'!N6)*(1+International_Fuel_Surcharge),2))</f>
        <v>81.5</v>
      </c>
      <c r="O9" s="231">
        <f>IF('Intl Priority'!$O$105&gt;ROUND(((1-IntPriorityDiscount-IntPriorityIncentive)*'Intl Priority'!O6),2),ROUND('Intl Priority'!$O$105*(1+International_Fuel_Surcharge),2),ROUND(((1-IntPriorityDiscount-IntPriorityIncentive)*'Intl Priority'!O6)*(1+International_Fuel_Surcharge),2))</f>
        <v>54.2</v>
      </c>
      <c r="P9" s="231">
        <f>IF('Intl Priority'!$P$105&gt;ROUND(((1-IntPriorityDiscount-IntPriorityIncentive)*'Intl Priority'!P6),2),ROUND('Intl Priority'!$P$105*(1+International_Fuel_Surcharge),2),ROUND(((1-IntPriorityDiscount-IntPriorityIncentive)*'Intl Priority'!P6)*(1+International_Fuel_Surcharge),2))</f>
        <v>60.44</v>
      </c>
      <c r="Q9" s="231">
        <f>IF('Intl Priority'!$Q$105&gt;ROUND(((1-PuertoRicoDiscount)*'Intl Priority'!Q6),2),ROUND('Intl Priority'!$Q$105*(1+International_Fuel_Surcharge),2),ROUND(((1-PuertoRicoDiscount)*'Intl Priority'!Q6)*(1+International_Fuel_Surcharge),2))</f>
        <v>92.35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217">
        <v>5</v>
      </c>
      <c r="B10" s="231">
        <f>IF('Intl Priority'!$B$105&gt;ROUND(((1-IntPriorityDiscount-IntPriorityIncentive)*'Intl Priority'!B7),2),ROUND('Intl Priority'!$B$105*(1+International_Fuel_Surcharge),2),ROUND(((1-IntPriorityDiscount-IntPriorityIncentive)*'Intl Priority'!B7)*(1+International_Fuel_Surcharge),2))</f>
        <v>40.700000000000003</v>
      </c>
      <c r="C10" s="231">
        <f>IF('Intl Priority'!$C$105&gt;ROUND(((1-IntPriorityDiscount-IntPriorityIncentive)*'Intl Priority'!C7),2),ROUND('Intl Priority'!$C$105*(1+International_Fuel_Surcharge),2),ROUND(((1-IntPriorityDiscount-IntPriorityIncentive)*'Intl Priority'!C7)*(1+International_Fuel_Surcharge),2))</f>
        <v>44.87</v>
      </c>
      <c r="D10" s="231">
        <f>IF('Intl Priority'!$D$105&gt;ROUND(((1-IntPriorityDiscount-IntPriorityIncentive)*'Intl Priority'!D7),2),ROUND('Intl Priority'!$D$105*(1+International_Fuel_Surcharge),2),ROUND(((1-IntPriorityDiscount-IntPriorityIncentive)*'Intl Priority'!D7)*(1+International_Fuel_Surcharge),2))</f>
        <v>40.72</v>
      </c>
      <c r="E10" s="231">
        <f>IF('Intl Priority'!$E$105&gt;ROUND(((1-IntPriorityDiscount-IntPriorityIncentive)*'Intl Priority'!E7),2),ROUND('Intl Priority'!$E$105*(1+International_Fuel_Surcharge),2),ROUND(((1-IntPriorityDiscount-IntPriorityIncentive)*'Intl Priority'!E7)*(1+International_Fuel_Surcharge),2))</f>
        <v>52.5</v>
      </c>
      <c r="F10" s="231">
        <f>IF('Intl Priority'!$F$105&gt;ROUND(((1-IntPriorityDiscount-IntPriorityIncentive)*'Intl Priority'!F7),2),ROUND('Intl Priority'!$F$105*(1+International_Fuel_Surcharge),2),ROUND(((1-IntPriorityDiscount-IntPriorityIncentive)*'Intl Priority'!F7)*(1+International_Fuel_Surcharge),2))</f>
        <v>81.99</v>
      </c>
      <c r="G10" s="231">
        <f>IF('Intl Priority'!$G$105&gt;ROUND(((1-IntPriorityDiscount-IntPriorityIncentive)*'Intl Priority'!G7),2),ROUND('Intl Priority'!$G$105*(1+International_Fuel_Surcharge),2),ROUND(((1-IntPriorityDiscount-IntPriorityIncentive)*'Intl Priority'!G7)*(1+International_Fuel_Surcharge),2))</f>
        <v>51.86</v>
      </c>
      <c r="H10" s="231">
        <f>IF('Intl Priority'!$H$105&gt;ROUND(((1-IntPriorityDiscount-IntPriorityIncentive)*'Intl Priority'!H7),2),ROUND('Intl Priority'!$H$105*(1+International_Fuel_Surcharge),2),ROUND(((1-IntPriorityDiscount-IntPriorityIncentive)*'Intl Priority'!H7)*(1+International_Fuel_Surcharge),2))</f>
        <v>56.09</v>
      </c>
      <c r="I10" s="231">
        <f>IF('Intl Priority'!$I$105&gt;ROUND(((1-IntPriorityDiscount-IntPriorityIncentive)*'Intl Priority'!I7),2),ROUND('Intl Priority'!$I$105*(1+International_Fuel_Surcharge),2),ROUND(((1-IntPriorityDiscount-IntPriorityIncentive)*'Intl Priority'!I7)*(1+International_Fuel_Surcharge),2))</f>
        <v>55.94</v>
      </c>
      <c r="J10" s="231">
        <f>IF('Intl Priority'!$J$105&gt;ROUND(((1-IntPriorityDiscount-IntPriorityIncentive)*'Intl Priority'!J7),2),ROUND('Intl Priority'!$J$105*(1+International_Fuel_Surcharge),2),ROUND(((1-IntPriorityDiscount-IntPriorityIncentive)*'Intl Priority'!J7)*(1+International_Fuel_Surcharge),2))</f>
        <v>47.98</v>
      </c>
      <c r="K10" s="231">
        <f>IF('Intl Priority'!$K$105&gt;ROUND(((1-IntPriorityDiscount-IntPriorityIncentive)*'Intl Priority'!K7),2),ROUND('Intl Priority'!$K$105*(1+International_Fuel_Surcharge),2),ROUND(((1-IntPriorityDiscount-IntPriorityIncentive)*'Intl Priority'!K7)*(1+International_Fuel_Surcharge),2))</f>
        <v>62.55</v>
      </c>
      <c r="L10" s="231">
        <f>IF('Intl Priority'!$L$105&gt;ROUND(((1-IntPriorityDiscount-IntPriorityIncentive)*'Intl Priority'!L7),2),ROUND('Intl Priority'!$L$105*(1+International_Fuel_Surcharge),2),ROUND(((1-IntPriorityDiscount-IntPriorityIncentive)*'Intl Priority'!L7)*(1+International_Fuel_Surcharge),2))</f>
        <v>61.21</v>
      </c>
      <c r="M10" s="231">
        <f>IF('Intl Priority'!$M$105&gt;ROUND(((1-IntPriorityDiscount-IntPriorityIncentive)*'Intl Priority'!M7),2),ROUND('Intl Priority'!$M$105*(1+International_Fuel_Surcharge),2),ROUND(((1-IntPriorityDiscount-IntPriorityIncentive)*'Intl Priority'!M7)*(1+International_Fuel_Surcharge),2))</f>
        <v>71.42</v>
      </c>
      <c r="N10" s="231">
        <f>IF('Intl Priority'!$N$105&gt;ROUND(((1-IntPriorityDiscount-IntPriorityIncentive)*'Intl Priority'!N7),2),ROUND('Intl Priority'!$N$105*(1+International_Fuel_Surcharge),2),ROUND(((1-IntPriorityDiscount-IntPriorityIncentive)*'Intl Priority'!N7)*(1+International_Fuel_Surcharge),2))</f>
        <v>81.5</v>
      </c>
      <c r="O10" s="231">
        <f>IF('Intl Priority'!$O$105&gt;ROUND(((1-IntPriorityDiscount-IntPriorityIncentive)*'Intl Priority'!O7),2),ROUND('Intl Priority'!$O$105*(1+International_Fuel_Surcharge),2),ROUND(((1-IntPriorityDiscount-IntPriorityIncentive)*'Intl Priority'!O7)*(1+International_Fuel_Surcharge),2))</f>
        <v>57.04</v>
      </c>
      <c r="P10" s="231">
        <f>IF('Intl Priority'!$P$105&gt;ROUND(((1-IntPriorityDiscount-IntPriorityIncentive)*'Intl Priority'!P7),2),ROUND('Intl Priority'!$P$105*(1+International_Fuel_Surcharge),2),ROUND(((1-IntPriorityDiscount-IntPriorityIncentive)*'Intl Priority'!P7)*(1+International_Fuel_Surcharge),2))</f>
        <v>60.44</v>
      </c>
      <c r="Q10" s="231">
        <f>IF('Intl Priority'!$Q$105&gt;ROUND(((1-PuertoRicoDiscount)*'Intl Priority'!Q7),2),ROUND('Intl Priority'!$Q$105*(1+International_Fuel_Surcharge),2),ROUND(((1-PuertoRicoDiscount)*'Intl Priority'!Q7)*(1+International_Fuel_Surcharge),2))</f>
        <v>100.07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217">
        <v>6</v>
      </c>
      <c r="B11" s="231">
        <f>IF('Intl Priority'!$B$105&gt;ROUND(((1-IntPriorityDiscount-IntPriorityIncentive)*'Intl Priority'!B8),2),ROUND('Intl Priority'!$B$105*(1+International_Fuel_Surcharge),2),ROUND(((1-IntPriorityDiscount-IntPriorityIncentive)*'Intl Priority'!B8)*(1+International_Fuel_Surcharge),2))</f>
        <v>40.700000000000003</v>
      </c>
      <c r="C11" s="231">
        <f>IF('Intl Priority'!$C$105&gt;ROUND(((1-IntPriorityDiscount-IntPriorityIncentive)*'Intl Priority'!C8),2),ROUND('Intl Priority'!$C$105*(1+International_Fuel_Surcharge),2),ROUND(((1-IntPriorityDiscount-IntPriorityIncentive)*'Intl Priority'!C8)*(1+International_Fuel_Surcharge),2))</f>
        <v>45.62</v>
      </c>
      <c r="D11" s="231">
        <f>IF('Intl Priority'!$D$105&gt;ROUND(((1-IntPriorityDiscount-IntPriorityIncentive)*'Intl Priority'!D8),2),ROUND('Intl Priority'!$D$105*(1+International_Fuel_Surcharge),2),ROUND(((1-IntPriorityDiscount-IntPriorityIncentive)*'Intl Priority'!D8)*(1+International_Fuel_Surcharge),2))</f>
        <v>46.06</v>
      </c>
      <c r="E11" s="231">
        <f>IF('Intl Priority'!$E$105&gt;ROUND(((1-IntPriorityDiscount-IntPriorityIncentive)*'Intl Priority'!E8),2),ROUND('Intl Priority'!$E$105*(1+International_Fuel_Surcharge),2),ROUND(((1-IntPriorityDiscount-IntPriorityIncentive)*'Intl Priority'!E8)*(1+International_Fuel_Surcharge),2))</f>
        <v>55.36</v>
      </c>
      <c r="F11" s="231">
        <f>IF('Intl Priority'!$F$105&gt;ROUND(((1-IntPriorityDiscount-IntPriorityIncentive)*'Intl Priority'!F8),2),ROUND('Intl Priority'!$F$105*(1+International_Fuel_Surcharge),2),ROUND(((1-IntPriorityDiscount-IntPriorityIncentive)*'Intl Priority'!F8)*(1+International_Fuel_Surcharge),2))</f>
        <v>83.76</v>
      </c>
      <c r="G11" s="231">
        <f>IF('Intl Priority'!$G$105&gt;ROUND(((1-IntPriorityDiscount-IntPriorityIncentive)*'Intl Priority'!G8),2),ROUND('Intl Priority'!$G$105*(1+International_Fuel_Surcharge),2),ROUND(((1-IntPriorityDiscount-IntPriorityIncentive)*'Intl Priority'!G8)*(1+International_Fuel_Surcharge),2))</f>
        <v>58.81</v>
      </c>
      <c r="H11" s="231">
        <f>IF('Intl Priority'!$H$105&gt;ROUND(((1-IntPriorityDiscount-IntPriorityIncentive)*'Intl Priority'!H8),2),ROUND('Intl Priority'!$H$105*(1+International_Fuel_Surcharge),2),ROUND(((1-IntPriorityDiscount-IntPriorityIncentive)*'Intl Priority'!H8)*(1+International_Fuel_Surcharge),2))</f>
        <v>59.76</v>
      </c>
      <c r="I11" s="231">
        <f>IF('Intl Priority'!$I$105&gt;ROUND(((1-IntPriorityDiscount-IntPriorityIncentive)*'Intl Priority'!I8),2),ROUND('Intl Priority'!$I$105*(1+International_Fuel_Surcharge),2),ROUND(((1-IntPriorityDiscount-IntPriorityIncentive)*'Intl Priority'!I8)*(1+International_Fuel_Surcharge),2))</f>
        <v>57.16</v>
      </c>
      <c r="J11" s="231">
        <f>IF('Intl Priority'!$J$105&gt;ROUND(((1-IntPriorityDiscount-IntPriorityIncentive)*'Intl Priority'!J8),2),ROUND('Intl Priority'!$J$105*(1+International_Fuel_Surcharge),2),ROUND(((1-IntPriorityDiscount-IntPriorityIncentive)*'Intl Priority'!J8)*(1+International_Fuel_Surcharge),2))</f>
        <v>47.98</v>
      </c>
      <c r="K11" s="231">
        <f>IF('Intl Priority'!$K$105&gt;ROUND(((1-IntPriorityDiscount-IntPriorityIncentive)*'Intl Priority'!K8),2),ROUND('Intl Priority'!$K$105*(1+International_Fuel_Surcharge),2),ROUND(((1-IntPriorityDiscount-IntPriorityIncentive)*'Intl Priority'!K8)*(1+International_Fuel_Surcharge),2))</f>
        <v>68.52</v>
      </c>
      <c r="L11" s="231">
        <f>IF('Intl Priority'!$L$105&gt;ROUND(((1-IntPriorityDiscount-IntPriorityIncentive)*'Intl Priority'!L8),2),ROUND('Intl Priority'!$L$105*(1+International_Fuel_Surcharge),2),ROUND(((1-IntPriorityDiscount-IntPriorityIncentive)*'Intl Priority'!L8)*(1+International_Fuel_Surcharge),2))</f>
        <v>64.52</v>
      </c>
      <c r="M11" s="231">
        <f>IF('Intl Priority'!$M$105&gt;ROUND(((1-IntPriorityDiscount-IntPriorityIncentive)*'Intl Priority'!M8),2),ROUND('Intl Priority'!$M$105*(1+International_Fuel_Surcharge),2),ROUND(((1-IntPriorityDiscount-IntPriorityIncentive)*'Intl Priority'!M8)*(1+International_Fuel_Surcharge),2))</f>
        <v>80.77</v>
      </c>
      <c r="N11" s="231">
        <f>IF('Intl Priority'!$N$105&gt;ROUND(((1-IntPriorityDiscount-IntPriorityIncentive)*'Intl Priority'!N8),2),ROUND('Intl Priority'!$N$105*(1+International_Fuel_Surcharge),2),ROUND(((1-IntPriorityDiscount-IntPriorityIncentive)*'Intl Priority'!N8)*(1+International_Fuel_Surcharge),2))</f>
        <v>89.89</v>
      </c>
      <c r="O11" s="231">
        <f>IF('Intl Priority'!$O$105&gt;ROUND(((1-IntPriorityDiscount-IntPriorityIncentive)*'Intl Priority'!O8),2),ROUND('Intl Priority'!$O$105*(1+International_Fuel_Surcharge),2),ROUND(((1-IntPriorityDiscount-IntPriorityIncentive)*'Intl Priority'!O8)*(1+International_Fuel_Surcharge),2))</f>
        <v>62.43</v>
      </c>
      <c r="P11" s="231">
        <f>IF('Intl Priority'!$P$105&gt;ROUND(((1-IntPriorityDiscount-IntPriorityIncentive)*'Intl Priority'!P8),2),ROUND('Intl Priority'!$P$105*(1+International_Fuel_Surcharge),2),ROUND(((1-IntPriorityDiscount-IntPriorityIncentive)*'Intl Priority'!P8)*(1+International_Fuel_Surcharge),2))</f>
        <v>66.14</v>
      </c>
      <c r="Q11" s="231">
        <f>IF('Intl Priority'!$Q$105&gt;ROUND(((1-PuertoRicoDiscount)*'Intl Priority'!Q8),2),ROUND('Intl Priority'!$Q$105*(1+International_Fuel_Surcharge),2),ROUND(((1-PuertoRicoDiscount)*'Intl Priority'!Q8)*(1+International_Fuel_Surcharge),2))</f>
        <v>107.25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17">
        <v>7</v>
      </c>
      <c r="B12" s="231">
        <f>IF('Intl Priority'!$B$105&gt;ROUND(((1-IntPriorityDiscount-IntPriorityIncentive)*'Intl Priority'!B9),2),ROUND('Intl Priority'!$B$105*(1+International_Fuel_Surcharge),2),ROUND(((1-IntPriorityDiscount-IntPriorityIncentive)*'Intl Priority'!B9)*(1+International_Fuel_Surcharge),2))</f>
        <v>40.700000000000003</v>
      </c>
      <c r="C12" s="231">
        <f>IF('Intl Priority'!$C$105&gt;ROUND(((1-IntPriorityDiscount-IntPriorityIncentive)*'Intl Priority'!C9),2),ROUND('Intl Priority'!$C$105*(1+International_Fuel_Surcharge),2),ROUND(((1-IntPriorityDiscount-IntPriorityIncentive)*'Intl Priority'!C9)*(1+International_Fuel_Surcharge),2))</f>
        <v>46.72</v>
      </c>
      <c r="D12" s="231">
        <f>IF('Intl Priority'!$D$105&gt;ROUND(((1-IntPriorityDiscount-IntPriorityIncentive)*'Intl Priority'!D9),2),ROUND('Intl Priority'!$D$105*(1+International_Fuel_Surcharge),2),ROUND(((1-IntPriorityDiscount-IntPriorityIncentive)*'Intl Priority'!D9)*(1+International_Fuel_Surcharge),2))</f>
        <v>49.06</v>
      </c>
      <c r="E12" s="231">
        <f>IF('Intl Priority'!$E$105&gt;ROUND(((1-IntPriorityDiscount-IntPriorityIncentive)*'Intl Priority'!E9),2),ROUND('Intl Priority'!$E$105*(1+International_Fuel_Surcharge),2),ROUND(((1-IntPriorityDiscount-IntPriorityIncentive)*'Intl Priority'!E9)*(1+International_Fuel_Surcharge),2))</f>
        <v>58.57</v>
      </c>
      <c r="F12" s="231">
        <f>IF('Intl Priority'!$F$105&gt;ROUND(((1-IntPriorityDiscount-IntPriorityIncentive)*'Intl Priority'!F9),2),ROUND('Intl Priority'!$F$105*(1+International_Fuel_Surcharge),2),ROUND(((1-IntPriorityDiscount-IntPriorityIncentive)*'Intl Priority'!F9)*(1+International_Fuel_Surcharge),2))</f>
        <v>90.08</v>
      </c>
      <c r="G12" s="231">
        <f>IF('Intl Priority'!$G$105&gt;ROUND(((1-IntPriorityDiscount-IntPriorityIncentive)*'Intl Priority'!G9),2),ROUND('Intl Priority'!$G$105*(1+International_Fuel_Surcharge),2),ROUND(((1-IntPriorityDiscount-IntPriorityIncentive)*'Intl Priority'!G9)*(1+International_Fuel_Surcharge),2))</f>
        <v>59.51</v>
      </c>
      <c r="H12" s="231">
        <f>IF('Intl Priority'!$H$105&gt;ROUND(((1-IntPriorityDiscount-IntPriorityIncentive)*'Intl Priority'!H9),2),ROUND('Intl Priority'!$H$105*(1+International_Fuel_Surcharge),2),ROUND(((1-IntPriorityDiscount-IntPriorityIncentive)*'Intl Priority'!H9)*(1+International_Fuel_Surcharge),2))</f>
        <v>62.5</v>
      </c>
      <c r="I12" s="231">
        <f>IF('Intl Priority'!$I$105&gt;ROUND(((1-IntPriorityDiscount-IntPriorityIncentive)*'Intl Priority'!I9),2),ROUND('Intl Priority'!$I$105*(1+International_Fuel_Surcharge),2),ROUND(((1-IntPriorityDiscount-IntPriorityIncentive)*'Intl Priority'!I9)*(1+International_Fuel_Surcharge),2))</f>
        <v>62.31</v>
      </c>
      <c r="J12" s="231">
        <f>IF('Intl Priority'!$J$105&gt;ROUND(((1-IntPriorityDiscount-IntPriorityIncentive)*'Intl Priority'!J9),2),ROUND('Intl Priority'!$J$105*(1+International_Fuel_Surcharge),2),ROUND(((1-IntPriorityDiscount-IntPriorityIncentive)*'Intl Priority'!J9)*(1+International_Fuel_Surcharge),2))</f>
        <v>48.9</v>
      </c>
      <c r="K12" s="231">
        <f>IF('Intl Priority'!$K$105&gt;ROUND(((1-IntPriorityDiscount-IntPriorityIncentive)*'Intl Priority'!K9),2),ROUND('Intl Priority'!$K$105*(1+International_Fuel_Surcharge),2),ROUND(((1-IntPriorityDiscount-IntPriorityIncentive)*'Intl Priority'!K9)*(1+International_Fuel_Surcharge),2))</f>
        <v>74.58</v>
      </c>
      <c r="L12" s="231">
        <f>IF('Intl Priority'!$L$105&gt;ROUND(((1-IntPriorityDiscount-IntPriorityIncentive)*'Intl Priority'!L9),2),ROUND('Intl Priority'!$L$105*(1+International_Fuel_Surcharge),2),ROUND(((1-IntPriorityDiscount-IntPriorityIncentive)*'Intl Priority'!L9)*(1+International_Fuel_Surcharge),2))</f>
        <v>70.23</v>
      </c>
      <c r="M12" s="231">
        <f>IF('Intl Priority'!$M$105&gt;ROUND(((1-IntPriorityDiscount-IntPriorityIncentive)*'Intl Priority'!M9),2),ROUND('Intl Priority'!$M$105*(1+International_Fuel_Surcharge),2),ROUND(((1-IntPriorityDiscount-IntPriorityIncentive)*'Intl Priority'!M9)*(1+International_Fuel_Surcharge),2))</f>
        <v>89.8</v>
      </c>
      <c r="N12" s="231">
        <f>IF('Intl Priority'!$N$105&gt;ROUND(((1-IntPriorityDiscount-IntPriorityIncentive)*'Intl Priority'!N9),2),ROUND('Intl Priority'!$N$105*(1+International_Fuel_Surcharge),2),ROUND(((1-IntPriorityDiscount-IntPriorityIncentive)*'Intl Priority'!N9)*(1+International_Fuel_Surcharge),2))</f>
        <v>94.15</v>
      </c>
      <c r="O12" s="231">
        <f>IF('Intl Priority'!$O$105&gt;ROUND(((1-IntPriorityDiscount-IntPriorityIncentive)*'Intl Priority'!O9),2),ROUND('Intl Priority'!$O$105*(1+International_Fuel_Surcharge),2),ROUND(((1-IntPriorityDiscount-IntPriorityIncentive)*'Intl Priority'!O9)*(1+International_Fuel_Surcharge),2))</f>
        <v>67.430000000000007</v>
      </c>
      <c r="P12" s="231">
        <f>IF('Intl Priority'!$P$105&gt;ROUND(((1-IntPriorityDiscount-IntPriorityIncentive)*'Intl Priority'!P9),2),ROUND('Intl Priority'!$P$105*(1+International_Fuel_Surcharge),2),ROUND(((1-IntPriorityDiscount-IntPriorityIncentive)*'Intl Priority'!P9)*(1+International_Fuel_Surcharge),2))</f>
        <v>71.989999999999995</v>
      </c>
      <c r="Q12" s="231">
        <f>IF('Intl Priority'!$Q$105&gt;ROUND(((1-PuertoRicoDiscount)*'Intl Priority'!Q9),2),ROUND('Intl Priority'!$Q$105*(1+International_Fuel_Surcharge),2),ROUND(((1-PuertoRicoDiscount)*'Intl Priority'!Q9)*(1+International_Fuel_Surcharge),2))</f>
        <v>114.93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217">
        <v>8</v>
      </c>
      <c r="B13" s="231">
        <f>IF('Intl Priority'!$B$105&gt;ROUND(((1-IntPriorityDiscount-IntPriorityIncentive)*'Intl Priority'!B10),2),ROUND('Intl Priority'!$B$105*(1+International_Fuel_Surcharge),2),ROUND(((1-IntPriorityDiscount-IntPriorityIncentive)*'Intl Priority'!B10)*(1+International_Fuel_Surcharge),2))</f>
        <v>40.700000000000003</v>
      </c>
      <c r="C13" s="231">
        <f>IF('Intl Priority'!$C$105&gt;ROUND(((1-IntPriorityDiscount-IntPriorityIncentive)*'Intl Priority'!C10),2),ROUND('Intl Priority'!$C$105*(1+International_Fuel_Surcharge),2),ROUND(((1-IntPriorityDiscount-IntPriorityIncentive)*'Intl Priority'!C10)*(1+International_Fuel_Surcharge),2))</f>
        <v>46.83</v>
      </c>
      <c r="D13" s="231">
        <f>IF('Intl Priority'!$D$105&gt;ROUND(((1-IntPriorityDiscount-IntPriorityIncentive)*'Intl Priority'!D10),2),ROUND('Intl Priority'!$D$105*(1+International_Fuel_Surcharge),2),ROUND(((1-IntPriorityDiscount-IntPriorityIncentive)*'Intl Priority'!D10)*(1+International_Fuel_Surcharge),2))</f>
        <v>50.87</v>
      </c>
      <c r="E13" s="231">
        <f>IF('Intl Priority'!$E$105&gt;ROUND(((1-IntPriorityDiscount-IntPriorityIncentive)*'Intl Priority'!E10),2),ROUND('Intl Priority'!$E$105*(1+International_Fuel_Surcharge),2),ROUND(((1-IntPriorityDiscount-IntPriorityIncentive)*'Intl Priority'!E10)*(1+International_Fuel_Surcharge),2))</f>
        <v>60.84</v>
      </c>
      <c r="F13" s="231">
        <f>IF('Intl Priority'!$F$105&gt;ROUND(((1-IntPriorityDiscount-IntPriorityIncentive)*'Intl Priority'!F10),2),ROUND('Intl Priority'!$F$105*(1+International_Fuel_Surcharge),2),ROUND(((1-IntPriorityDiscount-IntPriorityIncentive)*'Intl Priority'!F10)*(1+International_Fuel_Surcharge),2))</f>
        <v>93.23</v>
      </c>
      <c r="G13" s="231">
        <f>IF('Intl Priority'!$G$105&gt;ROUND(((1-IntPriorityDiscount-IntPriorityIncentive)*'Intl Priority'!G10),2),ROUND('Intl Priority'!$G$105*(1+International_Fuel_Surcharge),2),ROUND(((1-IntPriorityDiscount-IntPriorityIncentive)*'Intl Priority'!G10)*(1+International_Fuel_Surcharge),2))</f>
        <v>61.19</v>
      </c>
      <c r="H13" s="231">
        <f>IF('Intl Priority'!$H$105&gt;ROUND(((1-IntPriorityDiscount-IntPriorityIncentive)*'Intl Priority'!H10),2),ROUND('Intl Priority'!$H$105*(1+International_Fuel_Surcharge),2),ROUND(((1-IntPriorityDiscount-IntPriorityIncentive)*'Intl Priority'!H10)*(1+International_Fuel_Surcharge),2))</f>
        <v>62.78</v>
      </c>
      <c r="I13" s="231">
        <f>IF('Intl Priority'!$I$105&gt;ROUND(((1-IntPriorityDiscount-IntPriorityIncentive)*'Intl Priority'!I10),2),ROUND('Intl Priority'!$I$105*(1+International_Fuel_Surcharge),2),ROUND(((1-IntPriorityDiscount-IntPriorityIncentive)*'Intl Priority'!I10)*(1+International_Fuel_Surcharge),2))</f>
        <v>66.650000000000006</v>
      </c>
      <c r="J13" s="231">
        <f>IF('Intl Priority'!$J$105&gt;ROUND(((1-IntPriorityDiscount-IntPriorityIncentive)*'Intl Priority'!J10),2),ROUND('Intl Priority'!$J$105*(1+International_Fuel_Surcharge),2),ROUND(((1-IntPriorityDiscount-IntPriorityIncentive)*'Intl Priority'!J10)*(1+International_Fuel_Surcharge),2))</f>
        <v>49.16</v>
      </c>
      <c r="K13" s="231">
        <f>IF('Intl Priority'!$K$105&gt;ROUND(((1-IntPriorityDiscount-IntPriorityIncentive)*'Intl Priority'!K10),2),ROUND('Intl Priority'!$K$105*(1+International_Fuel_Surcharge),2),ROUND(((1-IntPriorityDiscount-IntPriorityIncentive)*'Intl Priority'!K10)*(1+International_Fuel_Surcharge),2))</f>
        <v>80.319999999999993</v>
      </c>
      <c r="L13" s="231">
        <f>IF('Intl Priority'!$L$105&gt;ROUND(((1-IntPriorityDiscount-IntPriorityIncentive)*'Intl Priority'!L10),2),ROUND('Intl Priority'!$L$105*(1+International_Fuel_Surcharge),2),ROUND(((1-IntPriorityDiscount-IntPriorityIncentive)*'Intl Priority'!L10)*(1+International_Fuel_Surcharge),2))</f>
        <v>71.77</v>
      </c>
      <c r="M13" s="231">
        <f>IF('Intl Priority'!$M$105&gt;ROUND(((1-IntPriorityDiscount-IntPriorityIncentive)*'Intl Priority'!M10),2),ROUND('Intl Priority'!$M$105*(1+International_Fuel_Surcharge),2),ROUND(((1-IntPriorityDiscount-IntPriorityIncentive)*'Intl Priority'!M10)*(1+International_Fuel_Surcharge),2))</f>
        <v>106.78</v>
      </c>
      <c r="N13" s="231">
        <f>IF('Intl Priority'!$N$105&gt;ROUND(((1-IntPriorityDiscount-IntPriorityIncentive)*'Intl Priority'!N10),2),ROUND('Intl Priority'!$N$105*(1+International_Fuel_Surcharge),2),ROUND(((1-IntPriorityDiscount-IntPriorityIncentive)*'Intl Priority'!N10)*(1+International_Fuel_Surcharge),2))</f>
        <v>100.47</v>
      </c>
      <c r="O13" s="231">
        <f>IF('Intl Priority'!$O$105&gt;ROUND(((1-IntPriorityDiscount-IntPriorityIncentive)*'Intl Priority'!O10),2),ROUND('Intl Priority'!$O$105*(1+International_Fuel_Surcharge),2),ROUND(((1-IntPriorityDiscount-IntPriorityIncentive)*'Intl Priority'!O10)*(1+International_Fuel_Surcharge),2))</f>
        <v>70.52</v>
      </c>
      <c r="P13" s="231">
        <f>IF('Intl Priority'!$P$105&gt;ROUND(((1-IntPriorityDiscount-IntPriorityIncentive)*'Intl Priority'!P10),2),ROUND('Intl Priority'!$P$105*(1+International_Fuel_Surcharge),2),ROUND(((1-IntPriorityDiscount-IntPriorityIncentive)*'Intl Priority'!P10)*(1+International_Fuel_Surcharge),2))</f>
        <v>75.02</v>
      </c>
      <c r="Q13" s="231">
        <f>IF('Intl Priority'!$Q$105&gt;ROUND(((1-PuertoRicoDiscount)*'Intl Priority'!Q10),2),ROUND('Intl Priority'!$Q$105*(1+International_Fuel_Surcharge),2),ROUND(((1-PuertoRicoDiscount)*'Intl Priority'!Q10)*(1+International_Fuel_Surcharge),2))</f>
        <v>121.18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217">
        <v>9</v>
      </c>
      <c r="B14" s="231">
        <f>IF('Intl Priority'!$B$105&gt;ROUND(((1-IntPriorityDiscount-IntPriorityIncentive)*'Intl Priority'!B11),2),ROUND('Intl Priority'!$B$105*(1+International_Fuel_Surcharge),2),ROUND(((1-IntPriorityDiscount-IntPriorityIncentive)*'Intl Priority'!B11)*(1+International_Fuel_Surcharge),2))</f>
        <v>40.700000000000003</v>
      </c>
      <c r="C14" s="231">
        <f>IF('Intl Priority'!$C$105&gt;ROUND(((1-IntPriorityDiscount-IntPriorityIncentive)*'Intl Priority'!C11),2),ROUND('Intl Priority'!$C$105*(1+International_Fuel_Surcharge),2),ROUND(((1-IntPriorityDiscount-IntPriorityIncentive)*'Intl Priority'!C11)*(1+International_Fuel_Surcharge),2))</f>
        <v>46.93</v>
      </c>
      <c r="D14" s="231">
        <f>IF('Intl Priority'!$D$105&gt;ROUND(((1-IntPriorityDiscount-IntPriorityIncentive)*'Intl Priority'!D11),2),ROUND('Intl Priority'!$D$105*(1+International_Fuel_Surcharge),2),ROUND(((1-IntPriorityDiscount-IntPriorityIncentive)*'Intl Priority'!D11)*(1+International_Fuel_Surcharge),2))</f>
        <v>51.06</v>
      </c>
      <c r="E14" s="231">
        <f>IF('Intl Priority'!$E$105&gt;ROUND(((1-IntPriorityDiscount-IntPriorityIncentive)*'Intl Priority'!E11),2),ROUND('Intl Priority'!$E$105*(1+International_Fuel_Surcharge),2),ROUND(((1-IntPriorityDiscount-IntPriorityIncentive)*'Intl Priority'!E11)*(1+International_Fuel_Surcharge),2))</f>
        <v>61.37</v>
      </c>
      <c r="F14" s="231">
        <f>IF('Intl Priority'!$F$105&gt;ROUND(((1-IntPriorityDiscount-IntPriorityIncentive)*'Intl Priority'!F11),2),ROUND('Intl Priority'!$F$105*(1+International_Fuel_Surcharge),2),ROUND(((1-IntPriorityDiscount-IntPriorityIncentive)*'Intl Priority'!F11)*(1+International_Fuel_Surcharge),2))</f>
        <v>93.59</v>
      </c>
      <c r="G14" s="231">
        <f>IF('Intl Priority'!$G$105&gt;ROUND(((1-IntPriorityDiscount-IntPriorityIncentive)*'Intl Priority'!G11),2),ROUND('Intl Priority'!$G$105*(1+International_Fuel_Surcharge),2),ROUND(((1-IntPriorityDiscount-IntPriorityIncentive)*'Intl Priority'!G11)*(1+International_Fuel_Surcharge),2))</f>
        <v>61.36</v>
      </c>
      <c r="H14" s="231">
        <f>IF('Intl Priority'!$H$105&gt;ROUND(((1-IntPriorityDiscount-IntPriorityIncentive)*'Intl Priority'!H11),2),ROUND('Intl Priority'!$H$105*(1+International_Fuel_Surcharge),2),ROUND(((1-IntPriorityDiscount-IntPriorityIncentive)*'Intl Priority'!H11)*(1+International_Fuel_Surcharge),2))</f>
        <v>62.9</v>
      </c>
      <c r="I14" s="231">
        <f>IF('Intl Priority'!$I$105&gt;ROUND(((1-IntPriorityDiscount-IntPriorityIncentive)*'Intl Priority'!I11),2),ROUND('Intl Priority'!$I$105*(1+International_Fuel_Surcharge),2),ROUND(((1-IntPriorityDiscount-IntPriorityIncentive)*'Intl Priority'!I11)*(1+International_Fuel_Surcharge),2))</f>
        <v>67.09</v>
      </c>
      <c r="J14" s="231">
        <f>IF('Intl Priority'!$J$105&gt;ROUND(((1-IntPriorityDiscount-IntPriorityIncentive)*'Intl Priority'!J11),2),ROUND('Intl Priority'!$J$105*(1+International_Fuel_Surcharge),2),ROUND(((1-IntPriorityDiscount-IntPriorityIncentive)*'Intl Priority'!J11)*(1+International_Fuel_Surcharge),2))</f>
        <v>49.41</v>
      </c>
      <c r="K14" s="231">
        <f>IF('Intl Priority'!$K$105&gt;ROUND(((1-IntPriorityDiscount-IntPriorityIncentive)*'Intl Priority'!K11),2),ROUND('Intl Priority'!$K$105*(1+International_Fuel_Surcharge),2),ROUND(((1-IntPriorityDiscount-IntPriorityIncentive)*'Intl Priority'!K11)*(1+International_Fuel_Surcharge),2))</f>
        <v>81.3</v>
      </c>
      <c r="L14" s="231">
        <f>IF('Intl Priority'!$L$105&gt;ROUND(((1-IntPriorityDiscount-IntPriorityIncentive)*'Intl Priority'!L11),2),ROUND('Intl Priority'!$L$105*(1+International_Fuel_Surcharge),2),ROUND(((1-IntPriorityDiscount-IntPriorityIncentive)*'Intl Priority'!L11)*(1+International_Fuel_Surcharge),2))</f>
        <v>71.930000000000007</v>
      </c>
      <c r="M14" s="231">
        <f>IF('Intl Priority'!$M$105&gt;ROUND(((1-IntPriorityDiscount-IntPriorityIncentive)*'Intl Priority'!M11),2),ROUND('Intl Priority'!$M$105*(1+International_Fuel_Surcharge),2),ROUND(((1-IntPriorityDiscount-IntPriorityIncentive)*'Intl Priority'!M11)*(1+International_Fuel_Surcharge),2))</f>
        <v>108.64</v>
      </c>
      <c r="N14" s="231">
        <f>IF('Intl Priority'!$N$105&gt;ROUND(((1-IntPriorityDiscount-IntPriorityIncentive)*'Intl Priority'!N11),2),ROUND('Intl Priority'!$N$105*(1+International_Fuel_Surcharge),2),ROUND(((1-IntPriorityDiscount-IntPriorityIncentive)*'Intl Priority'!N11)*(1+International_Fuel_Surcharge),2))</f>
        <v>101.11</v>
      </c>
      <c r="O14" s="231">
        <f>IF('Intl Priority'!$O$105&gt;ROUND(((1-IntPriorityDiscount-IntPriorityIncentive)*'Intl Priority'!O11),2),ROUND('Intl Priority'!$O$105*(1+International_Fuel_Surcharge),2),ROUND(((1-IntPriorityDiscount-IntPriorityIncentive)*'Intl Priority'!O11)*(1+International_Fuel_Surcharge),2))</f>
        <v>70.83</v>
      </c>
      <c r="P14" s="231">
        <f>IF('Intl Priority'!$P$105&gt;ROUND(((1-IntPriorityDiscount-IntPriorityIncentive)*'Intl Priority'!P11),2),ROUND('Intl Priority'!$P$105*(1+International_Fuel_Surcharge),2),ROUND(((1-IntPriorityDiscount-IntPriorityIncentive)*'Intl Priority'!P11)*(1+International_Fuel_Surcharge),2))</f>
        <v>75.36</v>
      </c>
      <c r="Q14" s="231">
        <f>IF('Intl Priority'!$Q$105&gt;ROUND(((1-PuertoRicoDiscount)*'Intl Priority'!Q11),2),ROUND('Intl Priority'!$Q$105*(1+International_Fuel_Surcharge),2),ROUND(((1-PuertoRicoDiscount)*'Intl Priority'!Q11)*(1+International_Fuel_Surcharge),2))</f>
        <v>128.97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217">
        <v>10</v>
      </c>
      <c r="B15" s="231">
        <f>IF('Intl Priority'!$B$105&gt;ROUND(((1-IntPriorityDiscount-IntPriorityIncentive)*'Intl Priority'!B12),2),ROUND('Intl Priority'!$B$105*(1+International_Fuel_Surcharge),2),ROUND(((1-IntPriorityDiscount-IntPriorityIncentive)*'Intl Priority'!B12)*(1+International_Fuel_Surcharge),2))</f>
        <v>40.700000000000003</v>
      </c>
      <c r="C15" s="231">
        <f>IF('Intl Priority'!$C$105&gt;ROUND(((1-IntPriorityDiscount-IntPriorityIncentive)*'Intl Priority'!C12),2),ROUND('Intl Priority'!$C$105*(1+International_Fuel_Surcharge),2),ROUND(((1-IntPriorityDiscount-IntPriorityIncentive)*'Intl Priority'!C12)*(1+International_Fuel_Surcharge),2))</f>
        <v>47.86</v>
      </c>
      <c r="D15" s="231">
        <f>IF('Intl Priority'!$D$105&gt;ROUND(((1-IntPriorityDiscount-IntPriorityIncentive)*'Intl Priority'!D12),2),ROUND('Intl Priority'!$D$105*(1+International_Fuel_Surcharge),2),ROUND(((1-IntPriorityDiscount-IntPriorityIncentive)*'Intl Priority'!D12)*(1+International_Fuel_Surcharge),2))</f>
        <v>51.16</v>
      </c>
      <c r="E15" s="231">
        <f>IF('Intl Priority'!$E$105&gt;ROUND(((1-IntPriorityDiscount-IntPriorityIncentive)*'Intl Priority'!E12),2),ROUND('Intl Priority'!$E$105*(1+International_Fuel_Surcharge),2),ROUND(((1-IntPriorityDiscount-IntPriorityIncentive)*'Intl Priority'!E12)*(1+International_Fuel_Surcharge),2))</f>
        <v>61.51</v>
      </c>
      <c r="F15" s="231">
        <f>IF('Intl Priority'!$F$105&gt;ROUND(((1-IntPriorityDiscount-IntPriorityIncentive)*'Intl Priority'!F12),2),ROUND('Intl Priority'!$F$105*(1+International_Fuel_Surcharge),2),ROUND(((1-IntPriorityDiscount-IntPriorityIncentive)*'Intl Priority'!F12)*(1+International_Fuel_Surcharge),2))</f>
        <v>93.78</v>
      </c>
      <c r="G15" s="231">
        <f>IF('Intl Priority'!$G$105&gt;ROUND(((1-IntPriorityDiscount-IntPriorityIncentive)*'Intl Priority'!G12),2),ROUND('Intl Priority'!$G$105*(1+International_Fuel_Surcharge),2),ROUND(((1-IntPriorityDiscount-IntPriorityIncentive)*'Intl Priority'!G12)*(1+International_Fuel_Surcharge),2))</f>
        <v>61.48</v>
      </c>
      <c r="H15" s="231">
        <f>IF('Intl Priority'!$H$105&gt;ROUND(((1-IntPriorityDiscount-IntPriorityIncentive)*'Intl Priority'!H12),2),ROUND('Intl Priority'!$H$105*(1+International_Fuel_Surcharge),2),ROUND(((1-IntPriorityDiscount-IntPriorityIncentive)*'Intl Priority'!H12)*(1+International_Fuel_Surcharge),2))</f>
        <v>63.03</v>
      </c>
      <c r="I15" s="231">
        <f>IF('Intl Priority'!$I$105&gt;ROUND(((1-IntPriorityDiscount-IntPriorityIncentive)*'Intl Priority'!I12),2),ROUND('Intl Priority'!$I$105*(1+International_Fuel_Surcharge),2),ROUND(((1-IntPriorityDiscount-IntPriorityIncentive)*'Intl Priority'!I12)*(1+International_Fuel_Surcharge),2))</f>
        <v>67.48</v>
      </c>
      <c r="J15" s="231">
        <f>IF('Intl Priority'!$J$105&gt;ROUND(((1-IntPriorityDiscount-IntPriorityIncentive)*'Intl Priority'!J12),2),ROUND('Intl Priority'!$J$105*(1+International_Fuel_Surcharge),2),ROUND(((1-IntPriorityDiscount-IntPriorityIncentive)*'Intl Priority'!J12)*(1+International_Fuel_Surcharge),2))</f>
        <v>49.58</v>
      </c>
      <c r="K15" s="231">
        <f>IF('Intl Priority'!$K$105&gt;ROUND(((1-IntPriorityDiscount-IntPriorityIncentive)*'Intl Priority'!K12),2),ROUND('Intl Priority'!$K$105*(1+International_Fuel_Surcharge),2),ROUND(((1-IntPriorityDiscount-IntPriorityIncentive)*'Intl Priority'!K12)*(1+International_Fuel_Surcharge),2))</f>
        <v>81.47</v>
      </c>
      <c r="L15" s="231">
        <f>IF('Intl Priority'!$L$105&gt;ROUND(((1-IntPriorityDiscount-IntPriorityIncentive)*'Intl Priority'!L12),2),ROUND('Intl Priority'!$L$105*(1+International_Fuel_Surcharge),2),ROUND(((1-IntPriorityDiscount-IntPriorityIncentive)*'Intl Priority'!L12)*(1+International_Fuel_Surcharge),2))</f>
        <v>72.069999999999993</v>
      </c>
      <c r="M15" s="231">
        <f>IF('Intl Priority'!$M$105&gt;ROUND(((1-IntPriorityDiscount-IntPriorityIncentive)*'Intl Priority'!M12),2),ROUND('Intl Priority'!$M$105*(1+International_Fuel_Surcharge),2),ROUND(((1-IntPriorityDiscount-IntPriorityIncentive)*'Intl Priority'!M12)*(1+International_Fuel_Surcharge),2))</f>
        <v>109.29</v>
      </c>
      <c r="N15" s="231">
        <f>IF('Intl Priority'!$N$105&gt;ROUND(((1-IntPriorityDiscount-IntPriorityIncentive)*'Intl Priority'!N12),2),ROUND('Intl Priority'!$N$105*(1+International_Fuel_Surcharge),2),ROUND(((1-IntPriorityDiscount-IntPriorityIncentive)*'Intl Priority'!N12)*(1+International_Fuel_Surcharge),2))</f>
        <v>101.31</v>
      </c>
      <c r="O15" s="231">
        <f>IF('Intl Priority'!$O$105&gt;ROUND(((1-IntPriorityDiscount-IntPriorityIncentive)*'Intl Priority'!O12),2),ROUND('Intl Priority'!$O$105*(1+International_Fuel_Surcharge),2),ROUND(((1-IntPriorityDiscount-IntPriorityIncentive)*'Intl Priority'!O12)*(1+International_Fuel_Surcharge),2))</f>
        <v>70.97</v>
      </c>
      <c r="P15" s="231">
        <f>IF('Intl Priority'!$P$105&gt;ROUND(((1-IntPriorityDiscount-IntPriorityIncentive)*'Intl Priority'!P12),2),ROUND('Intl Priority'!$P$105*(1+International_Fuel_Surcharge),2),ROUND(((1-IntPriorityDiscount-IntPriorityIncentive)*'Intl Priority'!P12)*(1+International_Fuel_Surcharge),2))</f>
        <v>75.510000000000005</v>
      </c>
      <c r="Q15" s="231">
        <f>IF('Intl Priority'!$Q$105&gt;ROUND(((1-PuertoRicoDiscount)*'Intl Priority'!Q12),2),ROUND('Intl Priority'!$Q$105*(1+International_Fuel_Surcharge),2),ROUND(((1-PuertoRicoDiscount)*'Intl Priority'!Q12)*(1+International_Fuel_Surcharge),2))</f>
        <v>137.27000000000001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217">
        <v>11</v>
      </c>
      <c r="B16" s="231">
        <f>IF('Intl Priority'!$B$105&gt;ROUND(((1-IntPriorityDiscount-IntPriorityIncentive)*'Intl Priority'!B13),2),ROUND('Intl Priority'!$B$105*(1+International_Fuel_Surcharge),2),ROUND(((1-IntPriorityDiscount-IntPriorityIncentive)*'Intl Priority'!B13)*(1+International_Fuel_Surcharge),2))</f>
        <v>40.700000000000003</v>
      </c>
      <c r="C16" s="231">
        <f>IF('Intl Priority'!$C$105&gt;ROUND(((1-IntPriorityDiscount-IntPriorityIncentive)*'Intl Priority'!C13),2),ROUND('Intl Priority'!$C$105*(1+International_Fuel_Surcharge),2),ROUND(((1-IntPriorityDiscount-IntPriorityIncentive)*'Intl Priority'!C13)*(1+International_Fuel_Surcharge),2))</f>
        <v>48.47</v>
      </c>
      <c r="D16" s="231">
        <f>IF('Intl Priority'!$D$105&gt;ROUND(((1-IntPriorityDiscount-IntPriorityIncentive)*'Intl Priority'!D13),2),ROUND('Intl Priority'!$D$105*(1+International_Fuel_Surcharge),2),ROUND(((1-IntPriorityDiscount-IntPriorityIncentive)*'Intl Priority'!D13)*(1+International_Fuel_Surcharge),2))</f>
        <v>51.26</v>
      </c>
      <c r="E16" s="231">
        <f>IF('Intl Priority'!$E$105&gt;ROUND(((1-IntPriorityDiscount-IntPriorityIncentive)*'Intl Priority'!E13),2),ROUND('Intl Priority'!$E$105*(1+International_Fuel_Surcharge),2),ROUND(((1-IntPriorityDiscount-IntPriorityIncentive)*'Intl Priority'!E13)*(1+International_Fuel_Surcharge),2))</f>
        <v>62.02</v>
      </c>
      <c r="F16" s="231">
        <f>IF('Intl Priority'!$F$105&gt;ROUND(((1-IntPriorityDiscount-IntPriorityIncentive)*'Intl Priority'!F13),2),ROUND('Intl Priority'!$F$105*(1+International_Fuel_Surcharge),2),ROUND(((1-IntPriorityDiscount-IntPriorityIncentive)*'Intl Priority'!F13)*(1+International_Fuel_Surcharge),2))</f>
        <v>93.97</v>
      </c>
      <c r="G16" s="231">
        <f>IF('Intl Priority'!$G$105&gt;ROUND(((1-IntPriorityDiscount-IntPriorityIncentive)*'Intl Priority'!G13),2),ROUND('Intl Priority'!$G$105*(1+International_Fuel_Surcharge),2),ROUND(((1-IntPriorityDiscount-IntPriorityIncentive)*'Intl Priority'!G13)*(1+International_Fuel_Surcharge),2))</f>
        <v>62.43</v>
      </c>
      <c r="H16" s="231">
        <f>IF('Intl Priority'!$H$105&gt;ROUND(((1-IntPriorityDiscount-IntPriorityIncentive)*'Intl Priority'!H13),2),ROUND('Intl Priority'!$H$105*(1+International_Fuel_Surcharge),2),ROUND(((1-IntPriorityDiscount-IntPriorityIncentive)*'Intl Priority'!H13)*(1+International_Fuel_Surcharge),2))</f>
        <v>63.38</v>
      </c>
      <c r="I16" s="231">
        <f>IF('Intl Priority'!$I$105&gt;ROUND(((1-IntPriorityDiscount-IntPriorityIncentive)*'Intl Priority'!I13),2),ROUND('Intl Priority'!$I$105*(1+International_Fuel_Surcharge),2),ROUND(((1-IntPriorityDiscount-IntPriorityIncentive)*'Intl Priority'!I13)*(1+International_Fuel_Surcharge),2))</f>
        <v>67.62</v>
      </c>
      <c r="J16" s="231">
        <f>IF('Intl Priority'!$J$105&gt;ROUND(((1-IntPriorityDiscount-IntPriorityIncentive)*'Intl Priority'!J13),2),ROUND('Intl Priority'!$J$105*(1+International_Fuel_Surcharge),2),ROUND(((1-IntPriorityDiscount-IntPriorityIncentive)*'Intl Priority'!J13)*(1+International_Fuel_Surcharge),2))</f>
        <v>52.88</v>
      </c>
      <c r="K16" s="231">
        <f>IF('Intl Priority'!$K$105&gt;ROUND(((1-IntPriorityDiscount-IntPriorityIncentive)*'Intl Priority'!K13),2),ROUND('Intl Priority'!$K$105*(1+International_Fuel_Surcharge),2),ROUND(((1-IntPriorityDiscount-IntPriorityIncentive)*'Intl Priority'!K13)*(1+International_Fuel_Surcharge),2))</f>
        <v>83.18</v>
      </c>
      <c r="L16" s="231">
        <f>IF('Intl Priority'!$L$105&gt;ROUND(((1-IntPriorityDiscount-IntPriorityIncentive)*'Intl Priority'!L13),2),ROUND('Intl Priority'!$L$105*(1+International_Fuel_Surcharge),2),ROUND(((1-IntPriorityDiscount-IntPriorityIncentive)*'Intl Priority'!L13)*(1+International_Fuel_Surcharge),2))</f>
        <v>72.84</v>
      </c>
      <c r="M16" s="231">
        <f>IF('Intl Priority'!$M$105&gt;ROUND(((1-IntPriorityDiscount-IntPriorityIncentive)*'Intl Priority'!M13),2),ROUND('Intl Priority'!$M$105*(1+International_Fuel_Surcharge),2),ROUND(((1-IntPriorityDiscount-IntPriorityIncentive)*'Intl Priority'!M13)*(1+International_Fuel_Surcharge),2))</f>
        <v>111.47</v>
      </c>
      <c r="N16" s="231">
        <f>IF('Intl Priority'!$N$105&gt;ROUND(((1-IntPriorityDiscount-IntPriorityIncentive)*'Intl Priority'!N13),2),ROUND('Intl Priority'!$N$105*(1+International_Fuel_Surcharge),2),ROUND(((1-IntPriorityDiscount-IntPriorityIncentive)*'Intl Priority'!N13)*(1+International_Fuel_Surcharge),2))</f>
        <v>101.52</v>
      </c>
      <c r="O16" s="231">
        <f>IF('Intl Priority'!$O$105&gt;ROUND(((1-IntPriorityDiscount-IntPriorityIncentive)*'Intl Priority'!O13),2),ROUND('Intl Priority'!$O$105*(1+International_Fuel_Surcharge),2),ROUND(((1-IntPriorityDiscount-IntPriorityIncentive)*'Intl Priority'!O13)*(1+International_Fuel_Surcharge),2))</f>
        <v>71.11</v>
      </c>
      <c r="P16" s="231">
        <f>IF('Intl Priority'!$P$105&gt;ROUND(((1-IntPriorityDiscount-IntPriorityIncentive)*'Intl Priority'!P13),2),ROUND('Intl Priority'!$P$105*(1+International_Fuel_Surcharge),2),ROUND(((1-IntPriorityDiscount-IntPriorityIncentive)*'Intl Priority'!P13)*(1+International_Fuel_Surcharge),2))</f>
        <v>75.69</v>
      </c>
      <c r="Q16" s="231">
        <f>IF('Intl Priority'!$Q$105&gt;ROUND(((1-PuertoRicoDiscount)*'Intl Priority'!Q13),2),ROUND('Intl Priority'!$Q$105*(1+International_Fuel_Surcharge),2),ROUND(((1-PuertoRicoDiscount)*'Intl Priority'!Q13)*(1+International_Fuel_Surcharge),2))</f>
        <v>145.02000000000001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217">
        <v>12</v>
      </c>
      <c r="B17" s="231">
        <f>IF('Intl Priority'!$B$105&gt;ROUND(((1-IntPriorityDiscount-IntPriorityIncentive)*'Intl Priority'!B14),2),ROUND('Intl Priority'!$B$105*(1+International_Fuel_Surcharge),2),ROUND(((1-IntPriorityDiscount-IntPriorityIncentive)*'Intl Priority'!B14)*(1+International_Fuel_Surcharge),2))</f>
        <v>40.72</v>
      </c>
      <c r="C17" s="231">
        <f>IF('Intl Priority'!$C$105&gt;ROUND(((1-IntPriorityDiscount-IntPriorityIncentive)*'Intl Priority'!C14),2),ROUND('Intl Priority'!$C$105*(1+International_Fuel_Surcharge),2),ROUND(((1-IntPriorityDiscount-IntPriorityIncentive)*'Intl Priority'!C14)*(1+International_Fuel_Surcharge),2))</f>
        <v>49.6</v>
      </c>
      <c r="D17" s="231">
        <f>IF('Intl Priority'!$D$105&gt;ROUND(((1-IntPriorityDiscount-IntPriorityIncentive)*'Intl Priority'!D14),2),ROUND('Intl Priority'!$D$105*(1+International_Fuel_Surcharge),2),ROUND(((1-IntPriorityDiscount-IntPriorityIncentive)*'Intl Priority'!D14)*(1+International_Fuel_Surcharge),2))</f>
        <v>51.97</v>
      </c>
      <c r="E17" s="231">
        <f>IF('Intl Priority'!$E$105&gt;ROUND(((1-IntPriorityDiscount-IntPriorityIncentive)*'Intl Priority'!E14),2),ROUND('Intl Priority'!$E$105*(1+International_Fuel_Surcharge),2),ROUND(((1-IntPriorityDiscount-IntPriorityIncentive)*'Intl Priority'!E14)*(1+International_Fuel_Surcharge),2))</f>
        <v>62.67</v>
      </c>
      <c r="F17" s="231">
        <f>IF('Intl Priority'!$F$105&gt;ROUND(((1-IntPriorityDiscount-IntPriorityIncentive)*'Intl Priority'!F14),2),ROUND('Intl Priority'!$F$105*(1+International_Fuel_Surcharge),2),ROUND(((1-IntPriorityDiscount-IntPriorityIncentive)*'Intl Priority'!F14)*(1+International_Fuel_Surcharge),2))</f>
        <v>95.24</v>
      </c>
      <c r="G17" s="231">
        <f>IF('Intl Priority'!$G$105&gt;ROUND(((1-IntPriorityDiscount-IntPriorityIncentive)*'Intl Priority'!G14),2),ROUND('Intl Priority'!$G$105*(1+International_Fuel_Surcharge),2),ROUND(((1-IntPriorityDiscount-IntPriorityIncentive)*'Intl Priority'!G14)*(1+International_Fuel_Surcharge),2))</f>
        <v>63.4</v>
      </c>
      <c r="H17" s="231">
        <f>IF('Intl Priority'!$H$105&gt;ROUND(((1-IntPriorityDiscount-IntPriorityIncentive)*'Intl Priority'!H14),2),ROUND('Intl Priority'!$H$105*(1+International_Fuel_Surcharge),2),ROUND(((1-IntPriorityDiscount-IntPriorityIncentive)*'Intl Priority'!H14)*(1+International_Fuel_Surcharge),2))</f>
        <v>64.180000000000007</v>
      </c>
      <c r="I17" s="231">
        <f>IF('Intl Priority'!$I$105&gt;ROUND(((1-IntPriorityDiscount-IntPriorityIncentive)*'Intl Priority'!I14),2),ROUND('Intl Priority'!$I$105*(1+International_Fuel_Surcharge),2),ROUND(((1-IntPriorityDiscount-IntPriorityIncentive)*'Intl Priority'!I14)*(1+International_Fuel_Surcharge),2))</f>
        <v>68.33</v>
      </c>
      <c r="J17" s="231">
        <f>IF('Intl Priority'!$J$105&gt;ROUND(((1-IntPriorityDiscount-IntPriorityIncentive)*'Intl Priority'!J14),2),ROUND('Intl Priority'!$J$105*(1+International_Fuel_Surcharge),2),ROUND(((1-IntPriorityDiscount-IntPriorityIncentive)*'Intl Priority'!J14)*(1+International_Fuel_Surcharge),2))</f>
        <v>53.21</v>
      </c>
      <c r="K17" s="231">
        <f>IF('Intl Priority'!$K$105&gt;ROUND(((1-IntPriorityDiscount-IntPriorityIncentive)*'Intl Priority'!K14),2),ROUND('Intl Priority'!$K$105*(1+International_Fuel_Surcharge),2),ROUND(((1-IntPriorityDiscount-IntPriorityIncentive)*'Intl Priority'!K14)*(1+International_Fuel_Surcharge),2))</f>
        <v>84.36</v>
      </c>
      <c r="L17" s="231">
        <f>IF('Intl Priority'!$L$105&gt;ROUND(((1-IntPriorityDiscount-IntPriorityIncentive)*'Intl Priority'!L14),2),ROUND('Intl Priority'!$L$105*(1+International_Fuel_Surcharge),2),ROUND(((1-IntPriorityDiscount-IntPriorityIncentive)*'Intl Priority'!L14)*(1+International_Fuel_Surcharge),2))</f>
        <v>73.86</v>
      </c>
      <c r="M17" s="231">
        <f>IF('Intl Priority'!$M$105&gt;ROUND(((1-IntPriorityDiscount-IntPriorityIncentive)*'Intl Priority'!M14),2),ROUND('Intl Priority'!$M$105*(1+International_Fuel_Surcharge),2),ROUND(((1-IntPriorityDiscount-IntPriorityIncentive)*'Intl Priority'!M14)*(1+International_Fuel_Surcharge),2))</f>
        <v>112.69</v>
      </c>
      <c r="N17" s="231">
        <f>IF('Intl Priority'!$N$105&gt;ROUND(((1-IntPriorityDiscount-IntPriorityIncentive)*'Intl Priority'!N14),2),ROUND('Intl Priority'!$N$105*(1+International_Fuel_Surcharge),2),ROUND(((1-IntPriorityDiscount-IntPriorityIncentive)*'Intl Priority'!N14)*(1+International_Fuel_Surcharge),2))</f>
        <v>103.08</v>
      </c>
      <c r="O17" s="231">
        <f>IF('Intl Priority'!$O$105&gt;ROUND(((1-IntPriorityDiscount-IntPriorityIncentive)*'Intl Priority'!O14),2),ROUND('Intl Priority'!$O$105*(1+International_Fuel_Surcharge),2),ROUND(((1-IntPriorityDiscount-IntPriorityIncentive)*'Intl Priority'!O14)*(1+International_Fuel_Surcharge),2))</f>
        <v>72.150000000000006</v>
      </c>
      <c r="P17" s="231">
        <f>IF('Intl Priority'!$P$105&gt;ROUND(((1-IntPriorityDiscount-IntPriorityIncentive)*'Intl Priority'!P14),2),ROUND('Intl Priority'!$P$105*(1+International_Fuel_Surcharge),2),ROUND(((1-IntPriorityDiscount-IntPriorityIncentive)*'Intl Priority'!P14)*(1+International_Fuel_Surcharge),2))</f>
        <v>76.31</v>
      </c>
      <c r="Q17" s="231">
        <f>IF('Intl Priority'!$Q$105&gt;ROUND(((1-PuertoRicoDiscount)*'Intl Priority'!Q14),2),ROUND('Intl Priority'!$Q$105*(1+International_Fuel_Surcharge),2),ROUND(((1-PuertoRicoDiscount)*'Intl Priority'!Q14)*(1+International_Fuel_Surcharge),2))</f>
        <v>152.09</v>
      </c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217">
        <v>13</v>
      </c>
      <c r="B18" s="231">
        <f>IF('Intl Priority'!$B$105&gt;ROUND(((1-IntPriorityDiscount-IntPriorityIncentive)*'Intl Priority'!B15),2),ROUND('Intl Priority'!$B$105*(1+International_Fuel_Surcharge),2),ROUND(((1-IntPriorityDiscount-IntPriorityIncentive)*'Intl Priority'!B15)*(1+International_Fuel_Surcharge),2))</f>
        <v>49.2</v>
      </c>
      <c r="C18" s="231">
        <f>IF('Intl Priority'!$C$105&gt;ROUND(((1-IntPriorityDiscount-IntPriorityIncentive)*'Intl Priority'!C15),2),ROUND('Intl Priority'!$C$105*(1+International_Fuel_Surcharge),2),ROUND(((1-IntPriorityDiscount-IntPriorityIncentive)*'Intl Priority'!C15)*(1+International_Fuel_Surcharge),2))</f>
        <v>62.55</v>
      </c>
      <c r="D18" s="231">
        <f>IF('Intl Priority'!$D$105&gt;ROUND(((1-IntPriorityDiscount-IntPriorityIncentive)*'Intl Priority'!D15),2),ROUND('Intl Priority'!$D$105*(1+International_Fuel_Surcharge),2),ROUND(((1-IntPriorityDiscount-IntPriorityIncentive)*'Intl Priority'!D15)*(1+International_Fuel_Surcharge),2))</f>
        <v>66.13</v>
      </c>
      <c r="E18" s="231">
        <f>IF('Intl Priority'!$E$105&gt;ROUND(((1-IntPriorityDiscount-IntPriorityIncentive)*'Intl Priority'!E15),2),ROUND('Intl Priority'!$E$105*(1+International_Fuel_Surcharge),2),ROUND(((1-IntPriorityDiscount-IntPriorityIncentive)*'Intl Priority'!E15)*(1+International_Fuel_Surcharge),2))</f>
        <v>75.72</v>
      </c>
      <c r="F18" s="231">
        <f>IF('Intl Priority'!$F$105&gt;ROUND(((1-IntPriorityDiscount-IntPriorityIncentive)*'Intl Priority'!F15),2),ROUND('Intl Priority'!$F$105*(1+International_Fuel_Surcharge),2),ROUND(((1-IntPriorityDiscount-IntPriorityIncentive)*'Intl Priority'!F15)*(1+International_Fuel_Surcharge),2))</f>
        <v>120.59</v>
      </c>
      <c r="G18" s="231">
        <f>IF('Intl Priority'!$G$105&gt;ROUND(((1-IntPriorityDiscount-IntPriorityIncentive)*'Intl Priority'!G15),2),ROUND('Intl Priority'!$G$105*(1+International_Fuel_Surcharge),2),ROUND(((1-IntPriorityDiscount-IntPriorityIncentive)*'Intl Priority'!G15)*(1+International_Fuel_Surcharge),2))</f>
        <v>82.88</v>
      </c>
      <c r="H18" s="231">
        <f>IF('Intl Priority'!$H$105&gt;ROUND(((1-IntPriorityDiscount-IntPriorityIncentive)*'Intl Priority'!H15),2),ROUND('Intl Priority'!$H$105*(1+International_Fuel_Surcharge),2),ROUND(((1-IntPriorityDiscount-IntPriorityIncentive)*'Intl Priority'!H15)*(1+International_Fuel_Surcharge),2))</f>
        <v>80.14</v>
      </c>
      <c r="I18" s="231">
        <f>IF('Intl Priority'!$I$105&gt;ROUND(((1-IntPriorityDiscount-IntPriorityIncentive)*'Intl Priority'!I15),2),ROUND('Intl Priority'!$I$105*(1+International_Fuel_Surcharge),2),ROUND(((1-IntPriorityDiscount-IntPriorityIncentive)*'Intl Priority'!I15)*(1+International_Fuel_Surcharge),2))</f>
        <v>82.47</v>
      </c>
      <c r="J18" s="231">
        <f>IF('Intl Priority'!$J$105&gt;ROUND(((1-IntPriorityDiscount-IntPriorityIncentive)*'Intl Priority'!J15),2),ROUND('Intl Priority'!$J$105*(1+International_Fuel_Surcharge),2),ROUND(((1-IntPriorityDiscount-IntPriorityIncentive)*'Intl Priority'!J15)*(1+International_Fuel_Surcharge),2))</f>
        <v>57.6</v>
      </c>
      <c r="K18" s="231">
        <f>IF('Intl Priority'!$K$105&gt;ROUND(((1-IntPriorityDiscount-IntPriorityIncentive)*'Intl Priority'!K15),2),ROUND('Intl Priority'!$K$105*(1+International_Fuel_Surcharge),2),ROUND(((1-IntPriorityDiscount-IntPriorityIncentive)*'Intl Priority'!K15)*(1+International_Fuel_Surcharge),2))</f>
        <v>107.95</v>
      </c>
      <c r="L18" s="231">
        <f>IF('Intl Priority'!$L$105&gt;ROUND(((1-IntPriorityDiscount-IntPriorityIncentive)*'Intl Priority'!L15),2),ROUND('Intl Priority'!$L$105*(1+International_Fuel_Surcharge),2),ROUND(((1-IntPriorityDiscount-IntPriorityIncentive)*'Intl Priority'!L15)*(1+International_Fuel_Surcharge),2))</f>
        <v>94.27</v>
      </c>
      <c r="M18" s="231">
        <f>IF('Intl Priority'!$M$105&gt;ROUND(((1-IntPriorityDiscount-IntPriorityIncentive)*'Intl Priority'!M15),2),ROUND('Intl Priority'!$M$105*(1+International_Fuel_Surcharge),2),ROUND(((1-IntPriorityDiscount-IntPriorityIncentive)*'Intl Priority'!M15)*(1+International_Fuel_Surcharge),2))</f>
        <v>136.93</v>
      </c>
      <c r="N18" s="231">
        <f>IF('Intl Priority'!$N$105&gt;ROUND(((1-IntPriorityDiscount-IntPriorityIncentive)*'Intl Priority'!N15),2),ROUND('Intl Priority'!$N$105*(1+International_Fuel_Surcharge),2),ROUND(((1-IntPriorityDiscount-IntPriorityIncentive)*'Intl Priority'!N15)*(1+International_Fuel_Surcharge),2))</f>
        <v>134.38999999999999</v>
      </c>
      <c r="O18" s="231">
        <f>IF('Intl Priority'!$O$105&gt;ROUND(((1-IntPriorityDiscount-IntPriorityIncentive)*'Intl Priority'!O15),2),ROUND('Intl Priority'!$O$105*(1+International_Fuel_Surcharge),2),ROUND(((1-IntPriorityDiscount-IntPriorityIncentive)*'Intl Priority'!O15)*(1+International_Fuel_Surcharge),2))</f>
        <v>92.85</v>
      </c>
      <c r="P18" s="231">
        <f>IF('Intl Priority'!$P$105&gt;ROUND(((1-IntPriorityDiscount-IntPriorityIncentive)*'Intl Priority'!P15),2),ROUND('Intl Priority'!$P$105*(1+International_Fuel_Surcharge),2),ROUND(((1-IntPriorityDiscount-IntPriorityIncentive)*'Intl Priority'!P15)*(1+International_Fuel_Surcharge),2))</f>
        <v>88.75</v>
      </c>
      <c r="Q18" s="231">
        <f>IF('Intl Priority'!$Q$105&gt;ROUND(((1-PuertoRicoDiscount)*'Intl Priority'!Q15),2),ROUND('Intl Priority'!$Q$105*(1+International_Fuel_Surcharge),2),ROUND(((1-PuertoRicoDiscount)*'Intl Priority'!Q15)*(1+International_Fuel_Surcharge),2))</f>
        <v>158.84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217">
        <v>14</v>
      </c>
      <c r="B19" s="231">
        <f>IF('Intl Priority'!$B$105&gt;ROUND(((1-IntPriorityDiscount-IntPriorityIncentive)*'Intl Priority'!B16),2),ROUND('Intl Priority'!$B$105*(1+International_Fuel_Surcharge),2),ROUND(((1-IntPriorityDiscount-IntPriorityIncentive)*'Intl Priority'!B16)*(1+International_Fuel_Surcharge),2))</f>
        <v>56.05</v>
      </c>
      <c r="C19" s="231">
        <f>IF('Intl Priority'!$C$105&gt;ROUND(((1-IntPriorityDiscount-IntPriorityIncentive)*'Intl Priority'!C16),2),ROUND('Intl Priority'!$C$105*(1+International_Fuel_Surcharge),2),ROUND(((1-IntPriorityDiscount-IntPriorityIncentive)*'Intl Priority'!C16)*(1+International_Fuel_Surcharge),2))</f>
        <v>65.81</v>
      </c>
      <c r="D19" s="231">
        <f>IF('Intl Priority'!$D$105&gt;ROUND(((1-IntPriorityDiscount-IntPriorityIncentive)*'Intl Priority'!D16),2),ROUND('Intl Priority'!$D$105*(1+International_Fuel_Surcharge),2),ROUND(((1-IntPriorityDiscount-IntPriorityIncentive)*'Intl Priority'!D16)*(1+International_Fuel_Surcharge),2))</f>
        <v>73.37</v>
      </c>
      <c r="E19" s="231">
        <f>IF('Intl Priority'!$E$105&gt;ROUND(((1-IntPriorityDiscount-IntPriorityIncentive)*'Intl Priority'!E16),2),ROUND('Intl Priority'!$E$105*(1+International_Fuel_Surcharge),2),ROUND(((1-IntPriorityDiscount-IntPriorityIncentive)*'Intl Priority'!E16)*(1+International_Fuel_Surcharge),2))</f>
        <v>85.61</v>
      </c>
      <c r="F19" s="231">
        <f>IF('Intl Priority'!$F$105&gt;ROUND(((1-IntPriorityDiscount-IntPriorityIncentive)*'Intl Priority'!F16),2),ROUND('Intl Priority'!$F$105*(1+International_Fuel_Surcharge),2),ROUND(((1-IntPriorityDiscount-IntPriorityIncentive)*'Intl Priority'!F16)*(1+International_Fuel_Surcharge),2))</f>
        <v>139.57</v>
      </c>
      <c r="G19" s="231">
        <f>IF('Intl Priority'!$G$105&gt;ROUND(((1-IntPriorityDiscount-IntPriorityIncentive)*'Intl Priority'!G16),2),ROUND('Intl Priority'!$G$105*(1+International_Fuel_Surcharge),2),ROUND(((1-IntPriorityDiscount-IntPriorityIncentive)*'Intl Priority'!G16)*(1+International_Fuel_Surcharge),2))</f>
        <v>87.86</v>
      </c>
      <c r="H19" s="231">
        <f>IF('Intl Priority'!$H$105&gt;ROUND(((1-IntPriorityDiscount-IntPriorityIncentive)*'Intl Priority'!H16),2),ROUND('Intl Priority'!$H$105*(1+International_Fuel_Surcharge),2),ROUND(((1-IntPriorityDiscount-IntPriorityIncentive)*'Intl Priority'!H16)*(1+International_Fuel_Surcharge),2))</f>
        <v>85.69</v>
      </c>
      <c r="I19" s="231">
        <f>IF('Intl Priority'!$I$105&gt;ROUND(((1-IntPriorityDiscount-IntPriorityIncentive)*'Intl Priority'!I16),2),ROUND('Intl Priority'!$I$105*(1+International_Fuel_Surcharge),2),ROUND(((1-IntPriorityDiscount-IntPriorityIncentive)*'Intl Priority'!I16)*(1+International_Fuel_Surcharge),2))</f>
        <v>91.09</v>
      </c>
      <c r="J19" s="231">
        <f>IF('Intl Priority'!$J$105&gt;ROUND(((1-IntPriorityDiscount-IntPriorityIncentive)*'Intl Priority'!J16),2),ROUND('Intl Priority'!$J$105*(1+International_Fuel_Surcharge),2),ROUND(((1-IntPriorityDiscount-IntPriorityIncentive)*'Intl Priority'!J16)*(1+International_Fuel_Surcharge),2))</f>
        <v>59.87</v>
      </c>
      <c r="K19" s="231">
        <f>IF('Intl Priority'!$K$105&gt;ROUND(((1-IntPriorityDiscount-IntPriorityIncentive)*'Intl Priority'!K16),2),ROUND('Intl Priority'!$K$105*(1+International_Fuel_Surcharge),2),ROUND(((1-IntPriorityDiscount-IntPriorityIncentive)*'Intl Priority'!K16)*(1+International_Fuel_Surcharge),2))</f>
        <v>123.99</v>
      </c>
      <c r="L19" s="231">
        <f>IF('Intl Priority'!$L$105&gt;ROUND(((1-IntPriorityDiscount-IntPriorityIncentive)*'Intl Priority'!L16),2),ROUND('Intl Priority'!$L$105*(1+International_Fuel_Surcharge),2),ROUND(((1-IntPriorityDiscount-IntPriorityIncentive)*'Intl Priority'!L16)*(1+International_Fuel_Surcharge),2))</f>
        <v>108.17</v>
      </c>
      <c r="M19" s="231">
        <f>IF('Intl Priority'!$M$105&gt;ROUND(((1-IntPriorityDiscount-IntPriorityIncentive)*'Intl Priority'!M16),2),ROUND('Intl Priority'!$M$105*(1+International_Fuel_Surcharge),2),ROUND(((1-IntPriorityDiscount-IntPriorityIncentive)*'Intl Priority'!M16)*(1+International_Fuel_Surcharge),2))</f>
        <v>153.94999999999999</v>
      </c>
      <c r="N19" s="231">
        <f>IF('Intl Priority'!$N$105&gt;ROUND(((1-IntPriorityDiscount-IntPriorityIncentive)*'Intl Priority'!N16),2),ROUND('Intl Priority'!$N$105*(1+International_Fuel_Surcharge),2),ROUND(((1-IntPriorityDiscount-IntPriorityIncentive)*'Intl Priority'!N16)*(1+International_Fuel_Surcharge),2))</f>
        <v>142.96</v>
      </c>
      <c r="O19" s="231">
        <f>IF('Intl Priority'!$O$105&gt;ROUND(((1-IntPriorityDiscount-IntPriorityIncentive)*'Intl Priority'!O16),2),ROUND('Intl Priority'!$O$105*(1+International_Fuel_Surcharge),2),ROUND(((1-IntPriorityDiscount-IntPriorityIncentive)*'Intl Priority'!O16)*(1+International_Fuel_Surcharge),2))</f>
        <v>107.26</v>
      </c>
      <c r="P19" s="231">
        <f>IF('Intl Priority'!$P$105&gt;ROUND(((1-IntPriorityDiscount-IntPriorityIncentive)*'Intl Priority'!P16),2),ROUND('Intl Priority'!$P$105*(1+International_Fuel_Surcharge),2),ROUND(((1-IntPriorityDiscount-IntPriorityIncentive)*'Intl Priority'!P16)*(1+International_Fuel_Surcharge),2))</f>
        <v>113.51</v>
      </c>
      <c r="Q19" s="231">
        <f>IF('Intl Priority'!$Q$105&gt;ROUND(((1-PuertoRicoDiscount)*'Intl Priority'!Q16),2),ROUND('Intl Priority'!$Q$105*(1+International_Fuel_Surcharge),2),ROUND(((1-PuertoRicoDiscount)*'Intl Priority'!Q16)*(1+International_Fuel_Surcharge),2))</f>
        <v>166.05</v>
      </c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217">
        <v>15</v>
      </c>
      <c r="B20" s="231">
        <f>IF('Intl Priority'!$B$105&gt;ROUND(((1-IntPriorityDiscount-IntPriorityIncentive)*'Intl Priority'!B17),2),ROUND('Intl Priority'!$B$105*(1+International_Fuel_Surcharge),2),ROUND(((1-IntPriorityDiscount-IntPriorityIncentive)*'Intl Priority'!B17)*(1+International_Fuel_Surcharge),2))</f>
        <v>56.8</v>
      </c>
      <c r="C20" s="231">
        <f>IF('Intl Priority'!$C$105&gt;ROUND(((1-IntPriorityDiscount-IntPriorityIncentive)*'Intl Priority'!C17),2),ROUND('Intl Priority'!$C$105*(1+International_Fuel_Surcharge),2),ROUND(((1-IntPriorityDiscount-IntPriorityIncentive)*'Intl Priority'!C17)*(1+International_Fuel_Surcharge),2))</f>
        <v>68.02</v>
      </c>
      <c r="D20" s="231">
        <f>IF('Intl Priority'!$D$105&gt;ROUND(((1-IntPriorityDiscount-IntPriorityIncentive)*'Intl Priority'!D17),2),ROUND('Intl Priority'!$D$105*(1+International_Fuel_Surcharge),2),ROUND(((1-IntPriorityDiscount-IntPriorityIncentive)*'Intl Priority'!D17)*(1+International_Fuel_Surcharge),2))</f>
        <v>78.52</v>
      </c>
      <c r="E20" s="231">
        <f>IF('Intl Priority'!$E$105&gt;ROUND(((1-IntPriorityDiscount-IntPriorityIncentive)*'Intl Priority'!E17),2),ROUND('Intl Priority'!$E$105*(1+International_Fuel_Surcharge),2),ROUND(((1-IntPriorityDiscount-IntPriorityIncentive)*'Intl Priority'!E17)*(1+International_Fuel_Surcharge),2))</f>
        <v>86.6</v>
      </c>
      <c r="F20" s="231">
        <f>IF('Intl Priority'!$F$105&gt;ROUND(((1-IntPriorityDiscount-IntPriorityIncentive)*'Intl Priority'!F17),2),ROUND('Intl Priority'!$F$105*(1+International_Fuel_Surcharge),2),ROUND(((1-IntPriorityDiscount-IntPriorityIncentive)*'Intl Priority'!F17)*(1+International_Fuel_Surcharge),2))</f>
        <v>144.56</v>
      </c>
      <c r="G20" s="231">
        <f>IF('Intl Priority'!$G$105&gt;ROUND(((1-IntPriorityDiscount-IntPriorityIncentive)*'Intl Priority'!G17),2),ROUND('Intl Priority'!$G$105*(1+International_Fuel_Surcharge),2),ROUND(((1-IntPriorityDiscount-IntPriorityIncentive)*'Intl Priority'!G17)*(1+International_Fuel_Surcharge),2))</f>
        <v>91.04</v>
      </c>
      <c r="H20" s="231">
        <f>IF('Intl Priority'!$H$105&gt;ROUND(((1-IntPriorityDiscount-IntPriorityIncentive)*'Intl Priority'!H17),2),ROUND('Intl Priority'!$H$105*(1+International_Fuel_Surcharge),2),ROUND(((1-IntPriorityDiscount-IntPriorityIncentive)*'Intl Priority'!H17)*(1+International_Fuel_Surcharge),2))</f>
        <v>90.43</v>
      </c>
      <c r="I20" s="231">
        <f>IF('Intl Priority'!$I$105&gt;ROUND(((1-IntPriorityDiscount-IntPriorityIncentive)*'Intl Priority'!I17),2),ROUND('Intl Priority'!$I$105*(1+International_Fuel_Surcharge),2),ROUND(((1-IntPriorityDiscount-IntPriorityIncentive)*'Intl Priority'!I17)*(1+International_Fuel_Surcharge),2))</f>
        <v>96.68</v>
      </c>
      <c r="J20" s="231">
        <f>IF('Intl Priority'!$J$105&gt;ROUND(((1-IntPriorityDiscount-IntPriorityIncentive)*'Intl Priority'!J17),2),ROUND('Intl Priority'!$J$105*(1+International_Fuel_Surcharge),2),ROUND(((1-IntPriorityDiscount-IntPriorityIncentive)*'Intl Priority'!J17)*(1+International_Fuel_Surcharge),2))</f>
        <v>66.790000000000006</v>
      </c>
      <c r="K20" s="231">
        <f>IF('Intl Priority'!$K$105&gt;ROUND(((1-IntPriorityDiscount-IntPriorityIncentive)*'Intl Priority'!K17),2),ROUND('Intl Priority'!$K$105*(1+International_Fuel_Surcharge),2),ROUND(((1-IntPriorityDiscount-IntPriorityIncentive)*'Intl Priority'!K17)*(1+International_Fuel_Surcharge),2))</f>
        <v>130.08000000000001</v>
      </c>
      <c r="L20" s="231">
        <f>IF('Intl Priority'!$L$105&gt;ROUND(((1-IntPriorityDiscount-IntPriorityIncentive)*'Intl Priority'!L17),2),ROUND('Intl Priority'!$L$105*(1+International_Fuel_Surcharge),2),ROUND(((1-IntPriorityDiscount-IntPriorityIncentive)*'Intl Priority'!L17)*(1+International_Fuel_Surcharge),2))</f>
        <v>118.03</v>
      </c>
      <c r="M20" s="231">
        <f>IF('Intl Priority'!$M$105&gt;ROUND(((1-IntPriorityDiscount-IntPriorityIncentive)*'Intl Priority'!M17),2),ROUND('Intl Priority'!$M$105*(1+International_Fuel_Surcharge),2),ROUND(((1-IntPriorityDiscount-IntPriorityIncentive)*'Intl Priority'!M17)*(1+International_Fuel_Surcharge),2))</f>
        <v>161.94999999999999</v>
      </c>
      <c r="N20" s="231">
        <f>IF('Intl Priority'!$N$105&gt;ROUND(((1-IntPriorityDiscount-IntPriorityIncentive)*'Intl Priority'!N17),2),ROUND('Intl Priority'!$N$105*(1+International_Fuel_Surcharge),2),ROUND(((1-IntPriorityDiscount-IntPriorityIncentive)*'Intl Priority'!N17)*(1+International_Fuel_Surcharge),2))</f>
        <v>152.97</v>
      </c>
      <c r="O20" s="231">
        <f>IF('Intl Priority'!$O$105&gt;ROUND(((1-IntPriorityDiscount-IntPriorityIncentive)*'Intl Priority'!O17),2),ROUND('Intl Priority'!$O$105*(1+International_Fuel_Surcharge),2),ROUND(((1-IntPriorityDiscount-IntPriorityIncentive)*'Intl Priority'!O17)*(1+International_Fuel_Surcharge),2))</f>
        <v>112.53</v>
      </c>
      <c r="P20" s="231">
        <f>IF('Intl Priority'!$P$105&gt;ROUND(((1-IntPriorityDiscount-IntPriorityIncentive)*'Intl Priority'!P17),2),ROUND('Intl Priority'!$P$105*(1+International_Fuel_Surcharge),2),ROUND(((1-IntPriorityDiscount-IntPriorityIncentive)*'Intl Priority'!P17)*(1+International_Fuel_Surcharge),2))</f>
        <v>116.1</v>
      </c>
      <c r="Q20" s="231">
        <f>IF('Intl Priority'!$Q$105&gt;ROUND(((1-PuertoRicoDiscount)*'Intl Priority'!Q17),2),ROUND('Intl Priority'!$Q$105*(1+International_Fuel_Surcharge),2),ROUND(((1-PuertoRicoDiscount)*'Intl Priority'!Q17)*(1+International_Fuel_Surcharge),2))</f>
        <v>171.9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217">
        <v>16</v>
      </c>
      <c r="B21" s="231">
        <f>IF('Intl Priority'!$B$105&gt;ROUND(((1-IntPriorityDiscount-IntPriorityIncentive)*'Intl Priority'!B18),2),ROUND('Intl Priority'!$B$105*(1+International_Fuel_Surcharge),2),ROUND(((1-IntPriorityDiscount-IntPriorityIncentive)*'Intl Priority'!B18)*(1+International_Fuel_Surcharge),2))</f>
        <v>61.43</v>
      </c>
      <c r="C21" s="231">
        <f>IF('Intl Priority'!$C$105&gt;ROUND(((1-IntPriorityDiscount-IntPriorityIncentive)*'Intl Priority'!C18),2),ROUND('Intl Priority'!$C$105*(1+International_Fuel_Surcharge),2),ROUND(((1-IntPriorityDiscount-IntPriorityIncentive)*'Intl Priority'!C18)*(1+International_Fuel_Surcharge),2))</f>
        <v>70.239999999999995</v>
      </c>
      <c r="D21" s="231">
        <f>IF('Intl Priority'!$D$105&gt;ROUND(((1-IntPriorityDiscount-IntPriorityIncentive)*'Intl Priority'!D18),2),ROUND('Intl Priority'!$D$105*(1+International_Fuel_Surcharge),2),ROUND(((1-IntPriorityDiscount-IntPriorityIncentive)*'Intl Priority'!D18)*(1+International_Fuel_Surcharge),2))</f>
        <v>79.040000000000006</v>
      </c>
      <c r="E21" s="231">
        <f>IF('Intl Priority'!$E$105&gt;ROUND(((1-IntPriorityDiscount-IntPriorityIncentive)*'Intl Priority'!E18),2),ROUND('Intl Priority'!$E$105*(1+International_Fuel_Surcharge),2),ROUND(((1-IntPriorityDiscount-IntPriorityIncentive)*'Intl Priority'!E18)*(1+International_Fuel_Surcharge),2))</f>
        <v>92.1</v>
      </c>
      <c r="F21" s="231">
        <f>IF('Intl Priority'!$F$105&gt;ROUND(((1-IntPriorityDiscount-IntPriorityIncentive)*'Intl Priority'!F18),2),ROUND('Intl Priority'!$F$105*(1+International_Fuel_Surcharge),2),ROUND(((1-IntPriorityDiscount-IntPriorityIncentive)*'Intl Priority'!F18)*(1+International_Fuel_Surcharge),2))</f>
        <v>164.74</v>
      </c>
      <c r="G21" s="231">
        <f>IF('Intl Priority'!$G$105&gt;ROUND(((1-IntPriorityDiscount-IntPriorityIncentive)*'Intl Priority'!G18),2),ROUND('Intl Priority'!$G$105*(1+International_Fuel_Surcharge),2),ROUND(((1-IntPriorityDiscount-IntPriorityIncentive)*'Intl Priority'!G18)*(1+International_Fuel_Surcharge),2))</f>
        <v>94.39</v>
      </c>
      <c r="H21" s="231">
        <f>IF('Intl Priority'!$H$105&gt;ROUND(((1-IntPriorityDiscount-IntPriorityIncentive)*'Intl Priority'!H18),2),ROUND('Intl Priority'!$H$105*(1+International_Fuel_Surcharge),2),ROUND(((1-IntPriorityDiscount-IntPriorityIncentive)*'Intl Priority'!H18)*(1+International_Fuel_Surcharge),2))</f>
        <v>94.32</v>
      </c>
      <c r="I21" s="231">
        <f>IF('Intl Priority'!$I$105&gt;ROUND(((1-IntPriorityDiscount-IntPriorityIncentive)*'Intl Priority'!I18),2),ROUND('Intl Priority'!$I$105*(1+International_Fuel_Surcharge),2),ROUND(((1-IntPriorityDiscount-IntPriorityIncentive)*'Intl Priority'!I18)*(1+International_Fuel_Surcharge),2))</f>
        <v>100.47</v>
      </c>
      <c r="J21" s="231">
        <f>IF('Intl Priority'!$J$105&gt;ROUND(((1-IntPriorityDiscount-IntPriorityIncentive)*'Intl Priority'!J18),2),ROUND('Intl Priority'!$J$105*(1+International_Fuel_Surcharge),2),ROUND(((1-IntPriorityDiscount-IntPriorityIncentive)*'Intl Priority'!J18)*(1+International_Fuel_Surcharge),2))</f>
        <v>71.09</v>
      </c>
      <c r="K21" s="231">
        <f>IF('Intl Priority'!$K$105&gt;ROUND(((1-IntPriorityDiscount-IntPriorityIncentive)*'Intl Priority'!K18),2),ROUND('Intl Priority'!$K$105*(1+International_Fuel_Surcharge),2),ROUND(((1-IntPriorityDiscount-IntPriorityIncentive)*'Intl Priority'!K18)*(1+International_Fuel_Surcharge),2))</f>
        <v>135.29</v>
      </c>
      <c r="L21" s="231">
        <f>IF('Intl Priority'!$L$105&gt;ROUND(((1-IntPriorityDiscount-IntPriorityIncentive)*'Intl Priority'!L18),2),ROUND('Intl Priority'!$L$105*(1+International_Fuel_Surcharge),2),ROUND(((1-IntPriorityDiscount-IntPriorityIncentive)*'Intl Priority'!L18)*(1+International_Fuel_Surcharge),2))</f>
        <v>119.6</v>
      </c>
      <c r="M21" s="231">
        <f>IF('Intl Priority'!$M$105&gt;ROUND(((1-IntPriorityDiscount-IntPriorityIncentive)*'Intl Priority'!M18),2),ROUND('Intl Priority'!$M$105*(1+International_Fuel_Surcharge),2),ROUND(((1-IntPriorityDiscount-IntPriorityIncentive)*'Intl Priority'!M18)*(1+International_Fuel_Surcharge),2))</f>
        <v>180.28</v>
      </c>
      <c r="N21" s="231">
        <f>IF('Intl Priority'!$N$105&gt;ROUND(((1-IntPriorityDiscount-IntPriorityIncentive)*'Intl Priority'!N18),2),ROUND('Intl Priority'!$N$105*(1+International_Fuel_Surcharge),2),ROUND(((1-IntPriorityDiscount-IntPriorityIncentive)*'Intl Priority'!N18)*(1+International_Fuel_Surcharge),2))</f>
        <v>167.75</v>
      </c>
      <c r="O21" s="231">
        <f>IF('Intl Priority'!$O$105&gt;ROUND(((1-IntPriorityDiscount-IntPriorityIncentive)*'Intl Priority'!O18),2),ROUND('Intl Priority'!$O$105*(1+International_Fuel_Surcharge),2),ROUND(((1-IntPriorityDiscount-IntPriorityIncentive)*'Intl Priority'!O18)*(1+International_Fuel_Surcharge),2))</f>
        <v>115.24</v>
      </c>
      <c r="P21" s="231">
        <f>IF('Intl Priority'!$P$105&gt;ROUND(((1-IntPriorityDiscount-IntPriorityIncentive)*'Intl Priority'!P18),2),ROUND('Intl Priority'!$P$105*(1+International_Fuel_Surcharge),2),ROUND(((1-IntPriorityDiscount-IntPriorityIncentive)*'Intl Priority'!P18)*(1+International_Fuel_Surcharge),2))</f>
        <v>117.52</v>
      </c>
      <c r="Q21" s="231">
        <f>IF('Intl Priority'!$Q$105&gt;ROUND(((1-PuertoRicoDiscount)*'Intl Priority'!Q18),2),ROUND('Intl Priority'!$Q$105*(1+International_Fuel_Surcharge),2),ROUND(((1-PuertoRicoDiscount)*'Intl Priority'!Q18)*(1+International_Fuel_Surcharge),2))</f>
        <v>178.68</v>
      </c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217">
        <v>17</v>
      </c>
      <c r="B22" s="231">
        <f>IF('Intl Priority'!$B$105&gt;ROUND(((1-IntPriorityDiscount-IntPriorityIncentive)*'Intl Priority'!B19),2),ROUND('Intl Priority'!$B$105*(1+International_Fuel_Surcharge),2),ROUND(((1-IntPriorityDiscount-IntPriorityIncentive)*'Intl Priority'!B19)*(1+International_Fuel_Surcharge),2))</f>
        <v>63.15</v>
      </c>
      <c r="C22" s="231">
        <f>IF('Intl Priority'!$C$105&gt;ROUND(((1-IntPriorityDiscount-IntPriorityIncentive)*'Intl Priority'!C19),2),ROUND('Intl Priority'!$C$105*(1+International_Fuel_Surcharge),2),ROUND(((1-IntPriorityDiscount-IntPriorityIncentive)*'Intl Priority'!C19)*(1+International_Fuel_Surcharge),2))</f>
        <v>72.3</v>
      </c>
      <c r="D22" s="231">
        <f>IF('Intl Priority'!$D$105&gt;ROUND(((1-IntPriorityDiscount-IntPriorityIncentive)*'Intl Priority'!D19),2),ROUND('Intl Priority'!$D$105*(1+International_Fuel_Surcharge),2),ROUND(((1-IntPriorityDiscount-IntPriorityIncentive)*'Intl Priority'!D19)*(1+International_Fuel_Surcharge),2))</f>
        <v>79.2</v>
      </c>
      <c r="E22" s="231">
        <f>IF('Intl Priority'!$E$105&gt;ROUND(((1-IntPriorityDiscount-IntPriorityIncentive)*'Intl Priority'!E19),2),ROUND('Intl Priority'!$E$105*(1+International_Fuel_Surcharge),2),ROUND(((1-IntPriorityDiscount-IntPriorityIncentive)*'Intl Priority'!E19)*(1+International_Fuel_Surcharge),2))</f>
        <v>92.66</v>
      </c>
      <c r="F22" s="231">
        <f>IF('Intl Priority'!$F$105&gt;ROUND(((1-IntPriorityDiscount-IntPriorityIncentive)*'Intl Priority'!F19),2),ROUND('Intl Priority'!$F$105*(1+International_Fuel_Surcharge),2),ROUND(((1-IntPriorityDiscount-IntPriorityIncentive)*'Intl Priority'!F19)*(1+International_Fuel_Surcharge),2))</f>
        <v>171.36</v>
      </c>
      <c r="G22" s="231">
        <f>IF('Intl Priority'!$G$105&gt;ROUND(((1-IntPriorityDiscount-IntPriorityIncentive)*'Intl Priority'!G19),2),ROUND('Intl Priority'!$G$105*(1+International_Fuel_Surcharge),2),ROUND(((1-IntPriorityDiscount-IntPriorityIncentive)*'Intl Priority'!G19)*(1+International_Fuel_Surcharge),2))</f>
        <v>96.92</v>
      </c>
      <c r="H22" s="231">
        <f>IF('Intl Priority'!$H$105&gt;ROUND(((1-IntPriorityDiscount-IntPriorityIncentive)*'Intl Priority'!H19),2),ROUND('Intl Priority'!$H$105*(1+International_Fuel_Surcharge),2),ROUND(((1-IntPriorityDiscount-IntPriorityIncentive)*'Intl Priority'!H19)*(1+International_Fuel_Surcharge),2))</f>
        <v>94.71</v>
      </c>
      <c r="I22" s="231">
        <f>IF('Intl Priority'!$I$105&gt;ROUND(((1-IntPriorityDiscount-IntPriorityIncentive)*'Intl Priority'!I19),2),ROUND('Intl Priority'!$I$105*(1+International_Fuel_Surcharge),2),ROUND(((1-IntPriorityDiscount-IntPriorityIncentive)*'Intl Priority'!I19)*(1+International_Fuel_Surcharge),2))</f>
        <v>100.86</v>
      </c>
      <c r="J22" s="231">
        <f>IF('Intl Priority'!$J$105&gt;ROUND(((1-IntPriorityDiscount-IntPriorityIncentive)*'Intl Priority'!J19),2),ROUND('Intl Priority'!$J$105*(1+International_Fuel_Surcharge),2),ROUND(((1-IntPriorityDiscount-IntPriorityIncentive)*'Intl Priority'!J19)*(1+International_Fuel_Surcharge),2))</f>
        <v>71.52</v>
      </c>
      <c r="K22" s="231">
        <f>IF('Intl Priority'!$K$105&gt;ROUND(((1-IntPriorityDiscount-IntPriorityIncentive)*'Intl Priority'!K19),2),ROUND('Intl Priority'!$K$105*(1+International_Fuel_Surcharge),2),ROUND(((1-IntPriorityDiscount-IntPriorityIncentive)*'Intl Priority'!K19)*(1+International_Fuel_Surcharge),2))</f>
        <v>138.85</v>
      </c>
      <c r="L22" s="231">
        <f>IF('Intl Priority'!$L$105&gt;ROUND(((1-IntPriorityDiscount-IntPriorityIncentive)*'Intl Priority'!L19),2),ROUND('Intl Priority'!$L$105*(1+International_Fuel_Surcharge),2),ROUND(((1-IntPriorityDiscount-IntPriorityIncentive)*'Intl Priority'!L19)*(1+International_Fuel_Surcharge),2))</f>
        <v>119.84</v>
      </c>
      <c r="M22" s="231">
        <f>IF('Intl Priority'!$M$105&gt;ROUND(((1-IntPriorityDiscount-IntPriorityIncentive)*'Intl Priority'!M19),2),ROUND('Intl Priority'!$M$105*(1+International_Fuel_Surcharge),2),ROUND(((1-IntPriorityDiscount-IntPriorityIncentive)*'Intl Priority'!M19)*(1+International_Fuel_Surcharge),2))</f>
        <v>182.11</v>
      </c>
      <c r="N22" s="231">
        <f>IF('Intl Priority'!$N$105&gt;ROUND(((1-IntPriorityDiscount-IntPriorityIncentive)*'Intl Priority'!N19),2),ROUND('Intl Priority'!$N$105*(1+International_Fuel_Surcharge),2),ROUND(((1-IntPriorityDiscount-IntPriorityIncentive)*'Intl Priority'!N19)*(1+International_Fuel_Surcharge),2))</f>
        <v>169.23</v>
      </c>
      <c r="O22" s="231">
        <f>IF('Intl Priority'!$O$105&gt;ROUND(((1-IntPriorityDiscount-IntPriorityIncentive)*'Intl Priority'!O19),2),ROUND('Intl Priority'!$O$105*(1+International_Fuel_Surcharge),2),ROUND(((1-IntPriorityDiscount-IntPriorityIncentive)*'Intl Priority'!O19)*(1+International_Fuel_Surcharge),2))</f>
        <v>115.51</v>
      </c>
      <c r="P22" s="231">
        <f>IF('Intl Priority'!$P$105&gt;ROUND(((1-IntPriorityDiscount-IntPriorityIncentive)*'Intl Priority'!P19),2),ROUND('Intl Priority'!$P$105*(1+International_Fuel_Surcharge),2),ROUND(((1-IntPriorityDiscount-IntPriorityIncentive)*'Intl Priority'!P19)*(1+International_Fuel_Surcharge),2))</f>
        <v>118.12</v>
      </c>
      <c r="Q22" s="231">
        <f>IF('Intl Priority'!$Q$105&gt;ROUND(((1-PuertoRicoDiscount)*'Intl Priority'!Q19),2),ROUND('Intl Priority'!$Q$105*(1+International_Fuel_Surcharge),2),ROUND(((1-PuertoRicoDiscount)*'Intl Priority'!Q19)*(1+International_Fuel_Surcharge),2))</f>
        <v>182.65</v>
      </c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217">
        <v>18</v>
      </c>
      <c r="B23" s="231">
        <f>IF('Intl Priority'!$B$105&gt;ROUND(((1-IntPriorityDiscount-IntPriorityIncentive)*'Intl Priority'!B20),2),ROUND('Intl Priority'!$B$105*(1+International_Fuel_Surcharge),2),ROUND(((1-IntPriorityDiscount-IntPriorityIncentive)*'Intl Priority'!B20)*(1+International_Fuel_Surcharge),2))</f>
        <v>64.45</v>
      </c>
      <c r="C23" s="231">
        <f>IF('Intl Priority'!$C$105&gt;ROUND(((1-IntPriorityDiscount-IntPriorityIncentive)*'Intl Priority'!C20),2),ROUND('Intl Priority'!$C$105*(1+International_Fuel_Surcharge),2),ROUND(((1-IntPriorityDiscount-IntPriorityIncentive)*'Intl Priority'!C20)*(1+International_Fuel_Surcharge),2))</f>
        <v>72.510000000000005</v>
      </c>
      <c r="D23" s="231">
        <f>IF('Intl Priority'!$D$105&gt;ROUND(((1-IntPriorityDiscount-IntPriorityIncentive)*'Intl Priority'!D20),2),ROUND('Intl Priority'!$D$105*(1+International_Fuel_Surcharge),2),ROUND(((1-IntPriorityDiscount-IntPriorityIncentive)*'Intl Priority'!D20)*(1+International_Fuel_Surcharge),2))</f>
        <v>79.36</v>
      </c>
      <c r="E23" s="231">
        <f>IF('Intl Priority'!$E$105&gt;ROUND(((1-IntPriorityDiscount-IntPriorityIncentive)*'Intl Priority'!E20),2),ROUND('Intl Priority'!$E$105*(1+International_Fuel_Surcharge),2),ROUND(((1-IntPriorityDiscount-IntPriorityIncentive)*'Intl Priority'!E20)*(1+International_Fuel_Surcharge),2))</f>
        <v>92.95</v>
      </c>
      <c r="F23" s="231">
        <f>IF('Intl Priority'!$F$105&gt;ROUND(((1-IntPriorityDiscount-IntPriorityIncentive)*'Intl Priority'!F20),2),ROUND('Intl Priority'!$F$105*(1+International_Fuel_Surcharge),2),ROUND(((1-IntPriorityDiscount-IntPriorityIncentive)*'Intl Priority'!F20)*(1+International_Fuel_Surcharge),2))</f>
        <v>176.57</v>
      </c>
      <c r="G23" s="231">
        <f>IF('Intl Priority'!$G$105&gt;ROUND(((1-IntPriorityDiscount-IntPriorityIncentive)*'Intl Priority'!G20),2),ROUND('Intl Priority'!$G$105*(1+International_Fuel_Surcharge),2),ROUND(((1-IntPriorityDiscount-IntPriorityIncentive)*'Intl Priority'!G20)*(1+International_Fuel_Surcharge),2))</f>
        <v>97.18</v>
      </c>
      <c r="H23" s="231">
        <f>IF('Intl Priority'!$H$105&gt;ROUND(((1-IntPriorityDiscount-IntPriorityIncentive)*'Intl Priority'!H20),2),ROUND('Intl Priority'!$H$105*(1+International_Fuel_Surcharge),2),ROUND(((1-IntPriorityDiscount-IntPriorityIncentive)*'Intl Priority'!H20)*(1+International_Fuel_Surcharge),2))</f>
        <v>94.9</v>
      </c>
      <c r="I23" s="231">
        <f>IF('Intl Priority'!$I$105&gt;ROUND(((1-IntPriorityDiscount-IntPriorityIncentive)*'Intl Priority'!I20),2),ROUND('Intl Priority'!$I$105*(1+International_Fuel_Surcharge),2),ROUND(((1-IntPriorityDiscount-IntPriorityIncentive)*'Intl Priority'!I20)*(1+International_Fuel_Surcharge),2))</f>
        <v>101.06</v>
      </c>
      <c r="J23" s="231">
        <f>IF('Intl Priority'!$J$105&gt;ROUND(((1-IntPriorityDiscount-IntPriorityIncentive)*'Intl Priority'!J20),2),ROUND('Intl Priority'!$J$105*(1+International_Fuel_Surcharge),2),ROUND(((1-IntPriorityDiscount-IntPriorityIncentive)*'Intl Priority'!J20)*(1+International_Fuel_Surcharge),2))</f>
        <v>71.88</v>
      </c>
      <c r="K23" s="231">
        <f>IF('Intl Priority'!$K$105&gt;ROUND(((1-IntPriorityDiscount-IntPriorityIncentive)*'Intl Priority'!K20),2),ROUND('Intl Priority'!$K$105*(1+International_Fuel_Surcharge),2),ROUND(((1-IntPriorityDiscount-IntPriorityIncentive)*'Intl Priority'!K20)*(1+International_Fuel_Surcharge),2))</f>
        <v>139.22</v>
      </c>
      <c r="L23" s="231">
        <f>IF('Intl Priority'!$L$105&gt;ROUND(((1-IntPriorityDiscount-IntPriorityIncentive)*'Intl Priority'!L20),2),ROUND('Intl Priority'!$L$105*(1+International_Fuel_Surcharge),2),ROUND(((1-IntPriorityDiscount-IntPriorityIncentive)*'Intl Priority'!L20)*(1+International_Fuel_Surcharge),2))</f>
        <v>120.08</v>
      </c>
      <c r="M23" s="231">
        <f>IF('Intl Priority'!$M$105&gt;ROUND(((1-IntPriorityDiscount-IntPriorityIncentive)*'Intl Priority'!M20),2),ROUND('Intl Priority'!$M$105*(1+International_Fuel_Surcharge),2),ROUND(((1-IntPriorityDiscount-IntPriorityIncentive)*'Intl Priority'!M20)*(1+International_Fuel_Surcharge),2))</f>
        <v>188.53</v>
      </c>
      <c r="N23" s="231">
        <f>IF('Intl Priority'!$N$105&gt;ROUND(((1-IntPriorityDiscount-IntPriorityIncentive)*'Intl Priority'!N20),2),ROUND('Intl Priority'!$N$105*(1+International_Fuel_Surcharge),2),ROUND(((1-IntPriorityDiscount-IntPriorityIncentive)*'Intl Priority'!N20)*(1+International_Fuel_Surcharge),2))</f>
        <v>169.58</v>
      </c>
      <c r="O23" s="231">
        <f>IF('Intl Priority'!$O$105&gt;ROUND(((1-IntPriorityDiscount-IntPriorityIncentive)*'Intl Priority'!O20),2),ROUND('Intl Priority'!$O$105*(1+International_Fuel_Surcharge),2),ROUND(((1-IntPriorityDiscount-IntPriorityIncentive)*'Intl Priority'!O20)*(1+International_Fuel_Surcharge),2))</f>
        <v>115.74</v>
      </c>
      <c r="P23" s="231">
        <f>IF('Intl Priority'!$P$105&gt;ROUND(((1-IntPriorityDiscount-IntPriorityIncentive)*'Intl Priority'!P20),2),ROUND('Intl Priority'!$P$105*(1+International_Fuel_Surcharge),2),ROUND(((1-IntPriorityDiscount-IntPriorityIncentive)*'Intl Priority'!P20)*(1+International_Fuel_Surcharge),2))</f>
        <v>118.36</v>
      </c>
      <c r="Q23" s="231">
        <f>IF('Intl Priority'!$Q$105&gt;ROUND(((1-PuertoRicoDiscount)*'Intl Priority'!Q20),2),ROUND('Intl Priority'!$Q$105*(1+International_Fuel_Surcharge),2),ROUND(((1-PuertoRicoDiscount)*'Intl Priority'!Q20)*(1+International_Fuel_Surcharge),2))</f>
        <v>187.27</v>
      </c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217">
        <v>19</v>
      </c>
      <c r="B24" s="231">
        <f>IF('Intl Priority'!$B$105&gt;ROUND(((1-IntPriorityDiscount-IntPriorityIncentive)*'Intl Priority'!B21),2),ROUND('Intl Priority'!$B$105*(1+International_Fuel_Surcharge),2),ROUND(((1-IntPriorityDiscount-IntPriorityIncentive)*'Intl Priority'!B21)*(1+International_Fuel_Surcharge),2))</f>
        <v>64.58</v>
      </c>
      <c r="C24" s="231">
        <f>IF('Intl Priority'!$C$105&gt;ROUND(((1-IntPriorityDiscount-IntPriorityIncentive)*'Intl Priority'!C21),2),ROUND('Intl Priority'!$C$105*(1+International_Fuel_Surcharge),2),ROUND(((1-IntPriorityDiscount-IntPriorityIncentive)*'Intl Priority'!C21)*(1+International_Fuel_Surcharge),2))</f>
        <v>73.34</v>
      </c>
      <c r="D24" s="231">
        <f>IF('Intl Priority'!$D$105&gt;ROUND(((1-IntPriorityDiscount-IntPriorityIncentive)*'Intl Priority'!D21),2),ROUND('Intl Priority'!$D$105*(1+International_Fuel_Surcharge),2),ROUND(((1-IntPriorityDiscount-IntPriorityIncentive)*'Intl Priority'!D21)*(1+International_Fuel_Surcharge),2))</f>
        <v>79.52</v>
      </c>
      <c r="E24" s="231">
        <f>IF('Intl Priority'!$E$105&gt;ROUND(((1-IntPriorityDiscount-IntPriorityIncentive)*'Intl Priority'!E21),2),ROUND('Intl Priority'!$E$105*(1+International_Fuel_Surcharge),2),ROUND(((1-IntPriorityDiscount-IntPriorityIncentive)*'Intl Priority'!E21)*(1+International_Fuel_Surcharge),2))</f>
        <v>93.14</v>
      </c>
      <c r="F24" s="231">
        <f>IF('Intl Priority'!$F$105&gt;ROUND(((1-IntPriorityDiscount-IntPriorityIncentive)*'Intl Priority'!F21),2),ROUND('Intl Priority'!$F$105*(1+International_Fuel_Surcharge),2),ROUND(((1-IntPriorityDiscount-IntPriorityIncentive)*'Intl Priority'!F21)*(1+International_Fuel_Surcharge),2))</f>
        <v>180.95</v>
      </c>
      <c r="G24" s="231">
        <f>IF('Intl Priority'!$G$105&gt;ROUND(((1-IntPriorityDiscount-IntPriorityIncentive)*'Intl Priority'!G21),2),ROUND('Intl Priority'!$G$105*(1+International_Fuel_Surcharge),2),ROUND(((1-IntPriorityDiscount-IntPriorityIncentive)*'Intl Priority'!G21)*(1+International_Fuel_Surcharge),2))</f>
        <v>97.38</v>
      </c>
      <c r="H24" s="231">
        <f>IF('Intl Priority'!$H$105&gt;ROUND(((1-IntPriorityDiscount-IntPriorityIncentive)*'Intl Priority'!H21),2),ROUND('Intl Priority'!$H$105*(1+International_Fuel_Surcharge),2),ROUND(((1-IntPriorityDiscount-IntPriorityIncentive)*'Intl Priority'!H21)*(1+International_Fuel_Surcharge),2))</f>
        <v>95.09</v>
      </c>
      <c r="I24" s="231">
        <f>IF('Intl Priority'!$I$105&gt;ROUND(((1-IntPriorityDiscount-IntPriorityIncentive)*'Intl Priority'!I21),2),ROUND('Intl Priority'!$I$105*(1+International_Fuel_Surcharge),2),ROUND(((1-IntPriorityDiscount-IntPriorityIncentive)*'Intl Priority'!I21)*(1+International_Fuel_Surcharge),2))</f>
        <v>101.26</v>
      </c>
      <c r="J24" s="231">
        <f>IF('Intl Priority'!$J$105&gt;ROUND(((1-IntPriorityDiscount-IntPriorityIncentive)*'Intl Priority'!J21),2),ROUND('Intl Priority'!$J$105*(1+International_Fuel_Surcharge),2),ROUND(((1-IntPriorityDiscount-IntPriorityIncentive)*'Intl Priority'!J21)*(1+International_Fuel_Surcharge),2))</f>
        <v>79.13</v>
      </c>
      <c r="K24" s="231">
        <f>IF('Intl Priority'!$K$105&gt;ROUND(((1-IntPriorityDiscount-IntPriorityIncentive)*'Intl Priority'!K21),2),ROUND('Intl Priority'!$K$105*(1+International_Fuel_Surcharge),2),ROUND(((1-IntPriorityDiscount-IntPriorityIncentive)*'Intl Priority'!K21)*(1+International_Fuel_Surcharge),2))</f>
        <v>139.5</v>
      </c>
      <c r="L24" s="231">
        <f>IF('Intl Priority'!$L$105&gt;ROUND(((1-IntPriorityDiscount-IntPriorityIncentive)*'Intl Priority'!L21),2),ROUND('Intl Priority'!$L$105*(1+International_Fuel_Surcharge),2),ROUND(((1-IntPriorityDiscount-IntPriorityIncentive)*'Intl Priority'!L21)*(1+International_Fuel_Surcharge),2))</f>
        <v>120.32</v>
      </c>
      <c r="M24" s="231">
        <f>IF('Intl Priority'!$M$105&gt;ROUND(((1-IntPriorityDiscount-IntPriorityIncentive)*'Intl Priority'!M21),2),ROUND('Intl Priority'!$M$105*(1+International_Fuel_Surcharge),2),ROUND(((1-IntPriorityDiscount-IntPriorityIncentive)*'Intl Priority'!M21)*(1+International_Fuel_Surcharge),2))</f>
        <v>190.68</v>
      </c>
      <c r="N24" s="231">
        <f>IF('Intl Priority'!$N$105&gt;ROUND(((1-IntPriorityDiscount-IntPriorityIncentive)*'Intl Priority'!N21),2),ROUND('Intl Priority'!$N$105*(1+International_Fuel_Surcharge),2),ROUND(((1-IntPriorityDiscount-IntPriorityIncentive)*'Intl Priority'!N21)*(1+International_Fuel_Surcharge),2))</f>
        <v>169.92</v>
      </c>
      <c r="O24" s="231">
        <f>IF('Intl Priority'!$O$105&gt;ROUND(((1-IntPriorityDiscount-IntPriorityIncentive)*'Intl Priority'!O21),2),ROUND('Intl Priority'!$O$105*(1+International_Fuel_Surcharge),2),ROUND(((1-IntPriorityDiscount-IntPriorityIncentive)*'Intl Priority'!O21)*(1+International_Fuel_Surcharge),2))</f>
        <v>115.97</v>
      </c>
      <c r="P24" s="231">
        <f>IF('Intl Priority'!$P$105&gt;ROUND(((1-IntPriorityDiscount-IntPriorityIncentive)*'Intl Priority'!P21),2),ROUND('Intl Priority'!$P$105*(1+International_Fuel_Surcharge),2),ROUND(((1-IntPriorityDiscount-IntPriorityIncentive)*'Intl Priority'!P21)*(1+International_Fuel_Surcharge),2))</f>
        <v>118.61</v>
      </c>
      <c r="Q24" s="231">
        <f>IF('Intl Priority'!$Q$105&gt;ROUND(((1-PuertoRicoDiscount)*'Intl Priority'!Q21),2),ROUND('Intl Priority'!$Q$105*(1+International_Fuel_Surcharge),2),ROUND(((1-PuertoRicoDiscount)*'Intl Priority'!Q21)*(1+International_Fuel_Surcharge),2))</f>
        <v>193.54</v>
      </c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217">
        <v>20</v>
      </c>
      <c r="B25" s="231">
        <f>IF('Intl Priority'!$B$105&gt;ROUND(((1-IntPriorityDiscount-IntPriorityIncentive)*'Intl Priority'!B22),2),ROUND('Intl Priority'!$B$105*(1+International_Fuel_Surcharge),2),ROUND(((1-IntPriorityDiscount-IntPriorityIncentive)*'Intl Priority'!B22)*(1+International_Fuel_Surcharge),2))</f>
        <v>64.709999999999994</v>
      </c>
      <c r="C25" s="231">
        <f>IF('Intl Priority'!$C$105&gt;ROUND(((1-IntPriorityDiscount-IntPriorityIncentive)*'Intl Priority'!C22),2),ROUND('Intl Priority'!$C$105*(1+International_Fuel_Surcharge),2),ROUND(((1-IntPriorityDiscount-IntPriorityIncentive)*'Intl Priority'!C22)*(1+International_Fuel_Surcharge),2))</f>
        <v>73.489999999999995</v>
      </c>
      <c r="D25" s="231">
        <f>IF('Intl Priority'!$D$105&gt;ROUND(((1-IntPriorityDiscount-IntPriorityIncentive)*'Intl Priority'!D22),2),ROUND('Intl Priority'!$D$105*(1+International_Fuel_Surcharge),2),ROUND(((1-IntPriorityDiscount-IntPriorityIncentive)*'Intl Priority'!D22)*(1+International_Fuel_Surcharge),2))</f>
        <v>79.680000000000007</v>
      </c>
      <c r="E25" s="231">
        <f>IF('Intl Priority'!$E$105&gt;ROUND(((1-IntPriorityDiscount-IntPriorityIncentive)*'Intl Priority'!E22),2),ROUND('Intl Priority'!$E$105*(1+International_Fuel_Surcharge),2),ROUND(((1-IntPriorityDiscount-IntPriorityIncentive)*'Intl Priority'!E22)*(1+International_Fuel_Surcharge),2))</f>
        <v>93.32</v>
      </c>
      <c r="F25" s="231">
        <f>IF('Intl Priority'!$F$105&gt;ROUND(((1-IntPriorityDiscount-IntPriorityIncentive)*'Intl Priority'!F22),2),ROUND('Intl Priority'!$F$105*(1+International_Fuel_Surcharge),2),ROUND(((1-IntPriorityDiscount-IntPriorityIncentive)*'Intl Priority'!F22)*(1+International_Fuel_Surcharge),2))</f>
        <v>181.39</v>
      </c>
      <c r="G25" s="231">
        <f>IF('Intl Priority'!$G$105&gt;ROUND(((1-IntPriorityDiscount-IntPriorityIncentive)*'Intl Priority'!G22),2),ROUND('Intl Priority'!$G$105*(1+International_Fuel_Surcharge),2),ROUND(((1-IntPriorityDiscount-IntPriorityIncentive)*'Intl Priority'!G22)*(1+International_Fuel_Surcharge),2))</f>
        <v>97.57</v>
      </c>
      <c r="H25" s="231">
        <f>IF('Intl Priority'!$H$105&gt;ROUND(((1-IntPriorityDiscount-IntPriorityIncentive)*'Intl Priority'!H22),2),ROUND('Intl Priority'!$H$105*(1+International_Fuel_Surcharge),2),ROUND(((1-IntPriorityDiscount-IntPriorityIncentive)*'Intl Priority'!H22)*(1+International_Fuel_Surcharge),2))</f>
        <v>95.28</v>
      </c>
      <c r="I25" s="231">
        <f>IF('Intl Priority'!$I$105&gt;ROUND(((1-IntPriorityDiscount-IntPriorityIncentive)*'Intl Priority'!I22),2),ROUND('Intl Priority'!$I$105*(1+International_Fuel_Surcharge),2),ROUND(((1-IntPriorityDiscount-IntPriorityIncentive)*'Intl Priority'!I22)*(1+International_Fuel_Surcharge),2))</f>
        <v>101.47</v>
      </c>
      <c r="J25" s="231">
        <f>IF('Intl Priority'!$J$105&gt;ROUND(((1-IntPriorityDiscount-IntPriorityIncentive)*'Intl Priority'!J22),2),ROUND('Intl Priority'!$J$105*(1+International_Fuel_Surcharge),2),ROUND(((1-IntPriorityDiscount-IntPriorityIncentive)*'Intl Priority'!J22)*(1+International_Fuel_Surcharge),2))</f>
        <v>79.849999999999994</v>
      </c>
      <c r="K25" s="231">
        <f>IF('Intl Priority'!$K$105&gt;ROUND(((1-IntPriorityDiscount-IntPriorityIncentive)*'Intl Priority'!K22),2),ROUND('Intl Priority'!$K$105*(1+International_Fuel_Surcharge),2),ROUND(((1-IntPriorityDiscount-IntPriorityIncentive)*'Intl Priority'!K22)*(1+International_Fuel_Surcharge),2))</f>
        <v>139.78</v>
      </c>
      <c r="L25" s="231">
        <f>IF('Intl Priority'!$L$105&gt;ROUND(((1-IntPriorityDiscount-IntPriorityIncentive)*'Intl Priority'!L22),2),ROUND('Intl Priority'!$L$105*(1+International_Fuel_Surcharge),2),ROUND(((1-IntPriorityDiscount-IntPriorityIncentive)*'Intl Priority'!L22)*(1+International_Fuel_Surcharge),2))</f>
        <v>120.57</v>
      </c>
      <c r="M25" s="231">
        <f>IF('Intl Priority'!$M$105&gt;ROUND(((1-IntPriorityDiscount-IntPriorityIncentive)*'Intl Priority'!M22),2),ROUND('Intl Priority'!$M$105*(1+International_Fuel_Surcharge),2),ROUND(((1-IntPriorityDiscount-IntPriorityIncentive)*'Intl Priority'!M22)*(1+International_Fuel_Surcharge),2))</f>
        <v>191.08</v>
      </c>
      <c r="N25" s="231">
        <f>IF('Intl Priority'!$N$105&gt;ROUND(((1-IntPriorityDiscount-IntPriorityIncentive)*'Intl Priority'!N22),2),ROUND('Intl Priority'!$N$105*(1+International_Fuel_Surcharge),2),ROUND(((1-IntPriorityDiscount-IntPriorityIncentive)*'Intl Priority'!N22)*(1+International_Fuel_Surcharge),2))</f>
        <v>170.26</v>
      </c>
      <c r="O25" s="231">
        <f>IF('Intl Priority'!$O$105&gt;ROUND(((1-IntPriorityDiscount-IntPriorityIncentive)*'Intl Priority'!O22),2),ROUND('Intl Priority'!$O$105*(1+International_Fuel_Surcharge),2),ROUND(((1-IntPriorityDiscount-IntPriorityIncentive)*'Intl Priority'!O22)*(1+International_Fuel_Surcharge),2))</f>
        <v>116.21</v>
      </c>
      <c r="P25" s="231">
        <f>IF('Intl Priority'!$P$105&gt;ROUND(((1-IntPriorityDiscount-IntPriorityIncentive)*'Intl Priority'!P22),2),ROUND('Intl Priority'!$P$105*(1+International_Fuel_Surcharge),2),ROUND(((1-IntPriorityDiscount-IntPriorityIncentive)*'Intl Priority'!P22)*(1+International_Fuel_Surcharge),2))</f>
        <v>118.87</v>
      </c>
      <c r="Q25" s="231">
        <f>IF('Intl Priority'!$Q$105&gt;ROUND(((1-PuertoRicoDiscount)*'Intl Priority'!Q22),2),ROUND('Intl Priority'!$Q$105*(1+International_Fuel_Surcharge),2),ROUND(((1-PuertoRicoDiscount)*'Intl Priority'!Q22)*(1+International_Fuel_Surcharge),2))</f>
        <v>197.29</v>
      </c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217">
        <v>21</v>
      </c>
      <c r="B26" s="231">
        <f>IF('Intl Priority'!$B$105&gt;ROUND(((1-IntPriorityDiscount-IntPriorityIncentive)*'Intl Priority'!B23),2),ROUND('Intl Priority'!$B$105*(1+International_Fuel_Surcharge),2),ROUND(((1-IntPriorityDiscount-IntPriorityIncentive)*'Intl Priority'!B23)*(1+International_Fuel_Surcharge),2))</f>
        <v>65.16</v>
      </c>
      <c r="C26" s="231">
        <f>IF('Intl Priority'!$C$105&gt;ROUND(((1-IntPriorityDiscount-IntPriorityIncentive)*'Intl Priority'!C23),2),ROUND('Intl Priority'!$C$105*(1+International_Fuel_Surcharge),2),ROUND(((1-IntPriorityDiscount-IntPriorityIncentive)*'Intl Priority'!C23)*(1+International_Fuel_Surcharge),2))</f>
        <v>76.44</v>
      </c>
      <c r="D26" s="231">
        <f>IF('Intl Priority'!$D$105&gt;ROUND(((1-IntPriorityDiscount-IntPriorityIncentive)*'Intl Priority'!D23),2),ROUND('Intl Priority'!$D$105*(1+International_Fuel_Surcharge),2),ROUND(((1-IntPriorityDiscount-IntPriorityIncentive)*'Intl Priority'!D23)*(1+International_Fuel_Surcharge),2))</f>
        <v>80.760000000000005</v>
      </c>
      <c r="E26" s="231">
        <f>IF('Intl Priority'!$E$105&gt;ROUND(((1-IntPriorityDiscount-IntPriorityIncentive)*'Intl Priority'!E23),2),ROUND('Intl Priority'!$E$105*(1+International_Fuel_Surcharge),2),ROUND(((1-IntPriorityDiscount-IntPriorityIncentive)*'Intl Priority'!E23)*(1+International_Fuel_Surcharge),2))</f>
        <v>93.91</v>
      </c>
      <c r="F26" s="231">
        <f>IF('Intl Priority'!$F$105&gt;ROUND(((1-IntPriorityDiscount-IntPriorityIncentive)*'Intl Priority'!F23),2),ROUND('Intl Priority'!$F$105*(1+International_Fuel_Surcharge),2),ROUND(((1-IntPriorityDiscount-IntPriorityIncentive)*'Intl Priority'!F23)*(1+International_Fuel_Surcharge),2))</f>
        <v>182.29</v>
      </c>
      <c r="G26" s="231">
        <f>IF('Intl Priority'!$G$105&gt;ROUND(((1-IntPriorityDiscount-IntPriorityIncentive)*'Intl Priority'!G23),2),ROUND('Intl Priority'!$G$105*(1+International_Fuel_Surcharge),2),ROUND(((1-IntPriorityDiscount-IntPriorityIncentive)*'Intl Priority'!G23)*(1+International_Fuel_Surcharge),2))</f>
        <v>98.18</v>
      </c>
      <c r="H26" s="231">
        <f>IF('Intl Priority'!$H$105&gt;ROUND(((1-IntPriorityDiscount-IntPriorityIncentive)*'Intl Priority'!H23),2),ROUND('Intl Priority'!$H$105*(1+International_Fuel_Surcharge),2),ROUND(((1-IntPriorityDiscount-IntPriorityIncentive)*'Intl Priority'!H23)*(1+International_Fuel_Surcharge),2))</f>
        <v>95.87</v>
      </c>
      <c r="I26" s="231">
        <f>IF('Intl Priority'!$I$105&gt;ROUND(((1-IntPriorityDiscount-IntPriorityIncentive)*'Intl Priority'!I23),2),ROUND('Intl Priority'!$I$105*(1+International_Fuel_Surcharge),2),ROUND(((1-IntPriorityDiscount-IntPriorityIncentive)*'Intl Priority'!I23)*(1+International_Fuel_Surcharge),2))</f>
        <v>102.28</v>
      </c>
      <c r="J26" s="231">
        <f>IF('Intl Priority'!$J$105&gt;ROUND(((1-IntPriorityDiscount-IntPriorityIncentive)*'Intl Priority'!J23),2),ROUND('Intl Priority'!$J$105*(1+International_Fuel_Surcharge),2),ROUND(((1-IntPriorityDiscount-IntPriorityIncentive)*'Intl Priority'!J23)*(1+International_Fuel_Surcharge),2))</f>
        <v>81.569999999999993</v>
      </c>
      <c r="K26" s="231">
        <f>IF('Intl Priority'!$K$105&gt;ROUND(((1-IntPriorityDiscount-IntPriorityIncentive)*'Intl Priority'!K23),2),ROUND('Intl Priority'!$K$105*(1+International_Fuel_Surcharge),2),ROUND(((1-IntPriorityDiscount-IntPriorityIncentive)*'Intl Priority'!K23)*(1+International_Fuel_Surcharge),2))</f>
        <v>140.62</v>
      </c>
      <c r="L26" s="231">
        <f>IF('Intl Priority'!$L$105&gt;ROUND(((1-IntPriorityDiscount-IntPriorityIncentive)*'Intl Priority'!L23),2),ROUND('Intl Priority'!$L$105*(1+International_Fuel_Surcharge),2),ROUND(((1-IntPriorityDiscount-IntPriorityIncentive)*'Intl Priority'!L23)*(1+International_Fuel_Surcharge),2))</f>
        <v>121.67</v>
      </c>
      <c r="M26" s="231">
        <f>IF('Intl Priority'!$M$105&gt;ROUND(((1-IntPriorityDiscount-IntPriorityIncentive)*'Intl Priority'!M23),2),ROUND('Intl Priority'!$M$105*(1+International_Fuel_Surcharge),2),ROUND(((1-IntPriorityDiscount-IntPriorityIncentive)*'Intl Priority'!M23)*(1+International_Fuel_Surcharge),2))</f>
        <v>191.84</v>
      </c>
      <c r="N26" s="231">
        <f>IF('Intl Priority'!$N$105&gt;ROUND(((1-IntPriorityDiscount-IntPriorityIncentive)*'Intl Priority'!N23),2),ROUND('Intl Priority'!$N$105*(1+International_Fuel_Surcharge),2),ROUND(((1-IntPriorityDiscount-IntPriorityIncentive)*'Intl Priority'!N23)*(1+International_Fuel_Surcharge),2))</f>
        <v>171.09</v>
      </c>
      <c r="O26" s="231">
        <f>IF('Intl Priority'!$O$105&gt;ROUND(((1-IntPriorityDiscount-IntPriorityIncentive)*'Intl Priority'!O23),2),ROUND('Intl Priority'!$O$105*(1+International_Fuel_Surcharge),2),ROUND(((1-IntPriorityDiscount-IntPriorityIncentive)*'Intl Priority'!O23)*(1+International_Fuel_Surcharge),2))</f>
        <v>116.9</v>
      </c>
      <c r="P26" s="231">
        <f>IF('Intl Priority'!$P$105&gt;ROUND(((1-IntPriorityDiscount-IntPriorityIncentive)*'Intl Priority'!P23),2),ROUND('Intl Priority'!$P$105*(1+International_Fuel_Surcharge),2),ROUND(((1-IntPriorityDiscount-IntPriorityIncentive)*'Intl Priority'!P23)*(1+International_Fuel_Surcharge),2))</f>
        <v>119.48</v>
      </c>
      <c r="Q26" s="231">
        <f>IF('Intl Priority'!$Q$105&gt;ROUND(((1-PuertoRicoDiscount)*'Intl Priority'!Q23),2),ROUND('Intl Priority'!$Q$105*(1+International_Fuel_Surcharge),2),ROUND(((1-PuertoRicoDiscount)*'Intl Priority'!Q23)*(1+International_Fuel_Surcharge),2))</f>
        <v>201.84</v>
      </c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217">
        <v>22</v>
      </c>
      <c r="B27" s="231">
        <f>IF('Intl Priority'!$B$105&gt;ROUND(((1-IntPriorityDiscount-IntPriorityIncentive)*'Intl Priority'!B24),2),ROUND('Intl Priority'!$B$105*(1+International_Fuel_Surcharge),2),ROUND(((1-IntPriorityDiscount-IntPriorityIncentive)*'Intl Priority'!B24)*(1+International_Fuel_Surcharge),2))</f>
        <v>65.23</v>
      </c>
      <c r="C27" s="231">
        <f>IF('Intl Priority'!$C$105&gt;ROUND(((1-IntPriorityDiscount-IntPriorityIncentive)*'Intl Priority'!C24),2),ROUND('Intl Priority'!$C$105*(1+International_Fuel_Surcharge),2),ROUND(((1-IntPriorityDiscount-IntPriorityIncentive)*'Intl Priority'!C24)*(1+International_Fuel_Surcharge),2))</f>
        <v>77.23</v>
      </c>
      <c r="D27" s="231">
        <f>IF('Intl Priority'!$D$105&gt;ROUND(((1-IntPriorityDiscount-IntPriorityIncentive)*'Intl Priority'!D24),2),ROUND('Intl Priority'!$D$105*(1+International_Fuel_Surcharge),2),ROUND(((1-IntPriorityDiscount-IntPriorityIncentive)*'Intl Priority'!D24)*(1+International_Fuel_Surcharge),2))</f>
        <v>80.87</v>
      </c>
      <c r="E27" s="231">
        <f>IF('Intl Priority'!$E$105&gt;ROUND(((1-IntPriorityDiscount-IntPriorityIncentive)*'Intl Priority'!E24),2),ROUND('Intl Priority'!$E$105*(1+International_Fuel_Surcharge),2),ROUND(((1-IntPriorityDiscount-IntPriorityIncentive)*'Intl Priority'!E24)*(1+International_Fuel_Surcharge),2))</f>
        <v>93.97</v>
      </c>
      <c r="F27" s="231">
        <f>IF('Intl Priority'!$F$105&gt;ROUND(((1-IntPriorityDiscount-IntPriorityIncentive)*'Intl Priority'!F24),2),ROUND('Intl Priority'!$F$105*(1+International_Fuel_Surcharge),2),ROUND(((1-IntPriorityDiscount-IntPriorityIncentive)*'Intl Priority'!F24)*(1+International_Fuel_Surcharge),2))</f>
        <v>182.38</v>
      </c>
      <c r="G27" s="231">
        <f>IF('Intl Priority'!$G$105&gt;ROUND(((1-IntPriorityDiscount-IntPriorityIncentive)*'Intl Priority'!G24),2),ROUND('Intl Priority'!$G$105*(1+International_Fuel_Surcharge),2),ROUND(((1-IntPriorityDiscount-IntPriorityIncentive)*'Intl Priority'!G24)*(1+International_Fuel_Surcharge),2))</f>
        <v>98.25</v>
      </c>
      <c r="H27" s="231">
        <f>IF('Intl Priority'!$H$105&gt;ROUND(((1-IntPriorityDiscount-IntPriorityIncentive)*'Intl Priority'!H24),2),ROUND('Intl Priority'!$H$105*(1+International_Fuel_Surcharge),2),ROUND(((1-IntPriorityDiscount-IntPriorityIncentive)*'Intl Priority'!H24)*(1+International_Fuel_Surcharge),2))</f>
        <v>95.93</v>
      </c>
      <c r="I27" s="231">
        <f>IF('Intl Priority'!$I$105&gt;ROUND(((1-IntPriorityDiscount-IntPriorityIncentive)*'Intl Priority'!I24),2),ROUND('Intl Priority'!$I$105*(1+International_Fuel_Surcharge),2),ROUND(((1-IntPriorityDiscount-IntPriorityIncentive)*'Intl Priority'!I24)*(1+International_Fuel_Surcharge),2))</f>
        <v>102.42</v>
      </c>
      <c r="J27" s="231">
        <f>IF('Intl Priority'!$J$105&gt;ROUND(((1-IntPriorityDiscount-IntPriorityIncentive)*'Intl Priority'!J24),2),ROUND('Intl Priority'!$J$105*(1+International_Fuel_Surcharge),2),ROUND(((1-IntPriorityDiscount-IntPriorityIncentive)*'Intl Priority'!J24)*(1+International_Fuel_Surcharge),2))</f>
        <v>81.739999999999995</v>
      </c>
      <c r="K27" s="231">
        <f>IF('Intl Priority'!$K$105&gt;ROUND(((1-IntPriorityDiscount-IntPriorityIncentive)*'Intl Priority'!K24),2),ROUND('Intl Priority'!$K$105*(1+International_Fuel_Surcharge),2),ROUND(((1-IntPriorityDiscount-IntPriorityIncentive)*'Intl Priority'!K24)*(1+International_Fuel_Surcharge),2))</f>
        <v>140.71</v>
      </c>
      <c r="L27" s="231">
        <f>IF('Intl Priority'!$L$105&gt;ROUND(((1-IntPriorityDiscount-IntPriorityIncentive)*'Intl Priority'!L24),2),ROUND('Intl Priority'!$L$105*(1+International_Fuel_Surcharge),2),ROUND(((1-IntPriorityDiscount-IntPriorityIncentive)*'Intl Priority'!L24)*(1+International_Fuel_Surcharge),2))</f>
        <v>121.79</v>
      </c>
      <c r="M27" s="231">
        <f>IF('Intl Priority'!$M$105&gt;ROUND(((1-IntPriorityDiscount-IntPriorityIncentive)*'Intl Priority'!M24),2),ROUND('Intl Priority'!$M$105*(1+International_Fuel_Surcharge),2),ROUND(((1-IntPriorityDiscount-IntPriorityIncentive)*'Intl Priority'!M24)*(1+International_Fuel_Surcharge),2))</f>
        <v>191.93</v>
      </c>
      <c r="N27" s="231">
        <f>IF('Intl Priority'!$N$105&gt;ROUND(((1-IntPriorityDiscount-IntPriorityIncentive)*'Intl Priority'!N24),2),ROUND('Intl Priority'!$N$105*(1+International_Fuel_Surcharge),2),ROUND(((1-IntPriorityDiscount-IntPriorityIncentive)*'Intl Priority'!N24)*(1+International_Fuel_Surcharge),2))</f>
        <v>171.18</v>
      </c>
      <c r="O27" s="231">
        <f>IF('Intl Priority'!$O$105&gt;ROUND(((1-IntPriorityDiscount-IntPriorityIncentive)*'Intl Priority'!O24),2),ROUND('Intl Priority'!$O$105*(1+International_Fuel_Surcharge),2),ROUND(((1-IntPriorityDiscount-IntPriorityIncentive)*'Intl Priority'!O24)*(1+International_Fuel_Surcharge),2))</f>
        <v>116.98</v>
      </c>
      <c r="P27" s="231">
        <f>IF('Intl Priority'!$P$105&gt;ROUND(((1-IntPriorityDiscount-IntPriorityIncentive)*'Intl Priority'!P24),2),ROUND('Intl Priority'!$P$105*(1+International_Fuel_Surcharge),2),ROUND(((1-IntPriorityDiscount-IntPriorityIncentive)*'Intl Priority'!P24)*(1+International_Fuel_Surcharge),2))</f>
        <v>119.54</v>
      </c>
      <c r="Q27" s="231">
        <f>IF('Intl Priority'!$Q$105&gt;ROUND(((1-PuertoRicoDiscount)*'Intl Priority'!Q24),2),ROUND('Intl Priority'!$Q$105*(1+International_Fuel_Surcharge),2),ROUND(((1-PuertoRicoDiscount)*'Intl Priority'!Q24)*(1+International_Fuel_Surcharge),2))</f>
        <v>206.35</v>
      </c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217">
        <v>23</v>
      </c>
      <c r="B28" s="231">
        <f>IF('Intl Priority'!$B$105&gt;ROUND(((1-IntPriorityDiscount-IntPriorityIncentive)*'Intl Priority'!B25),2),ROUND('Intl Priority'!$B$105*(1+International_Fuel_Surcharge),2),ROUND(((1-IntPriorityDiscount-IntPriorityIncentive)*'Intl Priority'!B25)*(1+International_Fuel_Surcharge),2))</f>
        <v>65.319999999999993</v>
      </c>
      <c r="C28" s="231">
        <f>IF('Intl Priority'!$C$105&gt;ROUND(((1-IntPriorityDiscount-IntPriorityIncentive)*'Intl Priority'!C25),2),ROUND('Intl Priority'!$C$105*(1+International_Fuel_Surcharge),2),ROUND(((1-IntPriorityDiscount-IntPriorityIncentive)*'Intl Priority'!C25)*(1+International_Fuel_Surcharge),2))</f>
        <v>77.34</v>
      </c>
      <c r="D28" s="231">
        <f>IF('Intl Priority'!$D$105&gt;ROUND(((1-IntPriorityDiscount-IntPriorityIncentive)*'Intl Priority'!D25),2),ROUND('Intl Priority'!$D$105*(1+International_Fuel_Surcharge),2),ROUND(((1-IntPriorityDiscount-IntPriorityIncentive)*'Intl Priority'!D25)*(1+International_Fuel_Surcharge),2))</f>
        <v>80.94</v>
      </c>
      <c r="E28" s="231">
        <f>IF('Intl Priority'!$E$105&gt;ROUND(((1-IntPriorityDiscount-IntPriorityIncentive)*'Intl Priority'!E25),2),ROUND('Intl Priority'!$E$105*(1+International_Fuel_Surcharge),2),ROUND(((1-IntPriorityDiscount-IntPriorityIncentive)*'Intl Priority'!E25)*(1+International_Fuel_Surcharge),2))</f>
        <v>94.02</v>
      </c>
      <c r="F28" s="231">
        <f>IF('Intl Priority'!$F$105&gt;ROUND(((1-IntPriorityDiscount-IntPriorityIncentive)*'Intl Priority'!F25),2),ROUND('Intl Priority'!$F$105*(1+International_Fuel_Surcharge),2),ROUND(((1-IntPriorityDiscount-IntPriorityIncentive)*'Intl Priority'!F25)*(1+International_Fuel_Surcharge),2))</f>
        <v>182.44</v>
      </c>
      <c r="G28" s="231">
        <f>IF('Intl Priority'!$G$105&gt;ROUND(((1-IntPriorityDiscount-IntPriorityIncentive)*'Intl Priority'!G25),2),ROUND('Intl Priority'!$G$105*(1+International_Fuel_Surcharge),2),ROUND(((1-IntPriorityDiscount-IntPriorityIncentive)*'Intl Priority'!G25)*(1+International_Fuel_Surcharge),2))</f>
        <v>98.3</v>
      </c>
      <c r="H28" s="231">
        <f>IF('Intl Priority'!$H$105&gt;ROUND(((1-IntPriorityDiscount-IntPriorityIncentive)*'Intl Priority'!H25),2),ROUND('Intl Priority'!$H$105*(1+International_Fuel_Surcharge),2),ROUND(((1-IntPriorityDiscount-IntPriorityIncentive)*'Intl Priority'!H25)*(1+International_Fuel_Surcharge),2))</f>
        <v>95.99</v>
      </c>
      <c r="I28" s="231">
        <f>IF('Intl Priority'!$I$105&gt;ROUND(((1-IntPriorityDiscount-IntPriorityIncentive)*'Intl Priority'!I25),2),ROUND('Intl Priority'!$I$105*(1+International_Fuel_Surcharge),2),ROUND(((1-IntPriorityDiscount-IntPriorityIncentive)*'Intl Priority'!I25)*(1+International_Fuel_Surcharge),2))</f>
        <v>102.48</v>
      </c>
      <c r="J28" s="231">
        <f>IF('Intl Priority'!$J$105&gt;ROUND(((1-IntPriorityDiscount-IntPriorityIncentive)*'Intl Priority'!J25),2),ROUND('Intl Priority'!$J$105*(1+International_Fuel_Surcharge),2),ROUND(((1-IntPriorityDiscount-IntPriorityIncentive)*'Intl Priority'!J25)*(1+International_Fuel_Surcharge),2))</f>
        <v>81.8</v>
      </c>
      <c r="K28" s="231">
        <f>IF('Intl Priority'!$K$105&gt;ROUND(((1-IntPriorityDiscount-IntPriorityIncentive)*'Intl Priority'!K25),2),ROUND('Intl Priority'!$K$105*(1+International_Fuel_Surcharge),2),ROUND(((1-IntPriorityDiscount-IntPriorityIncentive)*'Intl Priority'!K25)*(1+International_Fuel_Surcharge),2))</f>
        <v>140.76</v>
      </c>
      <c r="L28" s="231">
        <f>IF('Intl Priority'!$L$105&gt;ROUND(((1-IntPriorityDiscount-IntPriorityIncentive)*'Intl Priority'!L25),2),ROUND('Intl Priority'!$L$105*(1+International_Fuel_Surcharge),2),ROUND(((1-IntPriorityDiscount-IntPriorityIncentive)*'Intl Priority'!L25)*(1+International_Fuel_Surcharge),2))</f>
        <v>121.84</v>
      </c>
      <c r="M28" s="231">
        <f>IF('Intl Priority'!$M$105&gt;ROUND(((1-IntPriorityDiscount-IntPriorityIncentive)*'Intl Priority'!M25),2),ROUND('Intl Priority'!$M$105*(1+International_Fuel_Surcharge),2),ROUND(((1-IntPriorityDiscount-IntPriorityIncentive)*'Intl Priority'!M25)*(1+International_Fuel_Surcharge),2))</f>
        <v>191.98</v>
      </c>
      <c r="N28" s="231">
        <f>IF('Intl Priority'!$N$105&gt;ROUND(((1-IntPriorityDiscount-IntPriorityIncentive)*'Intl Priority'!N25),2),ROUND('Intl Priority'!$N$105*(1+International_Fuel_Surcharge),2),ROUND(((1-IntPriorityDiscount-IntPriorityIncentive)*'Intl Priority'!N25)*(1+International_Fuel_Surcharge),2))</f>
        <v>171.23</v>
      </c>
      <c r="O28" s="231">
        <f>IF('Intl Priority'!$O$105&gt;ROUND(((1-IntPriorityDiscount-IntPriorityIncentive)*'Intl Priority'!O25),2),ROUND('Intl Priority'!$O$105*(1+International_Fuel_Surcharge),2),ROUND(((1-IntPriorityDiscount-IntPriorityIncentive)*'Intl Priority'!O25)*(1+International_Fuel_Surcharge),2))</f>
        <v>117.03</v>
      </c>
      <c r="P28" s="231">
        <f>IF('Intl Priority'!$P$105&gt;ROUND(((1-IntPriorityDiscount-IntPriorityIncentive)*'Intl Priority'!P25),2),ROUND('Intl Priority'!$P$105*(1+International_Fuel_Surcharge),2),ROUND(((1-IntPriorityDiscount-IntPriorityIncentive)*'Intl Priority'!P25)*(1+International_Fuel_Surcharge),2))</f>
        <v>119.59</v>
      </c>
      <c r="Q28" s="231">
        <f>IF('Intl Priority'!$Q$105&gt;ROUND(((1-PuertoRicoDiscount)*'Intl Priority'!Q25),2),ROUND('Intl Priority'!$Q$105*(1+International_Fuel_Surcharge),2),ROUND(((1-PuertoRicoDiscount)*'Intl Priority'!Q25)*(1+International_Fuel_Surcharge),2))</f>
        <v>211.98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17">
        <v>24</v>
      </c>
      <c r="B29" s="231">
        <f>IF('Intl Priority'!$B$105&gt;ROUND(((1-IntPriorityDiscount-IntPriorityIncentive)*'Intl Priority'!B26),2),ROUND('Intl Priority'!$B$105*(1+International_Fuel_Surcharge),2),ROUND(((1-IntPriorityDiscount-IntPriorityIncentive)*'Intl Priority'!B26)*(1+International_Fuel_Surcharge),2))</f>
        <v>65.37</v>
      </c>
      <c r="C29" s="231">
        <f>IF('Intl Priority'!$C$105&gt;ROUND(((1-IntPriorityDiscount-IntPriorityIncentive)*'Intl Priority'!C26),2),ROUND('Intl Priority'!$C$105*(1+International_Fuel_Surcharge),2),ROUND(((1-IntPriorityDiscount-IntPriorityIncentive)*'Intl Priority'!C26)*(1+International_Fuel_Surcharge),2))</f>
        <v>77.41</v>
      </c>
      <c r="D29" s="231">
        <f>IF('Intl Priority'!$D$105&gt;ROUND(((1-IntPriorityDiscount-IntPriorityIncentive)*'Intl Priority'!D26),2),ROUND('Intl Priority'!$D$105*(1+International_Fuel_Surcharge),2),ROUND(((1-IntPriorityDiscount-IntPriorityIncentive)*'Intl Priority'!D26)*(1+International_Fuel_Surcharge),2))</f>
        <v>81</v>
      </c>
      <c r="E29" s="231">
        <f>IF('Intl Priority'!$E$105&gt;ROUND(((1-IntPriorityDiscount-IntPriorityIncentive)*'Intl Priority'!E26),2),ROUND('Intl Priority'!$E$105*(1+International_Fuel_Surcharge),2),ROUND(((1-IntPriorityDiscount-IntPriorityIncentive)*'Intl Priority'!E26)*(1+International_Fuel_Surcharge),2))</f>
        <v>94.1</v>
      </c>
      <c r="F29" s="231">
        <f>IF('Intl Priority'!$F$105&gt;ROUND(((1-IntPriorityDiscount-IntPriorityIncentive)*'Intl Priority'!F26),2),ROUND('Intl Priority'!$F$105*(1+International_Fuel_Surcharge),2),ROUND(((1-IntPriorityDiscount-IntPriorityIncentive)*'Intl Priority'!F26)*(1+International_Fuel_Surcharge),2))</f>
        <v>182.53</v>
      </c>
      <c r="G29" s="231">
        <f>IF('Intl Priority'!$G$105&gt;ROUND(((1-IntPriorityDiscount-IntPriorityIncentive)*'Intl Priority'!G26),2),ROUND('Intl Priority'!$G$105*(1+International_Fuel_Surcharge),2),ROUND(((1-IntPriorityDiscount-IntPriorityIncentive)*'Intl Priority'!G26)*(1+International_Fuel_Surcharge),2))</f>
        <v>98.38</v>
      </c>
      <c r="H29" s="231">
        <f>IF('Intl Priority'!$H$105&gt;ROUND(((1-IntPriorityDiscount-IntPriorityIncentive)*'Intl Priority'!H26),2),ROUND('Intl Priority'!$H$105*(1+International_Fuel_Surcharge),2),ROUND(((1-IntPriorityDiscount-IntPriorityIncentive)*'Intl Priority'!H26)*(1+International_Fuel_Surcharge),2))</f>
        <v>96.06</v>
      </c>
      <c r="I29" s="231">
        <f>IF('Intl Priority'!$I$105&gt;ROUND(((1-IntPriorityDiscount-IntPriorityIncentive)*'Intl Priority'!I26),2),ROUND('Intl Priority'!$I$105*(1+International_Fuel_Surcharge),2),ROUND(((1-IntPriorityDiscount-IntPriorityIncentive)*'Intl Priority'!I26)*(1+International_Fuel_Surcharge),2))</f>
        <v>102.58</v>
      </c>
      <c r="J29" s="231">
        <f>IF('Intl Priority'!$J$105&gt;ROUND(((1-IntPriorityDiscount-IntPriorityIncentive)*'Intl Priority'!J26),2),ROUND('Intl Priority'!$J$105*(1+International_Fuel_Surcharge),2),ROUND(((1-IntPriorityDiscount-IntPriorityIncentive)*'Intl Priority'!J26)*(1+International_Fuel_Surcharge),2))</f>
        <v>81.86</v>
      </c>
      <c r="K29" s="231">
        <f>IF('Intl Priority'!$K$105&gt;ROUND(((1-IntPriorityDiscount-IntPriorityIncentive)*'Intl Priority'!K26),2),ROUND('Intl Priority'!$K$105*(1+International_Fuel_Surcharge),2),ROUND(((1-IntPriorityDiscount-IntPriorityIncentive)*'Intl Priority'!K26)*(1+International_Fuel_Surcharge),2))</f>
        <v>140.88</v>
      </c>
      <c r="L29" s="231">
        <f>IF('Intl Priority'!$L$105&gt;ROUND(((1-IntPriorityDiscount-IntPriorityIncentive)*'Intl Priority'!L26),2),ROUND('Intl Priority'!$L$105*(1+International_Fuel_Surcharge),2),ROUND(((1-IntPriorityDiscount-IntPriorityIncentive)*'Intl Priority'!L26)*(1+International_Fuel_Surcharge),2))</f>
        <v>121.95</v>
      </c>
      <c r="M29" s="231">
        <f>IF('Intl Priority'!$M$105&gt;ROUND(((1-IntPriorityDiscount-IntPriorityIncentive)*'Intl Priority'!M26),2),ROUND('Intl Priority'!$M$105*(1+International_Fuel_Surcharge),2),ROUND(((1-IntPriorityDiscount-IntPriorityIncentive)*'Intl Priority'!M26)*(1+International_Fuel_Surcharge),2))</f>
        <v>192.09</v>
      </c>
      <c r="N29" s="231">
        <f>IF('Intl Priority'!$N$105&gt;ROUND(((1-IntPriorityDiscount-IntPriorityIncentive)*'Intl Priority'!N26),2),ROUND('Intl Priority'!$N$105*(1+International_Fuel_Surcharge),2),ROUND(((1-IntPriorityDiscount-IntPriorityIncentive)*'Intl Priority'!N26)*(1+International_Fuel_Surcharge),2))</f>
        <v>171.31</v>
      </c>
      <c r="O29" s="231">
        <f>IF('Intl Priority'!$O$105&gt;ROUND(((1-IntPriorityDiscount-IntPriorityIncentive)*'Intl Priority'!O26),2),ROUND('Intl Priority'!$O$105*(1+International_Fuel_Surcharge),2),ROUND(((1-IntPriorityDiscount-IntPriorityIncentive)*'Intl Priority'!O26)*(1+International_Fuel_Surcharge),2))</f>
        <v>117.14</v>
      </c>
      <c r="P29" s="231">
        <f>IF('Intl Priority'!$P$105&gt;ROUND(((1-IntPriorityDiscount-IntPriorityIncentive)*'Intl Priority'!P26),2),ROUND('Intl Priority'!$P$105*(1+International_Fuel_Surcharge),2),ROUND(((1-IntPriorityDiscount-IntPriorityIncentive)*'Intl Priority'!P26)*(1+International_Fuel_Surcharge),2))</f>
        <v>119.7</v>
      </c>
      <c r="Q29" s="231">
        <f>IF('Intl Priority'!$Q$105&gt;ROUND(((1-PuertoRicoDiscount)*'Intl Priority'!Q26),2),ROUND('Intl Priority'!$Q$105*(1+International_Fuel_Surcharge),2),ROUND(((1-PuertoRicoDiscount)*'Intl Priority'!Q26)*(1+International_Fuel_Surcharge),2))</f>
        <v>216.02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17">
        <v>25</v>
      </c>
      <c r="B30" s="231">
        <f>IF('Intl Priority'!$B$105&gt;ROUND(((1-IntPriorityDiscount-IntPriorityIncentive)*'Intl Priority'!B27),2),ROUND('Intl Priority'!$B$105*(1+International_Fuel_Surcharge),2),ROUND(((1-IntPriorityDiscount-IntPriorityIncentive)*'Intl Priority'!B27)*(1+International_Fuel_Surcharge),2))</f>
        <v>66.19</v>
      </c>
      <c r="C30" s="231">
        <f>IF('Intl Priority'!$C$105&gt;ROUND(((1-IntPriorityDiscount-IntPriorityIncentive)*'Intl Priority'!C27),2),ROUND('Intl Priority'!$C$105*(1+International_Fuel_Surcharge),2),ROUND(((1-IntPriorityDiscount-IntPriorityIncentive)*'Intl Priority'!C27)*(1+International_Fuel_Surcharge),2))</f>
        <v>78.459999999999994</v>
      </c>
      <c r="D30" s="231">
        <f>IF('Intl Priority'!$D$105&gt;ROUND(((1-IntPriorityDiscount-IntPriorityIncentive)*'Intl Priority'!D27),2),ROUND('Intl Priority'!$D$105*(1+International_Fuel_Surcharge),2),ROUND(((1-IntPriorityDiscount-IntPriorityIncentive)*'Intl Priority'!D27)*(1+International_Fuel_Surcharge),2))</f>
        <v>81.760000000000005</v>
      </c>
      <c r="E30" s="231">
        <f>IF('Intl Priority'!$E$105&gt;ROUND(((1-IntPriorityDiscount-IntPriorityIncentive)*'Intl Priority'!E27),2),ROUND('Intl Priority'!$E$105*(1+International_Fuel_Surcharge),2),ROUND(((1-IntPriorityDiscount-IntPriorityIncentive)*'Intl Priority'!E27)*(1+International_Fuel_Surcharge),2))</f>
        <v>95.74</v>
      </c>
      <c r="F30" s="231">
        <f>IF('Intl Priority'!$F$105&gt;ROUND(((1-IntPriorityDiscount-IntPriorityIncentive)*'Intl Priority'!F27),2),ROUND('Intl Priority'!$F$105*(1+International_Fuel_Surcharge),2),ROUND(((1-IntPriorityDiscount-IntPriorityIncentive)*'Intl Priority'!F27)*(1+International_Fuel_Surcharge),2))</f>
        <v>184.48</v>
      </c>
      <c r="G30" s="231">
        <f>IF('Intl Priority'!$G$105&gt;ROUND(((1-IntPriorityDiscount-IntPriorityIncentive)*'Intl Priority'!G27),2),ROUND('Intl Priority'!$G$105*(1+International_Fuel_Surcharge),2),ROUND(((1-IntPriorityDiscount-IntPriorityIncentive)*'Intl Priority'!G27)*(1+International_Fuel_Surcharge),2))</f>
        <v>99.9</v>
      </c>
      <c r="H30" s="231">
        <f>IF('Intl Priority'!$H$105&gt;ROUND(((1-IntPriorityDiscount-IntPriorityIncentive)*'Intl Priority'!H27),2),ROUND('Intl Priority'!$H$105*(1+International_Fuel_Surcharge),2),ROUND(((1-IntPriorityDiscount-IntPriorityIncentive)*'Intl Priority'!H27)*(1+International_Fuel_Surcharge),2))</f>
        <v>97.37</v>
      </c>
      <c r="I30" s="231">
        <f>IF('Intl Priority'!$I$105&gt;ROUND(((1-IntPriorityDiscount-IntPriorityIncentive)*'Intl Priority'!I27),2),ROUND('Intl Priority'!$I$105*(1+International_Fuel_Surcharge),2),ROUND(((1-IntPriorityDiscount-IntPriorityIncentive)*'Intl Priority'!I27)*(1+International_Fuel_Surcharge),2))</f>
        <v>104.64</v>
      </c>
      <c r="J30" s="231">
        <f>IF('Intl Priority'!$J$105&gt;ROUND(((1-IntPriorityDiscount-IntPriorityIncentive)*'Intl Priority'!J27),2),ROUND('Intl Priority'!$J$105*(1+International_Fuel_Surcharge),2),ROUND(((1-IntPriorityDiscount-IntPriorityIncentive)*'Intl Priority'!J27)*(1+International_Fuel_Surcharge),2))</f>
        <v>82.35</v>
      </c>
      <c r="K30" s="231">
        <f>IF('Intl Priority'!$K$105&gt;ROUND(((1-IntPriorityDiscount-IntPriorityIncentive)*'Intl Priority'!K27),2),ROUND('Intl Priority'!$K$105*(1+International_Fuel_Surcharge),2),ROUND(((1-IntPriorityDiscount-IntPriorityIncentive)*'Intl Priority'!K27)*(1+International_Fuel_Surcharge),2))</f>
        <v>143.15</v>
      </c>
      <c r="L30" s="231">
        <f>IF('Intl Priority'!$L$105&gt;ROUND(((1-IntPriorityDiscount-IntPriorityIncentive)*'Intl Priority'!L27),2),ROUND('Intl Priority'!$L$105*(1+International_Fuel_Surcharge),2),ROUND(((1-IntPriorityDiscount-IntPriorityIncentive)*'Intl Priority'!L27)*(1+International_Fuel_Surcharge),2))</f>
        <v>123.97</v>
      </c>
      <c r="M30" s="231">
        <f>IF('Intl Priority'!$M$105&gt;ROUND(((1-IntPriorityDiscount-IntPriorityIncentive)*'Intl Priority'!M27),2),ROUND('Intl Priority'!$M$105*(1+International_Fuel_Surcharge),2),ROUND(((1-IntPriorityDiscount-IntPriorityIncentive)*'Intl Priority'!M27)*(1+International_Fuel_Surcharge),2))</f>
        <v>194.2</v>
      </c>
      <c r="N30" s="231">
        <f>IF('Intl Priority'!$N$105&gt;ROUND(((1-IntPriorityDiscount-IntPriorityIncentive)*'Intl Priority'!N27),2),ROUND('Intl Priority'!$N$105*(1+International_Fuel_Surcharge),2),ROUND(((1-IntPriorityDiscount-IntPriorityIncentive)*'Intl Priority'!N27)*(1+International_Fuel_Surcharge),2))</f>
        <v>172.75</v>
      </c>
      <c r="O30" s="231">
        <f>IF('Intl Priority'!$O$105&gt;ROUND(((1-IntPriorityDiscount-IntPriorityIncentive)*'Intl Priority'!O27),2),ROUND('Intl Priority'!$O$105*(1+International_Fuel_Surcharge),2),ROUND(((1-IntPriorityDiscount-IntPriorityIncentive)*'Intl Priority'!O27)*(1+International_Fuel_Surcharge),2))</f>
        <v>119.23</v>
      </c>
      <c r="P30" s="231">
        <f>IF('Intl Priority'!$P$105&gt;ROUND(((1-IntPriorityDiscount-IntPriorityIncentive)*'Intl Priority'!P27),2),ROUND('Intl Priority'!$P$105*(1+International_Fuel_Surcharge),2),ROUND(((1-IntPriorityDiscount-IntPriorityIncentive)*'Intl Priority'!P27)*(1+International_Fuel_Surcharge),2))</f>
        <v>121.82</v>
      </c>
      <c r="Q30" s="231">
        <f>IF('Intl Priority'!$Q$105&gt;ROUND(((1-PuertoRicoDiscount)*'Intl Priority'!Q27),2),ROUND('Intl Priority'!$Q$105*(1+International_Fuel_Surcharge),2),ROUND(((1-PuertoRicoDiscount)*'Intl Priority'!Q27)*(1+International_Fuel_Surcharge),2))</f>
        <v>222.8</v>
      </c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17">
        <v>26</v>
      </c>
      <c r="B31" s="231">
        <f>IF('Intl Priority'!$B$105&gt;ROUND(((1-IntPriorityDiscount-IntPriorityIncentive)*'Intl Priority'!B28),2),ROUND('Intl Priority'!$B$105*(1+International_Fuel_Surcharge),2),ROUND(((1-IntPriorityDiscount-IntPriorityIncentive)*'Intl Priority'!B28)*(1+International_Fuel_Surcharge),2))</f>
        <v>82.47</v>
      </c>
      <c r="C31" s="231">
        <f>IF('Intl Priority'!$C$105&gt;ROUND(((1-IntPriorityDiscount-IntPriorityIncentive)*'Intl Priority'!C28),2),ROUND('Intl Priority'!$C$105*(1+International_Fuel_Surcharge),2),ROUND(((1-IntPriorityDiscount-IntPriorityIncentive)*'Intl Priority'!C28)*(1+International_Fuel_Surcharge),2))</f>
        <v>96.51</v>
      </c>
      <c r="D31" s="231">
        <f>IF('Intl Priority'!$D$105&gt;ROUND(((1-IntPriorityDiscount-IntPriorityIncentive)*'Intl Priority'!D28),2),ROUND('Intl Priority'!$D$105*(1+International_Fuel_Surcharge),2),ROUND(((1-IntPriorityDiscount-IntPriorityIncentive)*'Intl Priority'!D28)*(1+International_Fuel_Surcharge),2))</f>
        <v>96.38</v>
      </c>
      <c r="E31" s="231">
        <f>IF('Intl Priority'!$E$105&gt;ROUND(((1-IntPriorityDiscount-IntPriorityIncentive)*'Intl Priority'!E28),2),ROUND('Intl Priority'!$E$105*(1+International_Fuel_Surcharge),2),ROUND(((1-IntPriorityDiscount-IntPriorityIncentive)*'Intl Priority'!E28)*(1+International_Fuel_Surcharge),2))</f>
        <v>128.41999999999999</v>
      </c>
      <c r="F31" s="231">
        <f>IF('Intl Priority'!$F$105&gt;ROUND(((1-IntPriorityDiscount-IntPriorityIncentive)*'Intl Priority'!F28),2),ROUND('Intl Priority'!$F$105*(1+International_Fuel_Surcharge),2),ROUND(((1-IntPriorityDiscount-IntPriorityIncentive)*'Intl Priority'!F28)*(1+International_Fuel_Surcharge),2))</f>
        <v>223.43</v>
      </c>
      <c r="G31" s="231">
        <f>IF('Intl Priority'!$G$105&gt;ROUND(((1-IntPriorityDiscount-IntPriorityIncentive)*'Intl Priority'!G28),2),ROUND('Intl Priority'!$G$105*(1+International_Fuel_Surcharge),2),ROUND(((1-IntPriorityDiscount-IntPriorityIncentive)*'Intl Priority'!G28)*(1+International_Fuel_Surcharge),2))</f>
        <v>130.24</v>
      </c>
      <c r="H31" s="231">
        <f>IF('Intl Priority'!$H$105&gt;ROUND(((1-IntPriorityDiscount-IntPriorityIncentive)*'Intl Priority'!H28),2),ROUND('Intl Priority'!$H$105*(1+International_Fuel_Surcharge),2),ROUND(((1-IntPriorityDiscount-IntPriorityIncentive)*'Intl Priority'!H28)*(1+International_Fuel_Surcharge),2))</f>
        <v>123.55</v>
      </c>
      <c r="I31" s="231">
        <f>IF('Intl Priority'!$I$105&gt;ROUND(((1-IntPriorityDiscount-IntPriorityIncentive)*'Intl Priority'!I28),2),ROUND('Intl Priority'!$I$105*(1+International_Fuel_Surcharge),2),ROUND(((1-IntPriorityDiscount-IntPriorityIncentive)*'Intl Priority'!I28)*(1+International_Fuel_Surcharge),2))</f>
        <v>145.76</v>
      </c>
      <c r="J31" s="231">
        <f>IF('Intl Priority'!$J$105&gt;ROUND(((1-IntPriorityDiscount-IntPriorityIncentive)*'Intl Priority'!J28),2),ROUND('Intl Priority'!$J$105*(1+International_Fuel_Surcharge),2),ROUND(((1-IntPriorityDiscount-IntPriorityIncentive)*'Intl Priority'!J28)*(1+International_Fuel_Surcharge),2))</f>
        <v>92.26</v>
      </c>
      <c r="K31" s="231">
        <f>IF('Intl Priority'!$K$105&gt;ROUND(((1-IntPriorityDiscount-IntPriorityIncentive)*'Intl Priority'!K28),2),ROUND('Intl Priority'!$K$105*(1+International_Fuel_Surcharge),2),ROUND(((1-IntPriorityDiscount-IntPriorityIncentive)*'Intl Priority'!K28)*(1+International_Fuel_Surcharge),2))</f>
        <v>188.54</v>
      </c>
      <c r="L31" s="231">
        <f>IF('Intl Priority'!$L$105&gt;ROUND(((1-IntPriorityDiscount-IntPriorityIncentive)*'Intl Priority'!L28),2),ROUND('Intl Priority'!$L$105*(1+International_Fuel_Surcharge),2),ROUND(((1-IntPriorityDiscount-IntPriorityIncentive)*'Intl Priority'!L28)*(1+International_Fuel_Surcharge),2))</f>
        <v>164.45</v>
      </c>
      <c r="M31" s="231">
        <f>IF('Intl Priority'!$M$105&gt;ROUND(((1-IntPriorityDiscount-IntPriorityIncentive)*'Intl Priority'!M28),2),ROUND('Intl Priority'!$M$105*(1+International_Fuel_Surcharge),2),ROUND(((1-IntPriorityDiscount-IntPriorityIncentive)*'Intl Priority'!M28)*(1+International_Fuel_Surcharge),2))</f>
        <v>236.49</v>
      </c>
      <c r="N31" s="231">
        <f>IF('Intl Priority'!$N$105&gt;ROUND(((1-IntPriorityDiscount-IntPriorityIncentive)*'Intl Priority'!N28),2),ROUND('Intl Priority'!$N$105*(1+International_Fuel_Surcharge),2),ROUND(((1-IntPriorityDiscount-IntPriorityIncentive)*'Intl Priority'!N28)*(1+International_Fuel_Surcharge),2))</f>
        <v>201.63</v>
      </c>
      <c r="O31" s="231">
        <f>IF('Intl Priority'!$O$105&gt;ROUND(((1-IntPriorityDiscount-IntPriorityIncentive)*'Intl Priority'!O28),2),ROUND('Intl Priority'!$O$105*(1+International_Fuel_Surcharge),2),ROUND(((1-IntPriorityDiscount-IntPriorityIncentive)*'Intl Priority'!O28)*(1+International_Fuel_Surcharge),2))</f>
        <v>161.16</v>
      </c>
      <c r="P31" s="231">
        <f>IF('Intl Priority'!$P$105&gt;ROUND(((1-IntPriorityDiscount-IntPriorityIncentive)*'Intl Priority'!P28),2),ROUND('Intl Priority'!$P$105*(1+International_Fuel_Surcharge),2),ROUND(((1-IntPriorityDiscount-IntPriorityIncentive)*'Intl Priority'!P28)*(1+International_Fuel_Surcharge),2))</f>
        <v>164.33</v>
      </c>
      <c r="Q31" s="231">
        <f>IF('Intl Priority'!$Q$105&gt;ROUND(((1-PuertoRicoDiscount)*'Intl Priority'!Q28),2),ROUND('Intl Priority'!$Q$105*(1+International_Fuel_Surcharge),2),ROUND(((1-PuertoRicoDiscount)*'Intl Priority'!Q28)*(1+International_Fuel_Surcharge),2))</f>
        <v>226.15</v>
      </c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217">
        <v>27</v>
      </c>
      <c r="B32" s="231">
        <f>IF('Intl Priority'!$B$105&gt;ROUND(((1-IntPriorityDiscount-IntPriorityIncentive)*'Intl Priority'!B29),2),ROUND('Intl Priority'!$B$105*(1+International_Fuel_Surcharge),2),ROUND(((1-IntPriorityDiscount-IntPriorityIncentive)*'Intl Priority'!B29)*(1+International_Fuel_Surcharge),2))</f>
        <v>86.61</v>
      </c>
      <c r="C32" s="231">
        <f>IF('Intl Priority'!$C$105&gt;ROUND(((1-IntPriorityDiscount-IntPriorityIncentive)*'Intl Priority'!C29),2),ROUND('Intl Priority'!$C$105*(1+International_Fuel_Surcharge),2),ROUND(((1-IntPriorityDiscount-IntPriorityIncentive)*'Intl Priority'!C29)*(1+International_Fuel_Surcharge),2))</f>
        <v>102.74</v>
      </c>
      <c r="D32" s="231">
        <f>IF('Intl Priority'!$D$105&gt;ROUND(((1-IntPriorityDiscount-IntPriorityIncentive)*'Intl Priority'!D29),2),ROUND('Intl Priority'!$D$105*(1+International_Fuel_Surcharge),2),ROUND(((1-IntPriorityDiscount-IntPriorityIncentive)*'Intl Priority'!D29)*(1+International_Fuel_Surcharge),2))</f>
        <v>107.79</v>
      </c>
      <c r="E32" s="231">
        <f>IF('Intl Priority'!$E$105&gt;ROUND(((1-IntPriorityDiscount-IntPriorityIncentive)*'Intl Priority'!E29),2),ROUND('Intl Priority'!$E$105*(1+International_Fuel_Surcharge),2),ROUND(((1-IntPriorityDiscount-IntPriorityIncentive)*'Intl Priority'!E29)*(1+International_Fuel_Surcharge),2))</f>
        <v>135.07</v>
      </c>
      <c r="F32" s="231">
        <f>IF('Intl Priority'!$F$105&gt;ROUND(((1-IntPriorityDiscount-IntPriorityIncentive)*'Intl Priority'!F29),2),ROUND('Intl Priority'!$F$105*(1+International_Fuel_Surcharge),2),ROUND(((1-IntPriorityDiscount-IntPriorityIncentive)*'Intl Priority'!F29)*(1+International_Fuel_Surcharge),2))</f>
        <v>265.08999999999997</v>
      </c>
      <c r="G32" s="231">
        <f>IF('Intl Priority'!$G$105&gt;ROUND(((1-IntPriorityDiscount-IntPriorityIncentive)*'Intl Priority'!G29),2),ROUND('Intl Priority'!$G$105*(1+International_Fuel_Surcharge),2),ROUND(((1-IntPriorityDiscount-IntPriorityIncentive)*'Intl Priority'!G29)*(1+International_Fuel_Surcharge),2))</f>
        <v>133.77000000000001</v>
      </c>
      <c r="H32" s="231">
        <f>IF('Intl Priority'!$H$105&gt;ROUND(((1-IntPriorityDiscount-IntPriorityIncentive)*'Intl Priority'!H29),2),ROUND('Intl Priority'!$H$105*(1+International_Fuel_Surcharge),2),ROUND(((1-IntPriorityDiscount-IntPriorityIncentive)*'Intl Priority'!H29)*(1+International_Fuel_Surcharge),2))</f>
        <v>138.31</v>
      </c>
      <c r="I32" s="231">
        <f>IF('Intl Priority'!$I$105&gt;ROUND(((1-IntPriorityDiscount-IntPriorityIncentive)*'Intl Priority'!I29),2),ROUND('Intl Priority'!$I$105*(1+International_Fuel_Surcharge),2),ROUND(((1-IntPriorityDiscount-IntPriorityIncentive)*'Intl Priority'!I29)*(1+International_Fuel_Surcharge),2))</f>
        <v>149.94</v>
      </c>
      <c r="J32" s="231">
        <f>IF('Intl Priority'!$J$105&gt;ROUND(((1-IntPriorityDiscount-IntPriorityIncentive)*'Intl Priority'!J29),2),ROUND('Intl Priority'!$J$105*(1+International_Fuel_Surcharge),2),ROUND(((1-IntPriorityDiscount-IntPriorityIncentive)*'Intl Priority'!J29)*(1+International_Fuel_Surcharge),2))</f>
        <v>100.03</v>
      </c>
      <c r="K32" s="231">
        <f>IF('Intl Priority'!$K$105&gt;ROUND(((1-IntPriorityDiscount-IntPriorityIncentive)*'Intl Priority'!K29),2),ROUND('Intl Priority'!$K$105*(1+International_Fuel_Surcharge),2),ROUND(((1-IntPriorityDiscount-IntPriorityIncentive)*'Intl Priority'!K29)*(1+International_Fuel_Surcharge),2))</f>
        <v>199.06</v>
      </c>
      <c r="L32" s="231">
        <f>IF('Intl Priority'!$L$105&gt;ROUND(((1-IntPriorityDiscount-IntPriorityIncentive)*'Intl Priority'!L29),2),ROUND('Intl Priority'!$L$105*(1+International_Fuel_Surcharge),2),ROUND(((1-IntPriorityDiscount-IntPriorityIncentive)*'Intl Priority'!L29)*(1+International_Fuel_Surcharge),2))</f>
        <v>170.68</v>
      </c>
      <c r="M32" s="231">
        <f>IF('Intl Priority'!$M$105&gt;ROUND(((1-IntPriorityDiscount-IntPriorityIncentive)*'Intl Priority'!M29),2),ROUND('Intl Priority'!$M$105*(1+International_Fuel_Surcharge),2),ROUND(((1-IntPriorityDiscount-IntPriorityIncentive)*'Intl Priority'!M29)*(1+International_Fuel_Surcharge),2))</f>
        <v>254.54</v>
      </c>
      <c r="N32" s="231">
        <f>IF('Intl Priority'!$N$105&gt;ROUND(((1-IntPriorityDiscount-IntPriorityIncentive)*'Intl Priority'!N29),2),ROUND('Intl Priority'!$N$105*(1+International_Fuel_Surcharge),2),ROUND(((1-IntPriorityDiscount-IntPriorityIncentive)*'Intl Priority'!N29)*(1+International_Fuel_Surcharge),2))</f>
        <v>280.51</v>
      </c>
      <c r="O32" s="231">
        <f>IF('Intl Priority'!$O$105&gt;ROUND(((1-IntPriorityDiscount-IntPriorityIncentive)*'Intl Priority'!O29),2),ROUND('Intl Priority'!$O$105*(1+International_Fuel_Surcharge),2),ROUND(((1-IntPriorityDiscount-IntPriorityIncentive)*'Intl Priority'!O29)*(1+International_Fuel_Surcharge),2))</f>
        <v>165.6</v>
      </c>
      <c r="P32" s="231">
        <f>IF('Intl Priority'!$P$105&gt;ROUND(((1-IntPriorityDiscount-IntPriorityIncentive)*'Intl Priority'!P29),2),ROUND('Intl Priority'!$P$105*(1+International_Fuel_Surcharge),2),ROUND(((1-IntPriorityDiscount-IntPriorityIncentive)*'Intl Priority'!P29)*(1+International_Fuel_Surcharge),2))</f>
        <v>182.11</v>
      </c>
      <c r="Q32" s="231">
        <f>IF('Intl Priority'!$Q$105&gt;ROUND(((1-PuertoRicoDiscount)*'Intl Priority'!Q29),2),ROUND('Intl Priority'!$Q$105*(1+International_Fuel_Surcharge),2),ROUND(((1-PuertoRicoDiscount)*'Intl Priority'!Q29)*(1+International_Fuel_Surcharge),2))</f>
        <v>230.95</v>
      </c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217">
        <v>28</v>
      </c>
      <c r="B33" s="231">
        <f>IF('Intl Priority'!$B$105&gt;ROUND(((1-IntPriorityDiscount-IntPriorityIncentive)*'Intl Priority'!B30),2),ROUND('Intl Priority'!$B$105*(1+International_Fuel_Surcharge),2),ROUND(((1-IntPriorityDiscount-IntPriorityIncentive)*'Intl Priority'!B30)*(1+International_Fuel_Surcharge),2))</f>
        <v>87.03</v>
      </c>
      <c r="C33" s="231">
        <f>IF('Intl Priority'!$C$105&gt;ROUND(((1-IntPriorityDiscount-IntPriorityIncentive)*'Intl Priority'!C30),2),ROUND('Intl Priority'!$C$105*(1+International_Fuel_Surcharge),2),ROUND(((1-IntPriorityDiscount-IntPriorityIncentive)*'Intl Priority'!C30)*(1+International_Fuel_Surcharge),2))</f>
        <v>104.12</v>
      </c>
      <c r="D33" s="231">
        <f>IF('Intl Priority'!$D$105&gt;ROUND(((1-IntPriorityDiscount-IntPriorityIncentive)*'Intl Priority'!D30),2),ROUND('Intl Priority'!$D$105*(1+International_Fuel_Surcharge),2),ROUND(((1-IntPriorityDiscount-IntPriorityIncentive)*'Intl Priority'!D30)*(1+International_Fuel_Surcharge),2))</f>
        <v>113.15</v>
      </c>
      <c r="E33" s="231">
        <f>IF('Intl Priority'!$E$105&gt;ROUND(((1-IntPriorityDiscount-IntPriorityIncentive)*'Intl Priority'!E30),2),ROUND('Intl Priority'!$E$105*(1+International_Fuel_Surcharge),2),ROUND(((1-IntPriorityDiscount-IntPriorityIncentive)*'Intl Priority'!E30)*(1+International_Fuel_Surcharge),2))</f>
        <v>142.24</v>
      </c>
      <c r="F33" s="231">
        <f>IF('Intl Priority'!$F$105&gt;ROUND(((1-IntPriorityDiscount-IntPriorityIncentive)*'Intl Priority'!F30),2),ROUND('Intl Priority'!$F$105*(1+International_Fuel_Surcharge),2),ROUND(((1-IntPriorityDiscount-IntPriorityIncentive)*'Intl Priority'!F30)*(1+International_Fuel_Surcharge),2))</f>
        <v>270.26</v>
      </c>
      <c r="G33" s="231">
        <f>IF('Intl Priority'!$G$105&gt;ROUND(((1-IntPriorityDiscount-IntPriorityIncentive)*'Intl Priority'!G30),2),ROUND('Intl Priority'!$G$105*(1+International_Fuel_Surcharge),2),ROUND(((1-IntPriorityDiscount-IntPriorityIncentive)*'Intl Priority'!G30)*(1+International_Fuel_Surcharge),2))</f>
        <v>134.13</v>
      </c>
      <c r="H33" s="231">
        <f>IF('Intl Priority'!$H$105&gt;ROUND(((1-IntPriorityDiscount-IntPriorityIncentive)*'Intl Priority'!H30),2),ROUND('Intl Priority'!$H$105*(1+International_Fuel_Surcharge),2),ROUND(((1-IntPriorityDiscount-IntPriorityIncentive)*'Intl Priority'!H30)*(1+International_Fuel_Surcharge),2))</f>
        <v>139.79</v>
      </c>
      <c r="I33" s="231">
        <f>IF('Intl Priority'!$I$105&gt;ROUND(((1-IntPriorityDiscount-IntPriorityIncentive)*'Intl Priority'!I30),2),ROUND('Intl Priority'!$I$105*(1+International_Fuel_Surcharge),2),ROUND(((1-IntPriorityDiscount-IntPriorityIncentive)*'Intl Priority'!I30)*(1+International_Fuel_Surcharge),2))</f>
        <v>153.77000000000001</v>
      </c>
      <c r="J33" s="231">
        <f>IF('Intl Priority'!$J$105&gt;ROUND(((1-IntPriorityDiscount-IntPriorityIncentive)*'Intl Priority'!J30),2),ROUND('Intl Priority'!$J$105*(1+International_Fuel_Surcharge),2),ROUND(((1-IntPriorityDiscount-IntPriorityIncentive)*'Intl Priority'!J30)*(1+International_Fuel_Surcharge),2))</f>
        <v>100.81</v>
      </c>
      <c r="K33" s="231">
        <f>IF('Intl Priority'!$K$105&gt;ROUND(((1-IntPriorityDiscount-IntPriorityIncentive)*'Intl Priority'!K30),2),ROUND('Intl Priority'!$K$105*(1+International_Fuel_Surcharge),2),ROUND(((1-IntPriorityDiscount-IntPriorityIncentive)*'Intl Priority'!K30)*(1+International_Fuel_Surcharge),2))</f>
        <v>200.12</v>
      </c>
      <c r="L33" s="231">
        <f>IF('Intl Priority'!$L$105&gt;ROUND(((1-IntPriorityDiscount-IntPriorityIncentive)*'Intl Priority'!L30),2),ROUND('Intl Priority'!$L$105*(1+International_Fuel_Surcharge),2),ROUND(((1-IntPriorityDiscount-IntPriorityIncentive)*'Intl Priority'!L30)*(1+International_Fuel_Surcharge),2))</f>
        <v>171.31</v>
      </c>
      <c r="M33" s="231">
        <f>IF('Intl Priority'!$M$105&gt;ROUND(((1-IntPriorityDiscount-IntPriorityIncentive)*'Intl Priority'!M30),2),ROUND('Intl Priority'!$M$105*(1+International_Fuel_Surcharge),2),ROUND(((1-IntPriorityDiscount-IntPriorityIncentive)*'Intl Priority'!M30)*(1+International_Fuel_Surcharge),2))</f>
        <v>256.35000000000002</v>
      </c>
      <c r="N33" s="231">
        <f>IF('Intl Priority'!$N$105&gt;ROUND(((1-IntPriorityDiscount-IntPriorityIncentive)*'Intl Priority'!N30),2),ROUND('Intl Priority'!$N$105*(1+International_Fuel_Surcharge),2),ROUND(((1-IntPriorityDiscount-IntPriorityIncentive)*'Intl Priority'!N30)*(1+International_Fuel_Surcharge),2))</f>
        <v>288.41000000000003</v>
      </c>
      <c r="O33" s="231">
        <f>IF('Intl Priority'!$O$105&gt;ROUND(((1-IntPriorityDiscount-IntPriorityIncentive)*'Intl Priority'!O30),2),ROUND('Intl Priority'!$O$105*(1+International_Fuel_Surcharge),2),ROUND(((1-IntPriorityDiscount-IntPriorityIncentive)*'Intl Priority'!O30)*(1+International_Fuel_Surcharge),2))</f>
        <v>172.64</v>
      </c>
      <c r="P33" s="231">
        <f>IF('Intl Priority'!$P$105&gt;ROUND(((1-IntPriorityDiscount-IntPriorityIncentive)*'Intl Priority'!P30),2),ROUND('Intl Priority'!$P$105*(1+International_Fuel_Surcharge),2),ROUND(((1-IntPriorityDiscount-IntPriorityIncentive)*'Intl Priority'!P30)*(1+International_Fuel_Surcharge),2))</f>
        <v>183.89</v>
      </c>
      <c r="Q33" s="231">
        <f>IF('Intl Priority'!$Q$105&gt;ROUND(((1-PuertoRicoDiscount)*'Intl Priority'!Q30),2),ROUND('Intl Priority'!$Q$105*(1+International_Fuel_Surcharge),2),ROUND(((1-PuertoRicoDiscount)*'Intl Priority'!Q30)*(1+International_Fuel_Surcharge),2))</f>
        <v>235.25</v>
      </c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217">
        <v>29</v>
      </c>
      <c r="B34" s="231">
        <f>IF('Intl Priority'!$B$105&gt;ROUND(((1-IntPriorityDiscount-IntPriorityIncentive)*'Intl Priority'!B31),2),ROUND('Intl Priority'!$B$105*(1+International_Fuel_Surcharge),2),ROUND(((1-IntPriorityDiscount-IntPriorityIncentive)*'Intl Priority'!B31)*(1+International_Fuel_Surcharge),2))</f>
        <v>87.09</v>
      </c>
      <c r="C34" s="231">
        <f>IF('Intl Priority'!$C$105&gt;ROUND(((1-IntPriorityDiscount-IntPriorityIncentive)*'Intl Priority'!C31),2),ROUND('Intl Priority'!$C$105*(1+International_Fuel_Surcharge),2),ROUND(((1-IntPriorityDiscount-IntPriorityIncentive)*'Intl Priority'!C31)*(1+International_Fuel_Surcharge),2))</f>
        <v>105.39</v>
      </c>
      <c r="D34" s="231">
        <f>IF('Intl Priority'!$D$105&gt;ROUND(((1-IntPriorityDiscount-IntPriorityIncentive)*'Intl Priority'!D31),2),ROUND('Intl Priority'!$D$105*(1+International_Fuel_Surcharge),2),ROUND(((1-IntPriorityDiscount-IntPriorityIncentive)*'Intl Priority'!D31)*(1+International_Fuel_Surcharge),2))</f>
        <v>113.69</v>
      </c>
      <c r="E34" s="231">
        <f>IF('Intl Priority'!$E$105&gt;ROUND(((1-IntPriorityDiscount-IntPriorityIncentive)*'Intl Priority'!E31),2),ROUND('Intl Priority'!$E$105*(1+International_Fuel_Surcharge),2),ROUND(((1-IntPriorityDiscount-IntPriorityIncentive)*'Intl Priority'!E31)*(1+International_Fuel_Surcharge),2))</f>
        <v>143.83000000000001</v>
      </c>
      <c r="F34" s="231">
        <f>IF('Intl Priority'!$F$105&gt;ROUND(((1-IntPriorityDiscount-IntPriorityIncentive)*'Intl Priority'!F31),2),ROUND('Intl Priority'!$F$105*(1+International_Fuel_Surcharge),2),ROUND(((1-IntPriorityDiscount-IntPriorityIncentive)*'Intl Priority'!F31)*(1+International_Fuel_Surcharge),2))</f>
        <v>270.77999999999997</v>
      </c>
      <c r="G34" s="231">
        <f>IF('Intl Priority'!$G$105&gt;ROUND(((1-IntPriorityDiscount-IntPriorityIncentive)*'Intl Priority'!G31),2),ROUND('Intl Priority'!$G$105*(1+International_Fuel_Surcharge),2),ROUND(((1-IntPriorityDiscount-IntPriorityIncentive)*'Intl Priority'!G31)*(1+International_Fuel_Surcharge),2))</f>
        <v>141.38</v>
      </c>
      <c r="H34" s="231">
        <f>IF('Intl Priority'!$H$105&gt;ROUND(((1-IntPriorityDiscount-IntPriorityIncentive)*'Intl Priority'!H31),2),ROUND('Intl Priority'!$H$105*(1+International_Fuel_Surcharge),2),ROUND(((1-IntPriorityDiscount-IntPriorityIncentive)*'Intl Priority'!H31)*(1+International_Fuel_Surcharge),2))</f>
        <v>140.13999999999999</v>
      </c>
      <c r="I34" s="231">
        <f>IF('Intl Priority'!$I$105&gt;ROUND(((1-IntPriorityDiscount-IntPriorityIncentive)*'Intl Priority'!I31),2),ROUND('Intl Priority'!$I$105*(1+International_Fuel_Surcharge),2),ROUND(((1-IntPriorityDiscount-IntPriorityIncentive)*'Intl Priority'!I31)*(1+International_Fuel_Surcharge),2))</f>
        <v>154.21</v>
      </c>
      <c r="J34" s="231">
        <f>IF('Intl Priority'!$J$105&gt;ROUND(((1-IntPriorityDiscount-IntPriorityIncentive)*'Intl Priority'!J31),2),ROUND('Intl Priority'!$J$105*(1+International_Fuel_Surcharge),2),ROUND(((1-IntPriorityDiscount-IntPriorityIncentive)*'Intl Priority'!J31)*(1+International_Fuel_Surcharge),2))</f>
        <v>100.94</v>
      </c>
      <c r="K34" s="231">
        <f>IF('Intl Priority'!$K$105&gt;ROUND(((1-IntPriorityDiscount-IntPriorityIncentive)*'Intl Priority'!K31),2),ROUND('Intl Priority'!$K$105*(1+International_Fuel_Surcharge),2),ROUND(((1-IntPriorityDiscount-IntPriorityIncentive)*'Intl Priority'!K31)*(1+International_Fuel_Surcharge),2))</f>
        <v>205.65</v>
      </c>
      <c r="L34" s="231">
        <f>IF('Intl Priority'!$L$105&gt;ROUND(((1-IntPriorityDiscount-IntPriorityIncentive)*'Intl Priority'!L31),2),ROUND('Intl Priority'!$L$105*(1+International_Fuel_Surcharge),2),ROUND(((1-IntPriorityDiscount-IntPriorityIncentive)*'Intl Priority'!L31)*(1+International_Fuel_Surcharge),2))</f>
        <v>173.08</v>
      </c>
      <c r="M34" s="231">
        <f>IF('Intl Priority'!$M$105&gt;ROUND(((1-IntPriorityDiscount-IntPriorityIncentive)*'Intl Priority'!M31),2),ROUND('Intl Priority'!$M$105*(1+International_Fuel_Surcharge),2),ROUND(((1-IntPriorityDiscount-IntPriorityIncentive)*'Intl Priority'!M31)*(1+International_Fuel_Surcharge),2))</f>
        <v>267.88</v>
      </c>
      <c r="N34" s="231">
        <f>IF('Intl Priority'!$N$105&gt;ROUND(((1-IntPriorityDiscount-IntPriorityIncentive)*'Intl Priority'!N31),2),ROUND('Intl Priority'!$N$105*(1+International_Fuel_Surcharge),2),ROUND(((1-IntPriorityDiscount-IntPriorityIncentive)*'Intl Priority'!N31)*(1+International_Fuel_Surcharge),2))</f>
        <v>289.2</v>
      </c>
      <c r="O34" s="231">
        <f>IF('Intl Priority'!$O$105&gt;ROUND(((1-IntPriorityDiscount-IntPriorityIncentive)*'Intl Priority'!O31),2),ROUND('Intl Priority'!$O$105*(1+International_Fuel_Surcharge),2),ROUND(((1-IntPriorityDiscount-IntPriorityIncentive)*'Intl Priority'!O31)*(1+International_Fuel_Surcharge),2))</f>
        <v>182.63</v>
      </c>
      <c r="P34" s="231">
        <f>IF('Intl Priority'!$P$105&gt;ROUND(((1-IntPriorityDiscount-IntPriorityIncentive)*'Intl Priority'!P31),2),ROUND('Intl Priority'!$P$105*(1+International_Fuel_Surcharge),2),ROUND(((1-IntPriorityDiscount-IntPriorityIncentive)*'Intl Priority'!P31)*(1+International_Fuel_Surcharge),2))</f>
        <v>189.15</v>
      </c>
      <c r="Q34" s="231">
        <f>IF('Intl Priority'!$Q$105&gt;ROUND(((1-PuertoRicoDiscount)*'Intl Priority'!Q31),2),ROUND('Intl Priority'!$Q$105*(1+International_Fuel_Surcharge),2),ROUND(((1-PuertoRicoDiscount)*'Intl Priority'!Q31)*(1+International_Fuel_Surcharge),2))</f>
        <v>238.85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2.75" customHeight="1">
      <c r="A35" s="217">
        <v>30</v>
      </c>
      <c r="B35" s="231">
        <f>IF('Intl Priority'!$B$105&gt;ROUND(((1-IntPriorityDiscount-IntPriorityIncentive)*'Intl Priority'!B32),2),ROUND('Intl Priority'!$B$105*(1+International_Fuel_Surcharge),2),ROUND(((1-IntPriorityDiscount-IntPriorityIncentive)*'Intl Priority'!B32)*(1+International_Fuel_Surcharge),2))</f>
        <v>87.5</v>
      </c>
      <c r="C35" s="231">
        <f>IF('Intl Priority'!$C$105&gt;ROUND(((1-IntPriorityDiscount-IntPriorityIncentive)*'Intl Priority'!C32),2),ROUND('Intl Priority'!$C$105*(1+International_Fuel_Surcharge),2),ROUND(((1-IntPriorityDiscount-IntPriorityIncentive)*'Intl Priority'!C32)*(1+International_Fuel_Surcharge),2))</f>
        <v>105.62</v>
      </c>
      <c r="D35" s="231">
        <f>IF('Intl Priority'!$D$105&gt;ROUND(((1-IntPriorityDiscount-IntPriorityIncentive)*'Intl Priority'!D32),2),ROUND('Intl Priority'!$D$105*(1+International_Fuel_Surcharge),2),ROUND(((1-IntPriorityDiscount-IntPriorityIncentive)*'Intl Priority'!D32)*(1+International_Fuel_Surcharge),2))</f>
        <v>113.82</v>
      </c>
      <c r="E35" s="231">
        <f>IF('Intl Priority'!$E$105&gt;ROUND(((1-IntPriorityDiscount-IntPriorityIncentive)*'Intl Priority'!E32),2),ROUND('Intl Priority'!$E$105*(1+International_Fuel_Surcharge),2),ROUND(((1-IntPriorityDiscount-IntPriorityIncentive)*'Intl Priority'!E32)*(1+International_Fuel_Surcharge),2))</f>
        <v>144.01</v>
      </c>
      <c r="F35" s="231">
        <f>IF('Intl Priority'!$F$105&gt;ROUND(((1-IntPriorityDiscount-IntPriorityIncentive)*'Intl Priority'!F32),2),ROUND('Intl Priority'!$F$105*(1+International_Fuel_Surcharge),2),ROUND(((1-IntPriorityDiscount-IntPriorityIncentive)*'Intl Priority'!F32)*(1+International_Fuel_Surcharge),2))</f>
        <v>271.18</v>
      </c>
      <c r="G35" s="231">
        <f>IF('Intl Priority'!$G$105&gt;ROUND(((1-IntPriorityDiscount-IntPriorityIncentive)*'Intl Priority'!G32),2),ROUND('Intl Priority'!$G$105*(1+International_Fuel_Surcharge),2),ROUND(((1-IntPriorityDiscount-IntPriorityIncentive)*'Intl Priority'!G32)*(1+International_Fuel_Surcharge),2))</f>
        <v>142.11000000000001</v>
      </c>
      <c r="H35" s="231">
        <f>IF('Intl Priority'!$H$105&gt;ROUND(((1-IntPriorityDiscount-IntPriorityIncentive)*'Intl Priority'!H32),2),ROUND('Intl Priority'!$H$105*(1+International_Fuel_Surcharge),2),ROUND(((1-IntPriorityDiscount-IntPriorityIncentive)*'Intl Priority'!H32)*(1+International_Fuel_Surcharge),2))</f>
        <v>147.11000000000001</v>
      </c>
      <c r="I35" s="231">
        <f>IF('Intl Priority'!$I$105&gt;ROUND(((1-IntPriorityDiscount-IntPriorityIncentive)*'Intl Priority'!I32),2),ROUND('Intl Priority'!$I$105*(1+International_Fuel_Surcharge),2),ROUND(((1-IntPriorityDiscount-IntPriorityIncentive)*'Intl Priority'!I32)*(1+International_Fuel_Surcharge),2))</f>
        <v>158.04</v>
      </c>
      <c r="J35" s="231">
        <f>IF('Intl Priority'!$J$105&gt;ROUND(((1-IntPriorityDiscount-IntPriorityIncentive)*'Intl Priority'!J32),2),ROUND('Intl Priority'!$J$105*(1+International_Fuel_Surcharge),2),ROUND(((1-IntPriorityDiscount-IntPriorityIncentive)*'Intl Priority'!J32)*(1+International_Fuel_Surcharge),2))</f>
        <v>103.44</v>
      </c>
      <c r="K35" s="231">
        <f>IF('Intl Priority'!$K$105&gt;ROUND(((1-IntPriorityDiscount-IntPriorityIncentive)*'Intl Priority'!K32),2),ROUND('Intl Priority'!$K$105*(1+International_Fuel_Surcharge),2),ROUND(((1-IntPriorityDiscount-IntPriorityIncentive)*'Intl Priority'!K32)*(1+International_Fuel_Surcharge),2))</f>
        <v>206.47</v>
      </c>
      <c r="L35" s="231">
        <f>IF('Intl Priority'!$L$105&gt;ROUND(((1-IntPriorityDiscount-IntPriorityIncentive)*'Intl Priority'!L32),2),ROUND('Intl Priority'!$L$105*(1+International_Fuel_Surcharge),2),ROUND(((1-IntPriorityDiscount-IntPriorityIncentive)*'Intl Priority'!L32)*(1+International_Fuel_Surcharge),2))</f>
        <v>187.39</v>
      </c>
      <c r="M35" s="231">
        <f>IF('Intl Priority'!$M$105&gt;ROUND(((1-IntPriorityDiscount-IntPriorityIncentive)*'Intl Priority'!M32),2),ROUND('Intl Priority'!$M$105*(1+International_Fuel_Surcharge),2),ROUND(((1-IntPriorityDiscount-IntPriorityIncentive)*'Intl Priority'!M32)*(1+International_Fuel_Surcharge),2))</f>
        <v>269.99</v>
      </c>
      <c r="N35" s="231">
        <f>IF('Intl Priority'!$N$105&gt;ROUND(((1-IntPriorityDiscount-IntPriorityIncentive)*'Intl Priority'!N32),2),ROUND('Intl Priority'!$N$105*(1+International_Fuel_Surcharge),2),ROUND(((1-IntPriorityDiscount-IntPriorityIncentive)*'Intl Priority'!N32)*(1+International_Fuel_Surcharge),2))</f>
        <v>289.27999999999997</v>
      </c>
      <c r="O35" s="231">
        <f>IF('Intl Priority'!$O$105&gt;ROUND(((1-IntPriorityDiscount-IntPriorityIncentive)*'Intl Priority'!O32),2),ROUND('Intl Priority'!$O$105*(1+International_Fuel_Surcharge),2),ROUND(((1-IntPriorityDiscount-IntPriorityIncentive)*'Intl Priority'!O32)*(1+International_Fuel_Surcharge),2))</f>
        <v>183.63</v>
      </c>
      <c r="P35" s="231">
        <f>IF('Intl Priority'!$P$105&gt;ROUND(((1-IntPriorityDiscount-IntPriorityIncentive)*'Intl Priority'!P32),2),ROUND('Intl Priority'!$P$105*(1+International_Fuel_Surcharge),2),ROUND(((1-IntPriorityDiscount-IntPriorityIncentive)*'Intl Priority'!P32)*(1+International_Fuel_Surcharge),2))</f>
        <v>190.24</v>
      </c>
      <c r="Q35" s="231">
        <f>IF('Intl Priority'!$Q$105&gt;ROUND(((1-PuertoRicoDiscount)*'Intl Priority'!Q32),2),ROUND('Intl Priority'!$Q$105*(1+International_Fuel_Surcharge),2),ROUND(((1-PuertoRicoDiscount)*'Intl Priority'!Q32)*(1+International_Fuel_Surcharge),2))</f>
        <v>243.18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2.75" customHeight="1">
      <c r="A36" s="217">
        <v>31</v>
      </c>
      <c r="B36" s="231">
        <f>IF('Intl Priority'!$B$105&gt;ROUND(((1-IntPriorityDiscount-IntPriorityIncentive)*'Intl Priority'!B33),2),ROUND('Intl Priority'!$B$105*(1+International_Fuel_Surcharge),2),ROUND(((1-IntPriorityDiscount-IntPriorityIncentive)*'Intl Priority'!B33)*(1+International_Fuel_Surcharge),2))</f>
        <v>95.67</v>
      </c>
      <c r="C36" s="231">
        <f>IF('Intl Priority'!$C$105&gt;ROUND(((1-IntPriorityDiscount-IntPriorityIncentive)*'Intl Priority'!C33),2),ROUND('Intl Priority'!$C$105*(1+International_Fuel_Surcharge),2),ROUND(((1-IntPriorityDiscount-IntPriorityIncentive)*'Intl Priority'!C33)*(1+International_Fuel_Surcharge),2))</f>
        <v>110.07</v>
      </c>
      <c r="D36" s="231">
        <f>IF('Intl Priority'!$D$105&gt;ROUND(((1-IntPriorityDiscount-IntPriorityIncentive)*'Intl Priority'!D33),2),ROUND('Intl Priority'!$D$105*(1+International_Fuel_Surcharge),2),ROUND(((1-IntPriorityDiscount-IntPriorityIncentive)*'Intl Priority'!D33)*(1+International_Fuel_Surcharge),2))</f>
        <v>113.96</v>
      </c>
      <c r="E36" s="231">
        <f>IF('Intl Priority'!$E$105&gt;ROUND(((1-IntPriorityDiscount-IntPriorityIncentive)*'Intl Priority'!E33),2),ROUND('Intl Priority'!$E$105*(1+International_Fuel_Surcharge),2),ROUND(((1-IntPriorityDiscount-IntPriorityIncentive)*'Intl Priority'!E33)*(1+International_Fuel_Surcharge),2))</f>
        <v>147.02000000000001</v>
      </c>
      <c r="F36" s="231">
        <f>IF('Intl Priority'!$F$105&gt;ROUND(((1-IntPriorityDiscount-IntPriorityIncentive)*'Intl Priority'!F33),2),ROUND('Intl Priority'!$F$105*(1+International_Fuel_Surcharge),2),ROUND(((1-IntPriorityDiscount-IntPriorityIncentive)*'Intl Priority'!F33)*(1+International_Fuel_Surcharge),2))</f>
        <v>279.06</v>
      </c>
      <c r="G36" s="231">
        <f>IF('Intl Priority'!$G$105&gt;ROUND(((1-IntPriorityDiscount-IntPriorityIncentive)*'Intl Priority'!G33),2),ROUND('Intl Priority'!$G$105*(1+International_Fuel_Surcharge),2),ROUND(((1-IntPriorityDiscount-IntPriorityIncentive)*'Intl Priority'!G33)*(1+International_Fuel_Surcharge),2))</f>
        <v>147.66999999999999</v>
      </c>
      <c r="H36" s="231">
        <f>IF('Intl Priority'!$H$105&gt;ROUND(((1-IntPriorityDiscount-IntPriorityIncentive)*'Intl Priority'!H33),2),ROUND('Intl Priority'!$H$105*(1+International_Fuel_Surcharge),2),ROUND(((1-IntPriorityDiscount-IntPriorityIncentive)*'Intl Priority'!H33)*(1+International_Fuel_Surcharge),2))</f>
        <v>153.18</v>
      </c>
      <c r="I36" s="231">
        <f>IF('Intl Priority'!$I$105&gt;ROUND(((1-IntPriorityDiscount-IntPriorityIncentive)*'Intl Priority'!I33),2),ROUND('Intl Priority'!$I$105*(1+International_Fuel_Surcharge),2),ROUND(((1-IntPriorityDiscount-IntPriorityIncentive)*'Intl Priority'!I33)*(1+International_Fuel_Surcharge),2))</f>
        <v>159.1</v>
      </c>
      <c r="J36" s="231">
        <f>IF('Intl Priority'!$J$105&gt;ROUND(((1-IntPriorityDiscount-IntPriorityIncentive)*'Intl Priority'!J33),2),ROUND('Intl Priority'!$J$105*(1+International_Fuel_Surcharge),2),ROUND(((1-IntPriorityDiscount-IntPriorityIncentive)*'Intl Priority'!J33)*(1+International_Fuel_Surcharge),2))</f>
        <v>106.37</v>
      </c>
      <c r="K36" s="231">
        <f>IF('Intl Priority'!$K$105&gt;ROUND(((1-IntPriorityDiscount-IntPriorityIncentive)*'Intl Priority'!K33),2),ROUND('Intl Priority'!$K$105*(1+International_Fuel_Surcharge),2),ROUND(((1-IntPriorityDiscount-IntPriorityIncentive)*'Intl Priority'!K33)*(1+International_Fuel_Surcharge),2))</f>
        <v>222.8</v>
      </c>
      <c r="L36" s="231">
        <f>IF('Intl Priority'!$L$105&gt;ROUND(((1-IntPriorityDiscount-IntPriorityIncentive)*'Intl Priority'!L33),2),ROUND('Intl Priority'!$L$105*(1+International_Fuel_Surcharge),2),ROUND(((1-IntPriorityDiscount-IntPriorityIncentive)*'Intl Priority'!L33)*(1+International_Fuel_Surcharge),2))</f>
        <v>189.18</v>
      </c>
      <c r="M36" s="231">
        <f>IF('Intl Priority'!$M$105&gt;ROUND(((1-IntPriorityDiscount-IntPriorityIncentive)*'Intl Priority'!M33),2),ROUND('Intl Priority'!$M$105*(1+International_Fuel_Surcharge),2),ROUND(((1-IntPriorityDiscount-IntPriorityIncentive)*'Intl Priority'!M33)*(1+International_Fuel_Surcharge),2))</f>
        <v>270.63</v>
      </c>
      <c r="N36" s="231">
        <f>IF('Intl Priority'!$N$105&gt;ROUND(((1-IntPriorityDiscount-IntPriorityIncentive)*'Intl Priority'!N33),2),ROUND('Intl Priority'!$N$105*(1+International_Fuel_Surcharge),2),ROUND(((1-IntPriorityDiscount-IntPriorityIncentive)*'Intl Priority'!N33)*(1+International_Fuel_Surcharge),2))</f>
        <v>289.33999999999997</v>
      </c>
      <c r="O36" s="231">
        <f>IF('Intl Priority'!$O$105&gt;ROUND(((1-IntPriorityDiscount-IntPriorityIncentive)*'Intl Priority'!O33),2),ROUND('Intl Priority'!$O$105*(1+International_Fuel_Surcharge),2),ROUND(((1-IntPriorityDiscount-IntPriorityIncentive)*'Intl Priority'!O33)*(1+International_Fuel_Surcharge),2))</f>
        <v>193.29</v>
      </c>
      <c r="P36" s="231">
        <f>IF('Intl Priority'!$P$105&gt;ROUND(((1-IntPriorityDiscount-IntPriorityIncentive)*'Intl Priority'!P33),2),ROUND('Intl Priority'!$P$105*(1+International_Fuel_Surcharge),2),ROUND(((1-IntPriorityDiscount-IntPriorityIncentive)*'Intl Priority'!P33)*(1+International_Fuel_Surcharge),2))</f>
        <v>190.96</v>
      </c>
      <c r="Q36" s="231">
        <f>IF('Intl Priority'!$Q$105&gt;ROUND(((1-PuertoRicoDiscount)*'Intl Priority'!Q33),2),ROUND('Intl Priority'!$Q$105*(1+International_Fuel_Surcharge),2),ROUND(((1-PuertoRicoDiscount)*'Intl Priority'!Q33)*(1+International_Fuel_Surcharge),2))</f>
        <v>247.58</v>
      </c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2.75" customHeight="1">
      <c r="A37" s="217">
        <v>32</v>
      </c>
      <c r="B37" s="231">
        <f>IF('Intl Priority'!$B$105&gt;ROUND(((1-IntPriorityDiscount-IntPriorityIncentive)*'Intl Priority'!B34),2),ROUND('Intl Priority'!$B$105*(1+International_Fuel_Surcharge),2),ROUND(((1-IntPriorityDiscount-IntPriorityIncentive)*'Intl Priority'!B34)*(1+International_Fuel_Surcharge),2))</f>
        <v>96.5</v>
      </c>
      <c r="C37" s="231">
        <f>IF('Intl Priority'!$C$105&gt;ROUND(((1-IntPriorityDiscount-IntPriorityIncentive)*'Intl Priority'!C34),2),ROUND('Intl Priority'!$C$105*(1+International_Fuel_Surcharge),2),ROUND(((1-IntPriorityDiscount-IntPriorityIncentive)*'Intl Priority'!C34)*(1+International_Fuel_Surcharge),2))</f>
        <v>111.9</v>
      </c>
      <c r="D37" s="231">
        <f>IF('Intl Priority'!$D$105&gt;ROUND(((1-IntPriorityDiscount-IntPriorityIncentive)*'Intl Priority'!D34),2),ROUND('Intl Priority'!$D$105*(1+International_Fuel_Surcharge),2),ROUND(((1-IntPriorityDiscount-IntPriorityIncentive)*'Intl Priority'!D34)*(1+International_Fuel_Surcharge),2))</f>
        <v>114.31</v>
      </c>
      <c r="E37" s="231">
        <f>IF('Intl Priority'!$E$105&gt;ROUND(((1-IntPriorityDiscount-IntPriorityIncentive)*'Intl Priority'!E34),2),ROUND('Intl Priority'!$E$105*(1+International_Fuel_Surcharge),2),ROUND(((1-IntPriorityDiscount-IntPriorityIncentive)*'Intl Priority'!E34)*(1+International_Fuel_Surcharge),2))</f>
        <v>147.68</v>
      </c>
      <c r="F37" s="231">
        <f>IF('Intl Priority'!$F$105&gt;ROUND(((1-IntPriorityDiscount-IntPriorityIncentive)*'Intl Priority'!F34),2),ROUND('Intl Priority'!$F$105*(1+International_Fuel_Surcharge),2),ROUND(((1-IntPriorityDiscount-IntPriorityIncentive)*'Intl Priority'!F34)*(1+International_Fuel_Surcharge),2))</f>
        <v>279.85000000000002</v>
      </c>
      <c r="G37" s="231">
        <f>IF('Intl Priority'!$G$105&gt;ROUND(((1-IntPriorityDiscount-IntPriorityIncentive)*'Intl Priority'!G34),2),ROUND('Intl Priority'!$G$105*(1+International_Fuel_Surcharge),2),ROUND(((1-IntPriorityDiscount-IntPriorityIncentive)*'Intl Priority'!G34)*(1+International_Fuel_Surcharge),2))</f>
        <v>155.99</v>
      </c>
      <c r="H37" s="231">
        <f>IF('Intl Priority'!$H$105&gt;ROUND(((1-IntPriorityDiscount-IntPriorityIncentive)*'Intl Priority'!H34),2),ROUND('Intl Priority'!$H$105*(1+International_Fuel_Surcharge),2),ROUND(((1-IntPriorityDiscount-IntPriorityIncentive)*'Intl Priority'!H34)*(1+International_Fuel_Surcharge),2))</f>
        <v>153.79</v>
      </c>
      <c r="I37" s="231">
        <f>IF('Intl Priority'!$I$105&gt;ROUND(((1-IntPriorityDiscount-IntPriorityIncentive)*'Intl Priority'!I34),2),ROUND('Intl Priority'!$I$105*(1+International_Fuel_Surcharge),2),ROUND(((1-IntPriorityDiscount-IntPriorityIncentive)*'Intl Priority'!I34)*(1+International_Fuel_Surcharge),2))</f>
        <v>159.33000000000001</v>
      </c>
      <c r="J37" s="231">
        <f>IF('Intl Priority'!$J$105&gt;ROUND(((1-IntPriorityDiscount-IntPriorityIncentive)*'Intl Priority'!J34),2),ROUND('Intl Priority'!$J$105*(1+International_Fuel_Surcharge),2),ROUND(((1-IntPriorityDiscount-IntPriorityIncentive)*'Intl Priority'!J34)*(1+International_Fuel_Surcharge),2))</f>
        <v>106.67</v>
      </c>
      <c r="K37" s="231">
        <f>IF('Intl Priority'!$K$105&gt;ROUND(((1-IntPriorityDiscount-IntPriorityIncentive)*'Intl Priority'!K34),2),ROUND('Intl Priority'!$K$105*(1+International_Fuel_Surcharge),2),ROUND(((1-IntPriorityDiscount-IntPriorityIncentive)*'Intl Priority'!K34)*(1+International_Fuel_Surcharge),2))</f>
        <v>228.19</v>
      </c>
      <c r="L37" s="231">
        <f>IF('Intl Priority'!$L$105&gt;ROUND(((1-IntPriorityDiscount-IntPriorityIncentive)*'Intl Priority'!L34),2),ROUND('Intl Priority'!$L$105*(1+International_Fuel_Surcharge),2),ROUND(((1-IntPriorityDiscount-IntPriorityIncentive)*'Intl Priority'!L34)*(1+International_Fuel_Surcharge),2))</f>
        <v>189.58</v>
      </c>
      <c r="M37" s="231">
        <f>IF('Intl Priority'!$M$105&gt;ROUND(((1-IntPriorityDiscount-IntPriorityIncentive)*'Intl Priority'!M34),2),ROUND('Intl Priority'!$M$105*(1+International_Fuel_Surcharge),2),ROUND(((1-IntPriorityDiscount-IntPriorityIncentive)*'Intl Priority'!M34)*(1+International_Fuel_Surcharge),2))</f>
        <v>271.64999999999998</v>
      </c>
      <c r="N37" s="231">
        <f>IF('Intl Priority'!$N$105&gt;ROUND(((1-IntPriorityDiscount-IntPriorityIncentive)*'Intl Priority'!N34),2),ROUND('Intl Priority'!$N$105*(1+International_Fuel_Surcharge),2),ROUND(((1-IntPriorityDiscount-IntPriorityIncentive)*'Intl Priority'!N34)*(1+International_Fuel_Surcharge),2))</f>
        <v>289.39</v>
      </c>
      <c r="O37" s="231">
        <f>IF('Intl Priority'!$O$105&gt;ROUND(((1-IntPriorityDiscount-IntPriorityIncentive)*'Intl Priority'!O34),2),ROUND('Intl Priority'!$O$105*(1+International_Fuel_Surcharge),2),ROUND(((1-IntPriorityDiscount-IntPriorityIncentive)*'Intl Priority'!O34)*(1+International_Fuel_Surcharge),2))</f>
        <v>194.26</v>
      </c>
      <c r="P37" s="231">
        <f>IF('Intl Priority'!$P$105&gt;ROUND(((1-IntPriorityDiscount-IntPriorityIncentive)*'Intl Priority'!P34),2),ROUND('Intl Priority'!$P$105*(1+International_Fuel_Surcharge),2),ROUND(((1-IntPriorityDiscount-IntPriorityIncentive)*'Intl Priority'!P34)*(1+International_Fuel_Surcharge),2))</f>
        <v>205.32</v>
      </c>
      <c r="Q37" s="231">
        <f>IF('Intl Priority'!$Q$105&gt;ROUND(((1-PuertoRicoDiscount)*'Intl Priority'!Q34),2),ROUND('Intl Priority'!$Q$105*(1+International_Fuel_Surcharge),2),ROUND(((1-PuertoRicoDiscount)*'Intl Priority'!Q34)*(1+International_Fuel_Surcharge),2))</f>
        <v>252.2</v>
      </c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2.75" customHeight="1">
      <c r="A38" s="217">
        <v>33</v>
      </c>
      <c r="B38" s="231">
        <f>IF('Intl Priority'!$B$105&gt;ROUND(((1-IntPriorityDiscount-IntPriorityIncentive)*'Intl Priority'!B35),2),ROUND('Intl Priority'!$B$105*(1+International_Fuel_Surcharge),2),ROUND(((1-IntPriorityDiscount-IntPriorityIncentive)*'Intl Priority'!B35)*(1+International_Fuel_Surcharge),2))</f>
        <v>96.59</v>
      </c>
      <c r="C38" s="231">
        <f>IF('Intl Priority'!$C$105&gt;ROUND(((1-IntPriorityDiscount-IntPriorityIncentive)*'Intl Priority'!C35),2),ROUND('Intl Priority'!$C$105*(1+International_Fuel_Surcharge),2),ROUND(((1-IntPriorityDiscount-IntPriorityIncentive)*'Intl Priority'!C35)*(1+International_Fuel_Surcharge),2))</f>
        <v>114.12</v>
      </c>
      <c r="D38" s="231">
        <f>IF('Intl Priority'!$D$105&gt;ROUND(((1-IntPriorityDiscount-IntPriorityIncentive)*'Intl Priority'!D35),2),ROUND('Intl Priority'!$D$105*(1+International_Fuel_Surcharge),2),ROUND(((1-IntPriorityDiscount-IntPriorityIncentive)*'Intl Priority'!D35)*(1+International_Fuel_Surcharge),2))</f>
        <v>121.18</v>
      </c>
      <c r="E38" s="231">
        <f>IF('Intl Priority'!$E$105&gt;ROUND(((1-IntPriorityDiscount-IntPriorityIncentive)*'Intl Priority'!E35),2),ROUND('Intl Priority'!$E$105*(1+International_Fuel_Surcharge),2),ROUND(((1-IntPriorityDiscount-IntPriorityIncentive)*'Intl Priority'!E35)*(1+International_Fuel_Surcharge),2))</f>
        <v>160.85</v>
      </c>
      <c r="F38" s="231">
        <f>IF('Intl Priority'!$F$105&gt;ROUND(((1-IntPriorityDiscount-IntPriorityIncentive)*'Intl Priority'!F35),2),ROUND('Intl Priority'!$F$105*(1+International_Fuel_Surcharge),2),ROUND(((1-IntPriorityDiscount-IntPriorityIncentive)*'Intl Priority'!F35)*(1+International_Fuel_Surcharge),2))</f>
        <v>287.74</v>
      </c>
      <c r="G38" s="231">
        <f>IF('Intl Priority'!$G$105&gt;ROUND(((1-IntPriorityDiscount-IntPriorityIncentive)*'Intl Priority'!G35),2),ROUND('Intl Priority'!$G$105*(1+International_Fuel_Surcharge),2),ROUND(((1-IntPriorityDiscount-IntPriorityIncentive)*'Intl Priority'!G35)*(1+International_Fuel_Surcharge),2))</f>
        <v>159.06</v>
      </c>
      <c r="H38" s="231">
        <f>IF('Intl Priority'!$H$105&gt;ROUND(((1-IntPriorityDiscount-IntPriorityIncentive)*'Intl Priority'!H35),2),ROUND('Intl Priority'!$H$105*(1+International_Fuel_Surcharge),2),ROUND(((1-IntPriorityDiscount-IntPriorityIncentive)*'Intl Priority'!H35)*(1+International_Fuel_Surcharge),2))</f>
        <v>160.75</v>
      </c>
      <c r="I38" s="231">
        <f>IF('Intl Priority'!$I$105&gt;ROUND(((1-IntPriorityDiscount-IntPriorityIncentive)*'Intl Priority'!I35),2),ROUND('Intl Priority'!$I$105*(1+International_Fuel_Surcharge),2),ROUND(((1-IntPriorityDiscount-IntPriorityIncentive)*'Intl Priority'!I35)*(1+International_Fuel_Surcharge),2))</f>
        <v>163.81</v>
      </c>
      <c r="J38" s="231">
        <f>IF('Intl Priority'!$J$105&gt;ROUND(((1-IntPriorityDiscount-IntPriorityIncentive)*'Intl Priority'!J35),2),ROUND('Intl Priority'!$J$105*(1+International_Fuel_Surcharge),2),ROUND(((1-IntPriorityDiscount-IntPriorityIncentive)*'Intl Priority'!J35)*(1+International_Fuel_Surcharge),2))</f>
        <v>106.87</v>
      </c>
      <c r="K38" s="231">
        <f>IF('Intl Priority'!$K$105&gt;ROUND(((1-IntPriorityDiscount-IntPriorityIncentive)*'Intl Priority'!K35),2),ROUND('Intl Priority'!$K$105*(1+International_Fuel_Surcharge),2),ROUND(((1-IntPriorityDiscount-IntPriorityIncentive)*'Intl Priority'!K35)*(1+International_Fuel_Surcharge),2))</f>
        <v>233.43</v>
      </c>
      <c r="L38" s="231">
        <f>IF('Intl Priority'!$L$105&gt;ROUND(((1-IntPriorityDiscount-IntPriorityIncentive)*'Intl Priority'!L35),2),ROUND('Intl Priority'!$L$105*(1+International_Fuel_Surcharge),2),ROUND(((1-IntPriorityDiscount-IntPriorityIncentive)*'Intl Priority'!L35)*(1+International_Fuel_Surcharge),2))</f>
        <v>197.49</v>
      </c>
      <c r="M38" s="231">
        <f>IF('Intl Priority'!$M$105&gt;ROUND(((1-IntPriorityDiscount-IntPriorityIncentive)*'Intl Priority'!M35),2),ROUND('Intl Priority'!$M$105*(1+International_Fuel_Surcharge),2),ROUND(((1-IntPriorityDiscount-IntPriorityIncentive)*'Intl Priority'!M35)*(1+International_Fuel_Surcharge),2))</f>
        <v>292.05</v>
      </c>
      <c r="N38" s="231">
        <f>IF('Intl Priority'!$N$105&gt;ROUND(((1-IntPriorityDiscount-IntPriorityIncentive)*'Intl Priority'!N35),2),ROUND('Intl Priority'!$N$105*(1+International_Fuel_Surcharge),2),ROUND(((1-IntPriorityDiscount-IntPriorityIncentive)*'Intl Priority'!N35)*(1+International_Fuel_Surcharge),2))</f>
        <v>289.45</v>
      </c>
      <c r="O38" s="231">
        <f>IF('Intl Priority'!$O$105&gt;ROUND(((1-IntPriorityDiscount-IntPriorityIncentive)*'Intl Priority'!O35),2),ROUND('Intl Priority'!$O$105*(1+International_Fuel_Surcharge),2),ROUND(((1-IntPriorityDiscount-IntPriorityIncentive)*'Intl Priority'!O35)*(1+International_Fuel_Surcharge),2))</f>
        <v>195.4</v>
      </c>
      <c r="P38" s="231">
        <f>IF('Intl Priority'!$P$105&gt;ROUND(((1-IntPriorityDiscount-IntPriorityIncentive)*'Intl Priority'!P35),2),ROUND('Intl Priority'!$P$105*(1+International_Fuel_Surcharge),2),ROUND(((1-IntPriorityDiscount-IntPriorityIncentive)*'Intl Priority'!P35)*(1+International_Fuel_Surcharge),2))</f>
        <v>212.79</v>
      </c>
      <c r="Q38" s="231">
        <f>IF('Intl Priority'!$Q$105&gt;ROUND(((1-PuertoRicoDiscount)*'Intl Priority'!Q35),2),ROUND('Intl Priority'!$Q$105*(1+International_Fuel_Surcharge),2),ROUND(((1-PuertoRicoDiscount)*'Intl Priority'!Q35)*(1+International_Fuel_Surcharge),2))</f>
        <v>258.01</v>
      </c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2.75" customHeight="1">
      <c r="A39" s="217">
        <v>34</v>
      </c>
      <c r="B39" s="231">
        <f>IF('Intl Priority'!$B$105&gt;ROUND(((1-IntPriorityDiscount-IntPriorityIncentive)*'Intl Priority'!B36),2),ROUND('Intl Priority'!$B$105*(1+International_Fuel_Surcharge),2),ROUND(((1-IntPriorityDiscount-IntPriorityIncentive)*'Intl Priority'!B36)*(1+International_Fuel_Surcharge),2))</f>
        <v>96.65</v>
      </c>
      <c r="C39" s="231">
        <f>IF('Intl Priority'!$C$105&gt;ROUND(((1-IntPriorityDiscount-IntPriorityIncentive)*'Intl Priority'!C36),2),ROUND('Intl Priority'!$C$105*(1+International_Fuel_Surcharge),2),ROUND(((1-IntPriorityDiscount-IntPriorityIncentive)*'Intl Priority'!C36)*(1+International_Fuel_Surcharge),2))</f>
        <v>115.97</v>
      </c>
      <c r="D39" s="231">
        <f>IF('Intl Priority'!$D$105&gt;ROUND(((1-IntPriorityDiscount-IntPriorityIncentive)*'Intl Priority'!D36),2),ROUND('Intl Priority'!$D$105*(1+International_Fuel_Surcharge),2),ROUND(((1-IntPriorityDiscount-IntPriorityIncentive)*'Intl Priority'!D36)*(1+International_Fuel_Surcharge),2))</f>
        <v>121.87</v>
      </c>
      <c r="E39" s="231">
        <f>IF('Intl Priority'!$E$105&gt;ROUND(((1-IntPriorityDiscount-IntPriorityIncentive)*'Intl Priority'!E36),2),ROUND('Intl Priority'!$E$105*(1+International_Fuel_Surcharge),2),ROUND(((1-IntPriorityDiscount-IntPriorityIncentive)*'Intl Priority'!E36)*(1+International_Fuel_Surcharge),2))</f>
        <v>162.16999999999999</v>
      </c>
      <c r="F39" s="231">
        <f>IF('Intl Priority'!$F$105&gt;ROUND(((1-IntPriorityDiscount-IntPriorityIncentive)*'Intl Priority'!F36),2),ROUND('Intl Priority'!$F$105*(1+International_Fuel_Surcharge),2),ROUND(((1-IntPriorityDiscount-IntPriorityIncentive)*'Intl Priority'!F36)*(1+International_Fuel_Surcharge),2))</f>
        <v>288.52999999999997</v>
      </c>
      <c r="G39" s="231">
        <f>IF('Intl Priority'!$G$105&gt;ROUND(((1-IntPriorityDiscount-IntPriorityIncentive)*'Intl Priority'!G36),2),ROUND('Intl Priority'!$G$105*(1+International_Fuel_Surcharge),2),ROUND(((1-IntPriorityDiscount-IntPriorityIncentive)*'Intl Priority'!G36)*(1+International_Fuel_Surcharge),2))</f>
        <v>161.65</v>
      </c>
      <c r="H39" s="231">
        <f>IF('Intl Priority'!$H$105&gt;ROUND(((1-IntPriorityDiscount-IntPriorityIncentive)*'Intl Priority'!H36),2),ROUND('Intl Priority'!$H$105*(1+International_Fuel_Surcharge),2),ROUND(((1-IntPriorityDiscount-IntPriorityIncentive)*'Intl Priority'!H36)*(1+International_Fuel_Surcharge),2))</f>
        <v>161.44999999999999</v>
      </c>
      <c r="I39" s="231">
        <f>IF('Intl Priority'!$I$105&gt;ROUND(((1-IntPriorityDiscount-IntPriorityIncentive)*'Intl Priority'!I36),2),ROUND('Intl Priority'!$I$105*(1+International_Fuel_Surcharge),2),ROUND(((1-IntPriorityDiscount-IntPriorityIncentive)*'Intl Priority'!I36)*(1+International_Fuel_Surcharge),2))</f>
        <v>164.3</v>
      </c>
      <c r="J39" s="231">
        <f>IF('Intl Priority'!$J$105&gt;ROUND(((1-IntPriorityDiscount-IntPriorityIncentive)*'Intl Priority'!J36),2),ROUND('Intl Priority'!$J$105*(1+International_Fuel_Surcharge),2),ROUND(((1-IntPriorityDiscount-IntPriorityIncentive)*'Intl Priority'!J36)*(1+International_Fuel_Surcharge),2))</f>
        <v>110.79</v>
      </c>
      <c r="K39" s="231">
        <f>IF('Intl Priority'!$K$105&gt;ROUND(((1-IntPriorityDiscount-IntPriorityIncentive)*'Intl Priority'!K36),2),ROUND('Intl Priority'!$K$105*(1+International_Fuel_Surcharge),2),ROUND(((1-IntPriorityDiscount-IntPriorityIncentive)*'Intl Priority'!K36)*(1+International_Fuel_Surcharge),2))</f>
        <v>238.48</v>
      </c>
      <c r="L39" s="231">
        <f>IF('Intl Priority'!$L$105&gt;ROUND(((1-IntPriorityDiscount-IntPriorityIncentive)*'Intl Priority'!L36),2),ROUND('Intl Priority'!$L$105*(1+International_Fuel_Surcharge),2),ROUND(((1-IntPriorityDiscount-IntPriorityIncentive)*'Intl Priority'!L36)*(1+International_Fuel_Surcharge),2))</f>
        <v>198.28</v>
      </c>
      <c r="M39" s="231">
        <f>IF('Intl Priority'!$M$105&gt;ROUND(((1-IntPriorityDiscount-IntPriorityIncentive)*'Intl Priority'!M36),2),ROUND('Intl Priority'!$M$105*(1+International_Fuel_Surcharge),2),ROUND(((1-IntPriorityDiscount-IntPriorityIncentive)*'Intl Priority'!M36)*(1+International_Fuel_Surcharge),2))</f>
        <v>294.10000000000002</v>
      </c>
      <c r="N39" s="231">
        <f>IF('Intl Priority'!$N$105&gt;ROUND(((1-IntPriorityDiscount-IntPriorityIncentive)*'Intl Priority'!N36),2),ROUND('Intl Priority'!$N$105*(1+International_Fuel_Surcharge),2),ROUND(((1-IntPriorityDiscount-IntPriorityIncentive)*'Intl Priority'!N36)*(1+International_Fuel_Surcharge),2))</f>
        <v>289.5</v>
      </c>
      <c r="O39" s="231">
        <f>IF('Intl Priority'!$O$105&gt;ROUND(((1-IntPriorityDiscount-IntPriorityIncentive)*'Intl Priority'!O36),2),ROUND('Intl Priority'!$O$105*(1+International_Fuel_Surcharge),2),ROUND(((1-IntPriorityDiscount-IntPriorityIncentive)*'Intl Priority'!O36)*(1+International_Fuel_Surcharge),2))</f>
        <v>202.43</v>
      </c>
      <c r="P39" s="231">
        <f>IF('Intl Priority'!$P$105&gt;ROUND(((1-IntPriorityDiscount-IntPriorityIncentive)*'Intl Priority'!P36),2),ROUND('Intl Priority'!$P$105*(1+International_Fuel_Surcharge),2),ROUND(((1-IntPriorityDiscount-IntPriorityIncentive)*'Intl Priority'!P36)*(1+International_Fuel_Surcharge),2))</f>
        <v>213.7</v>
      </c>
      <c r="Q39" s="231">
        <f>IF('Intl Priority'!$Q$105&gt;ROUND(((1-PuertoRicoDiscount)*'Intl Priority'!Q36),2),ROUND('Intl Priority'!$Q$105*(1+International_Fuel_Surcharge),2),ROUND(((1-PuertoRicoDiscount)*'Intl Priority'!Q36)*(1+International_Fuel_Surcharge),2))</f>
        <v>263.2</v>
      </c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2.75" customHeight="1">
      <c r="A40" s="217">
        <v>35</v>
      </c>
      <c r="B40" s="231">
        <f>IF('Intl Priority'!$B$105&gt;ROUND(((1-IntPriorityDiscount-IntPriorityIncentive)*'Intl Priority'!B37),2),ROUND('Intl Priority'!$B$105*(1+International_Fuel_Surcharge),2),ROUND(((1-IntPriorityDiscount-IntPriorityIncentive)*'Intl Priority'!B37)*(1+International_Fuel_Surcharge),2))</f>
        <v>96.71</v>
      </c>
      <c r="C40" s="231">
        <f>IF('Intl Priority'!$C$105&gt;ROUND(((1-IntPriorityDiscount-IntPriorityIncentive)*'Intl Priority'!C37),2),ROUND('Intl Priority'!$C$105*(1+International_Fuel_Surcharge),2),ROUND(((1-IntPriorityDiscount-IntPriorityIncentive)*'Intl Priority'!C37)*(1+International_Fuel_Surcharge),2))</f>
        <v>117.82</v>
      </c>
      <c r="D40" s="231">
        <f>IF('Intl Priority'!$D$105&gt;ROUND(((1-IntPriorityDiscount-IntPriorityIncentive)*'Intl Priority'!D37),2),ROUND('Intl Priority'!$D$105*(1+International_Fuel_Surcharge),2),ROUND(((1-IntPriorityDiscount-IntPriorityIncentive)*'Intl Priority'!D37)*(1+International_Fuel_Surcharge),2))</f>
        <v>121.94</v>
      </c>
      <c r="E40" s="231">
        <f>IF('Intl Priority'!$E$105&gt;ROUND(((1-IntPriorityDiscount-IntPriorityIncentive)*'Intl Priority'!E37),2),ROUND('Intl Priority'!$E$105*(1+International_Fuel_Surcharge),2),ROUND(((1-IntPriorityDiscount-IntPriorityIncentive)*'Intl Priority'!E37)*(1+International_Fuel_Surcharge),2))</f>
        <v>166.75</v>
      </c>
      <c r="F40" s="231">
        <f>IF('Intl Priority'!$F$105&gt;ROUND(((1-IntPriorityDiscount-IntPriorityIncentive)*'Intl Priority'!F37),2),ROUND('Intl Priority'!$F$105*(1+International_Fuel_Surcharge),2),ROUND(((1-IntPriorityDiscount-IntPriorityIncentive)*'Intl Priority'!F37)*(1+International_Fuel_Surcharge),2))</f>
        <v>297.26</v>
      </c>
      <c r="G40" s="231">
        <f>IF('Intl Priority'!$G$105&gt;ROUND(((1-IntPriorityDiscount-IntPriorityIncentive)*'Intl Priority'!G37),2),ROUND('Intl Priority'!$G$105*(1+International_Fuel_Surcharge),2),ROUND(((1-IntPriorityDiscount-IntPriorityIncentive)*'Intl Priority'!G37)*(1+International_Fuel_Surcharge),2))</f>
        <v>161.91</v>
      </c>
      <c r="H40" s="231">
        <f>IF('Intl Priority'!$H$105&gt;ROUND(((1-IntPriorityDiscount-IntPriorityIncentive)*'Intl Priority'!H37),2),ROUND('Intl Priority'!$H$105*(1+International_Fuel_Surcharge),2),ROUND(((1-IntPriorityDiscount-IntPriorityIncentive)*'Intl Priority'!H37)*(1+International_Fuel_Surcharge),2))</f>
        <v>161.88999999999999</v>
      </c>
      <c r="I40" s="231">
        <f>IF('Intl Priority'!$I$105&gt;ROUND(((1-IntPriorityDiscount-IntPriorityIncentive)*'Intl Priority'!I37),2),ROUND('Intl Priority'!$I$105*(1+International_Fuel_Surcharge),2),ROUND(((1-IntPriorityDiscount-IntPriorityIncentive)*'Intl Priority'!I37)*(1+International_Fuel_Surcharge),2))</f>
        <v>167.09</v>
      </c>
      <c r="J40" s="231">
        <f>IF('Intl Priority'!$J$105&gt;ROUND(((1-IntPriorityDiscount-IntPriorityIncentive)*'Intl Priority'!J37),2),ROUND('Intl Priority'!$J$105*(1+International_Fuel_Surcharge),2),ROUND(((1-IntPriorityDiscount-IntPriorityIncentive)*'Intl Priority'!J37)*(1+International_Fuel_Surcharge),2))</f>
        <v>111.27</v>
      </c>
      <c r="K40" s="231">
        <f>IF('Intl Priority'!$K$105&gt;ROUND(((1-IntPriorityDiscount-IntPriorityIncentive)*'Intl Priority'!K37),2),ROUND('Intl Priority'!$K$105*(1+International_Fuel_Surcharge),2),ROUND(((1-IntPriorityDiscount-IntPriorityIncentive)*'Intl Priority'!K37)*(1+International_Fuel_Surcharge),2))</f>
        <v>243.7</v>
      </c>
      <c r="L40" s="231">
        <f>IF('Intl Priority'!$L$105&gt;ROUND(((1-IntPriorityDiscount-IntPriorityIncentive)*'Intl Priority'!L37),2),ROUND('Intl Priority'!$L$105*(1+International_Fuel_Surcharge),2),ROUND(((1-IntPriorityDiscount-IntPriorityIncentive)*'Intl Priority'!L37)*(1+International_Fuel_Surcharge),2))</f>
        <v>198.74</v>
      </c>
      <c r="M40" s="231">
        <f>IF('Intl Priority'!$M$105&gt;ROUND(((1-IntPriorityDiscount-IntPriorityIncentive)*'Intl Priority'!M37),2),ROUND('Intl Priority'!$M$105*(1+International_Fuel_Surcharge),2),ROUND(((1-IntPriorityDiscount-IntPriorityIncentive)*'Intl Priority'!M37)*(1+International_Fuel_Surcharge),2))</f>
        <v>311.54000000000002</v>
      </c>
      <c r="N40" s="231">
        <f>IF('Intl Priority'!$N$105&gt;ROUND(((1-IntPriorityDiscount-IntPriorityIncentive)*'Intl Priority'!N37),2),ROUND('Intl Priority'!$N$105*(1+International_Fuel_Surcharge),2),ROUND(((1-IntPriorityDiscount-IntPriorityIncentive)*'Intl Priority'!N37)*(1+International_Fuel_Surcharge),2))</f>
        <v>289.56</v>
      </c>
      <c r="O40" s="231">
        <f>IF('Intl Priority'!$O$105&gt;ROUND(((1-IntPriorityDiscount-IntPriorityIncentive)*'Intl Priority'!O37),2),ROUND('Intl Priority'!$O$105*(1+International_Fuel_Surcharge),2),ROUND(((1-IntPriorityDiscount-IntPriorityIncentive)*'Intl Priority'!O37)*(1+International_Fuel_Surcharge),2))</f>
        <v>203.21</v>
      </c>
      <c r="P40" s="231">
        <f>IF('Intl Priority'!$P$105&gt;ROUND(((1-IntPriorityDiscount-IntPriorityIncentive)*'Intl Priority'!P37),2),ROUND('Intl Priority'!$P$105*(1+International_Fuel_Surcharge),2),ROUND(((1-IntPriorityDiscount-IntPriorityIncentive)*'Intl Priority'!P37)*(1+International_Fuel_Surcharge),2))</f>
        <v>218.87</v>
      </c>
      <c r="Q40" s="231">
        <f>IF('Intl Priority'!$Q$105&gt;ROUND(((1-PuertoRicoDiscount)*'Intl Priority'!Q37),2),ROUND('Intl Priority'!$Q$105*(1+International_Fuel_Surcharge),2),ROUND(((1-PuertoRicoDiscount)*'Intl Priority'!Q37)*(1+International_Fuel_Surcharge),2))</f>
        <v>268.58</v>
      </c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2.75" customHeight="1">
      <c r="A41" s="217">
        <v>36</v>
      </c>
      <c r="B41" s="231">
        <f>IF('Intl Priority'!$B$105&gt;ROUND(((1-IntPriorityDiscount-IntPriorityIncentive)*'Intl Priority'!B38),2),ROUND('Intl Priority'!$B$105*(1+International_Fuel_Surcharge),2),ROUND(((1-IntPriorityDiscount-IntPriorityIncentive)*'Intl Priority'!B38)*(1+International_Fuel_Surcharge),2))</f>
        <v>97.24</v>
      </c>
      <c r="C41" s="231">
        <f>IF('Intl Priority'!$C$105&gt;ROUND(((1-IntPriorityDiscount-IntPriorityIncentive)*'Intl Priority'!C38),2),ROUND('Intl Priority'!$C$105*(1+International_Fuel_Surcharge),2),ROUND(((1-IntPriorityDiscount-IntPriorityIncentive)*'Intl Priority'!C38)*(1+International_Fuel_Surcharge),2))</f>
        <v>118.01</v>
      </c>
      <c r="D41" s="231">
        <f>IF('Intl Priority'!$D$105&gt;ROUND(((1-IntPriorityDiscount-IntPriorityIncentive)*'Intl Priority'!D38),2),ROUND('Intl Priority'!$D$105*(1+International_Fuel_Surcharge),2),ROUND(((1-IntPriorityDiscount-IntPriorityIncentive)*'Intl Priority'!D38)*(1+International_Fuel_Surcharge),2))</f>
        <v>122.04</v>
      </c>
      <c r="E41" s="231">
        <f>IF('Intl Priority'!$E$105&gt;ROUND(((1-IntPriorityDiscount-IntPriorityIncentive)*'Intl Priority'!E38),2),ROUND('Intl Priority'!$E$105*(1+International_Fuel_Surcharge),2),ROUND(((1-IntPriorityDiscount-IntPriorityIncentive)*'Intl Priority'!E38)*(1+International_Fuel_Surcharge),2))</f>
        <v>167.21</v>
      </c>
      <c r="F41" s="231">
        <f>IF('Intl Priority'!$F$105&gt;ROUND(((1-IntPriorityDiscount-IntPriorityIncentive)*'Intl Priority'!F38),2),ROUND('Intl Priority'!$F$105*(1+International_Fuel_Surcharge),2),ROUND(((1-IntPriorityDiscount-IntPriorityIncentive)*'Intl Priority'!F38)*(1+International_Fuel_Surcharge),2))</f>
        <v>298.13</v>
      </c>
      <c r="G41" s="231">
        <f>IF('Intl Priority'!$G$105&gt;ROUND(((1-IntPriorityDiscount-IntPriorityIncentive)*'Intl Priority'!G38),2),ROUND('Intl Priority'!$G$105*(1+International_Fuel_Surcharge),2),ROUND(((1-IntPriorityDiscount-IntPriorityIncentive)*'Intl Priority'!G38)*(1+International_Fuel_Surcharge),2))</f>
        <v>162.69999999999999</v>
      </c>
      <c r="H41" s="231">
        <f>IF('Intl Priority'!$H$105&gt;ROUND(((1-IntPriorityDiscount-IntPriorityIncentive)*'Intl Priority'!H38),2),ROUND('Intl Priority'!$H$105*(1+International_Fuel_Surcharge),2),ROUND(((1-IntPriorityDiscount-IntPriorityIncentive)*'Intl Priority'!H38)*(1+International_Fuel_Surcharge),2))</f>
        <v>170.55</v>
      </c>
      <c r="I41" s="231">
        <f>IF('Intl Priority'!$I$105&gt;ROUND(((1-IntPriorityDiscount-IntPriorityIncentive)*'Intl Priority'!I38),2),ROUND('Intl Priority'!$I$105*(1+International_Fuel_Surcharge),2),ROUND(((1-IntPriorityDiscount-IntPriorityIncentive)*'Intl Priority'!I38)*(1+International_Fuel_Surcharge),2))</f>
        <v>173.42</v>
      </c>
      <c r="J41" s="231">
        <f>IF('Intl Priority'!$J$105&gt;ROUND(((1-IntPriorityDiscount-IntPriorityIncentive)*'Intl Priority'!J38),2),ROUND('Intl Priority'!$J$105*(1+International_Fuel_Surcharge),2),ROUND(((1-IntPriorityDiscount-IntPriorityIncentive)*'Intl Priority'!J38)*(1+International_Fuel_Surcharge),2))</f>
        <v>120.7</v>
      </c>
      <c r="K41" s="231">
        <f>IF('Intl Priority'!$K$105&gt;ROUND(((1-IntPriorityDiscount-IntPriorityIncentive)*'Intl Priority'!K38),2),ROUND('Intl Priority'!$K$105*(1+International_Fuel_Surcharge),2),ROUND(((1-IntPriorityDiscount-IntPriorityIncentive)*'Intl Priority'!K38)*(1+International_Fuel_Surcharge),2))</f>
        <v>244.23</v>
      </c>
      <c r="L41" s="231">
        <f>IF('Intl Priority'!$L$105&gt;ROUND(((1-IntPriorityDiscount-IntPriorityIncentive)*'Intl Priority'!L38),2),ROUND('Intl Priority'!$L$105*(1+International_Fuel_Surcharge),2),ROUND(((1-IntPriorityDiscount-IntPriorityIncentive)*'Intl Priority'!L38)*(1+International_Fuel_Surcharge),2))</f>
        <v>198.81</v>
      </c>
      <c r="M41" s="231">
        <f>IF('Intl Priority'!$M$105&gt;ROUND(((1-IntPriorityDiscount-IntPriorityIncentive)*'Intl Priority'!M38),2),ROUND('Intl Priority'!$M$105*(1+International_Fuel_Surcharge),2),ROUND(((1-IntPriorityDiscount-IntPriorityIncentive)*'Intl Priority'!M38)*(1+International_Fuel_Surcharge),2))</f>
        <v>324.43</v>
      </c>
      <c r="N41" s="231">
        <f>IF('Intl Priority'!$N$105&gt;ROUND(((1-IntPriorityDiscount-IntPriorityIncentive)*'Intl Priority'!N38),2),ROUND('Intl Priority'!$N$105*(1+International_Fuel_Surcharge),2),ROUND(((1-IntPriorityDiscount-IntPriorityIncentive)*'Intl Priority'!N38)*(1+International_Fuel_Surcharge),2))</f>
        <v>289.64</v>
      </c>
      <c r="O41" s="231">
        <f>IF('Intl Priority'!$O$105&gt;ROUND(((1-IntPriorityDiscount-IntPriorityIncentive)*'Intl Priority'!O38),2),ROUND('Intl Priority'!$O$105*(1+International_Fuel_Surcharge),2),ROUND(((1-IntPriorityDiscount-IntPriorityIncentive)*'Intl Priority'!O38)*(1+International_Fuel_Surcharge),2))</f>
        <v>215.47</v>
      </c>
      <c r="P41" s="231">
        <f>IF('Intl Priority'!$P$105&gt;ROUND(((1-IntPriorityDiscount-IntPriorityIncentive)*'Intl Priority'!P38),2),ROUND('Intl Priority'!$P$105*(1+International_Fuel_Surcharge),2),ROUND(((1-IntPriorityDiscount-IntPriorityIncentive)*'Intl Priority'!P38)*(1+International_Fuel_Surcharge),2))</f>
        <v>226.62</v>
      </c>
      <c r="Q41" s="231">
        <f>IF('Intl Priority'!$Q$105&gt;ROUND(((1-PuertoRicoDiscount)*'Intl Priority'!Q38),2),ROUND('Intl Priority'!$Q$105*(1+International_Fuel_Surcharge),2),ROUND(((1-PuertoRicoDiscount)*'Intl Priority'!Q38)*(1+International_Fuel_Surcharge),2))</f>
        <v>273.77</v>
      </c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2.75" customHeight="1">
      <c r="A42" s="217">
        <v>37</v>
      </c>
      <c r="B42" s="231">
        <f>IF('Intl Priority'!$B$105&gt;ROUND(((1-IntPriorityDiscount-IntPriorityIncentive)*'Intl Priority'!B39),2),ROUND('Intl Priority'!$B$105*(1+International_Fuel_Surcharge),2),ROUND(((1-IntPriorityDiscount-IntPriorityIncentive)*'Intl Priority'!B39)*(1+International_Fuel_Surcharge),2))</f>
        <v>107.7</v>
      </c>
      <c r="C42" s="231">
        <f>IF('Intl Priority'!$C$105&gt;ROUND(((1-IntPriorityDiscount-IntPriorityIncentive)*'Intl Priority'!C39),2),ROUND('Intl Priority'!$C$105*(1+International_Fuel_Surcharge),2),ROUND(((1-IntPriorityDiscount-IntPriorityIncentive)*'Intl Priority'!C39)*(1+International_Fuel_Surcharge),2))</f>
        <v>121.87</v>
      </c>
      <c r="D42" s="231">
        <f>IF('Intl Priority'!$D$105&gt;ROUND(((1-IntPriorityDiscount-IntPriorityIncentive)*'Intl Priority'!D39),2),ROUND('Intl Priority'!$D$105*(1+International_Fuel_Surcharge),2),ROUND(((1-IntPriorityDiscount-IntPriorityIncentive)*'Intl Priority'!D39)*(1+International_Fuel_Surcharge),2))</f>
        <v>122.13</v>
      </c>
      <c r="E42" s="231">
        <f>IF('Intl Priority'!$E$105&gt;ROUND(((1-IntPriorityDiscount-IntPriorityIncentive)*'Intl Priority'!E39),2),ROUND('Intl Priority'!$E$105*(1+International_Fuel_Surcharge),2),ROUND(((1-IntPriorityDiscount-IntPriorityIncentive)*'Intl Priority'!E39)*(1+International_Fuel_Surcharge),2))</f>
        <v>167.49</v>
      </c>
      <c r="F42" s="231">
        <f>IF('Intl Priority'!$F$105&gt;ROUND(((1-IntPriorityDiscount-IntPriorityIncentive)*'Intl Priority'!F39),2),ROUND('Intl Priority'!$F$105*(1+International_Fuel_Surcharge),2),ROUND(((1-IntPriorityDiscount-IntPriorityIncentive)*'Intl Priority'!F39)*(1+International_Fuel_Surcharge),2))</f>
        <v>304.89</v>
      </c>
      <c r="G42" s="231">
        <f>IF('Intl Priority'!$G$105&gt;ROUND(((1-IntPriorityDiscount-IntPriorityIncentive)*'Intl Priority'!G39),2),ROUND('Intl Priority'!$G$105*(1+International_Fuel_Surcharge),2),ROUND(((1-IntPriorityDiscount-IntPriorityIncentive)*'Intl Priority'!G39)*(1+International_Fuel_Surcharge),2))</f>
        <v>171.99</v>
      </c>
      <c r="H42" s="231">
        <f>IF('Intl Priority'!$H$105&gt;ROUND(((1-IntPriorityDiscount-IntPriorityIncentive)*'Intl Priority'!H39),2),ROUND('Intl Priority'!$H$105*(1+International_Fuel_Surcharge),2),ROUND(((1-IntPriorityDiscount-IntPriorityIncentive)*'Intl Priority'!H39)*(1+International_Fuel_Surcharge),2))</f>
        <v>173.81</v>
      </c>
      <c r="I42" s="231">
        <f>IF('Intl Priority'!$I$105&gt;ROUND(((1-IntPriorityDiscount-IntPriorityIncentive)*'Intl Priority'!I39),2),ROUND('Intl Priority'!$I$105*(1+International_Fuel_Surcharge),2),ROUND(((1-IntPriorityDiscount-IntPriorityIncentive)*'Intl Priority'!I39)*(1+International_Fuel_Surcharge),2))</f>
        <v>174.26</v>
      </c>
      <c r="J42" s="231">
        <f>IF('Intl Priority'!$J$105&gt;ROUND(((1-IntPriorityDiscount-IntPriorityIncentive)*'Intl Priority'!J39),2),ROUND('Intl Priority'!$J$105*(1+International_Fuel_Surcharge),2),ROUND(((1-IntPriorityDiscount-IntPriorityIncentive)*'Intl Priority'!J39)*(1+International_Fuel_Surcharge),2))</f>
        <v>127.43</v>
      </c>
      <c r="K42" s="231">
        <f>IF('Intl Priority'!$K$105&gt;ROUND(((1-IntPriorityDiscount-IntPriorityIncentive)*'Intl Priority'!K39),2),ROUND('Intl Priority'!$K$105*(1+International_Fuel_Surcharge),2),ROUND(((1-IntPriorityDiscount-IntPriorityIncentive)*'Intl Priority'!K39)*(1+International_Fuel_Surcharge),2))</f>
        <v>254.15</v>
      </c>
      <c r="L42" s="231">
        <f>IF('Intl Priority'!$L$105&gt;ROUND(((1-IntPriorityDiscount-IntPriorityIncentive)*'Intl Priority'!L39),2),ROUND('Intl Priority'!$L$105*(1+International_Fuel_Surcharge),2),ROUND(((1-IntPriorityDiscount-IntPriorityIncentive)*'Intl Priority'!L39)*(1+International_Fuel_Surcharge),2))</f>
        <v>198.87</v>
      </c>
      <c r="M42" s="231">
        <f>IF('Intl Priority'!$M$105&gt;ROUND(((1-IntPriorityDiscount-IntPriorityIncentive)*'Intl Priority'!M39),2),ROUND('Intl Priority'!$M$105*(1+International_Fuel_Surcharge),2),ROUND(((1-IntPriorityDiscount-IntPriorityIncentive)*'Intl Priority'!M39)*(1+International_Fuel_Surcharge),2))</f>
        <v>330.96</v>
      </c>
      <c r="N42" s="231">
        <f>IF('Intl Priority'!$N$105&gt;ROUND(((1-IntPriorityDiscount-IntPriorityIncentive)*'Intl Priority'!N39),2),ROUND('Intl Priority'!$N$105*(1+International_Fuel_Surcharge),2),ROUND(((1-IntPriorityDiscount-IntPriorityIncentive)*'Intl Priority'!N39)*(1+International_Fuel_Surcharge),2))</f>
        <v>289.69</v>
      </c>
      <c r="O42" s="231">
        <f>IF('Intl Priority'!$O$105&gt;ROUND(((1-IntPriorityDiscount-IntPriorityIncentive)*'Intl Priority'!O39),2),ROUND('Intl Priority'!$O$105*(1+International_Fuel_Surcharge),2),ROUND(((1-IntPriorityDiscount-IntPriorityIncentive)*'Intl Priority'!O39)*(1+International_Fuel_Surcharge),2))</f>
        <v>216.7</v>
      </c>
      <c r="P42" s="231">
        <f>IF('Intl Priority'!$P$105&gt;ROUND(((1-IntPriorityDiscount-IntPriorityIncentive)*'Intl Priority'!P39),2),ROUND('Intl Priority'!$P$105*(1+International_Fuel_Surcharge),2),ROUND(((1-IntPriorityDiscount-IntPriorityIncentive)*'Intl Priority'!P39)*(1+International_Fuel_Surcharge),2))</f>
        <v>227.4</v>
      </c>
      <c r="Q42" s="231">
        <f>IF('Intl Priority'!$Q$105&gt;ROUND(((1-PuertoRicoDiscount)*'Intl Priority'!Q39),2),ROUND('Intl Priority'!$Q$105*(1+International_Fuel_Surcharge),2),ROUND(((1-PuertoRicoDiscount)*'Intl Priority'!Q39)*(1+International_Fuel_Surcharge),2))</f>
        <v>279.73</v>
      </c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2.75" customHeight="1">
      <c r="A43" s="217">
        <v>38</v>
      </c>
      <c r="B43" s="231">
        <f>IF('Intl Priority'!$B$105&gt;ROUND(((1-IntPriorityDiscount-IntPriorityIncentive)*'Intl Priority'!B40),2),ROUND('Intl Priority'!$B$105*(1+International_Fuel_Surcharge),2),ROUND(((1-IntPriorityDiscount-IntPriorityIncentive)*'Intl Priority'!B40)*(1+International_Fuel_Surcharge),2))</f>
        <v>109.08</v>
      </c>
      <c r="C43" s="231">
        <f>IF('Intl Priority'!$C$105&gt;ROUND(((1-IntPriorityDiscount-IntPriorityIncentive)*'Intl Priority'!C40),2),ROUND('Intl Priority'!$C$105*(1+International_Fuel_Surcharge),2),ROUND(((1-IntPriorityDiscount-IntPriorityIncentive)*'Intl Priority'!C40)*(1+International_Fuel_Surcharge),2))</f>
        <v>123.53</v>
      </c>
      <c r="D43" s="231">
        <f>IF('Intl Priority'!$D$105&gt;ROUND(((1-IntPriorityDiscount-IntPriorityIncentive)*'Intl Priority'!D40),2),ROUND('Intl Priority'!$D$105*(1+International_Fuel_Surcharge),2),ROUND(((1-IntPriorityDiscount-IntPriorityIncentive)*'Intl Priority'!D40)*(1+International_Fuel_Surcharge),2))</f>
        <v>122.45</v>
      </c>
      <c r="E43" s="231">
        <f>IF('Intl Priority'!$E$105&gt;ROUND(((1-IntPriorityDiscount-IntPriorityIncentive)*'Intl Priority'!E40),2),ROUND('Intl Priority'!$E$105*(1+International_Fuel_Surcharge),2),ROUND(((1-IntPriorityDiscount-IntPriorityIncentive)*'Intl Priority'!E40)*(1+International_Fuel_Surcharge),2))</f>
        <v>172.57</v>
      </c>
      <c r="F43" s="231">
        <f>IF('Intl Priority'!$F$105&gt;ROUND(((1-IntPriorityDiscount-IntPriorityIncentive)*'Intl Priority'!F40),2),ROUND('Intl Priority'!$F$105*(1+International_Fuel_Surcharge),2),ROUND(((1-IntPriorityDiscount-IntPriorityIncentive)*'Intl Priority'!F40)*(1+International_Fuel_Surcharge),2))</f>
        <v>305.89</v>
      </c>
      <c r="G43" s="231">
        <f>IF('Intl Priority'!$G$105&gt;ROUND(((1-IntPriorityDiscount-IntPriorityIncentive)*'Intl Priority'!G40),2),ROUND('Intl Priority'!$G$105*(1+International_Fuel_Surcharge),2),ROUND(((1-IntPriorityDiscount-IntPriorityIncentive)*'Intl Priority'!G40)*(1+International_Fuel_Surcharge),2))</f>
        <v>174.99</v>
      </c>
      <c r="H43" s="231">
        <f>IF('Intl Priority'!$H$105&gt;ROUND(((1-IntPriorityDiscount-IntPriorityIncentive)*'Intl Priority'!H40),2),ROUND('Intl Priority'!$H$105*(1+International_Fuel_Surcharge),2),ROUND(((1-IntPriorityDiscount-IntPriorityIncentive)*'Intl Priority'!H40)*(1+International_Fuel_Surcharge),2))</f>
        <v>176.9</v>
      </c>
      <c r="I43" s="231">
        <f>IF('Intl Priority'!$I$105&gt;ROUND(((1-IntPriorityDiscount-IntPriorityIncentive)*'Intl Priority'!I40),2),ROUND('Intl Priority'!$I$105*(1+International_Fuel_Surcharge),2),ROUND(((1-IntPriorityDiscount-IntPriorityIncentive)*'Intl Priority'!I40)*(1+International_Fuel_Surcharge),2))</f>
        <v>174.63</v>
      </c>
      <c r="J43" s="231">
        <f>IF('Intl Priority'!$J$105&gt;ROUND(((1-IntPriorityDiscount-IntPriorityIncentive)*'Intl Priority'!J40),2),ROUND('Intl Priority'!$J$105*(1+International_Fuel_Surcharge),2),ROUND(((1-IntPriorityDiscount-IntPriorityIncentive)*'Intl Priority'!J40)*(1+International_Fuel_Surcharge),2))</f>
        <v>128.11000000000001</v>
      </c>
      <c r="K43" s="231">
        <f>IF('Intl Priority'!$K$105&gt;ROUND(((1-IntPriorityDiscount-IntPriorityIncentive)*'Intl Priority'!K40),2),ROUND('Intl Priority'!$K$105*(1+International_Fuel_Surcharge),2),ROUND(((1-IntPriorityDiscount-IntPriorityIncentive)*'Intl Priority'!K40)*(1+International_Fuel_Surcharge),2))</f>
        <v>264.20999999999998</v>
      </c>
      <c r="L43" s="231">
        <f>IF('Intl Priority'!$L$105&gt;ROUND(((1-IntPriorityDiscount-IntPriorityIncentive)*'Intl Priority'!L40),2),ROUND('Intl Priority'!$L$105*(1+International_Fuel_Surcharge),2),ROUND(((1-IntPriorityDiscount-IntPriorityIncentive)*'Intl Priority'!L40)*(1+International_Fuel_Surcharge),2))</f>
        <v>199.43</v>
      </c>
      <c r="M43" s="231">
        <f>IF('Intl Priority'!$M$105&gt;ROUND(((1-IntPriorityDiscount-IntPriorityIncentive)*'Intl Priority'!M40),2),ROUND('Intl Priority'!$M$105*(1+International_Fuel_Surcharge),2),ROUND(((1-IntPriorityDiscount-IntPriorityIncentive)*'Intl Priority'!M40)*(1+International_Fuel_Surcharge),2))</f>
        <v>331.61</v>
      </c>
      <c r="N43" s="231">
        <f>IF('Intl Priority'!$N$105&gt;ROUND(((1-IntPriorityDiscount-IntPriorityIncentive)*'Intl Priority'!N40),2),ROUND('Intl Priority'!$N$105*(1+International_Fuel_Surcharge),2),ROUND(((1-IntPriorityDiscount-IntPriorityIncentive)*'Intl Priority'!N40)*(1+International_Fuel_Surcharge),2))</f>
        <v>289.75</v>
      </c>
      <c r="O43" s="231">
        <f>IF('Intl Priority'!$O$105&gt;ROUND(((1-IntPriorityDiscount-IntPriorityIncentive)*'Intl Priority'!O40),2),ROUND('Intl Priority'!$O$105*(1+International_Fuel_Surcharge),2),ROUND(((1-IntPriorityDiscount-IntPriorityIncentive)*'Intl Priority'!O40)*(1+International_Fuel_Surcharge),2))</f>
        <v>218.13</v>
      </c>
      <c r="P43" s="231">
        <f>IF('Intl Priority'!$P$105&gt;ROUND(((1-IntPriorityDiscount-IntPriorityIncentive)*'Intl Priority'!P40),2),ROUND('Intl Priority'!$P$105*(1+International_Fuel_Surcharge),2),ROUND(((1-IntPriorityDiscount-IntPriorityIncentive)*'Intl Priority'!P40)*(1+International_Fuel_Surcharge),2))</f>
        <v>228.86</v>
      </c>
      <c r="Q43" s="231">
        <f>IF('Intl Priority'!$Q$105&gt;ROUND(((1-PuertoRicoDiscount)*'Intl Priority'!Q40),2),ROUND('Intl Priority'!$Q$105*(1+International_Fuel_Surcharge),2),ROUND(((1-PuertoRicoDiscount)*'Intl Priority'!Q40)*(1+International_Fuel_Surcharge),2))</f>
        <v>284.88</v>
      </c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>
      <c r="A44" s="217">
        <v>39</v>
      </c>
      <c r="B44" s="231">
        <f>IF('Intl Priority'!$B$105&gt;ROUND(((1-IntPriorityDiscount-IntPriorityIncentive)*'Intl Priority'!B41),2),ROUND('Intl Priority'!$B$105*(1+International_Fuel_Surcharge),2),ROUND(((1-IntPriorityDiscount-IntPriorityIncentive)*'Intl Priority'!B41)*(1+International_Fuel_Surcharge),2))</f>
        <v>111.07</v>
      </c>
      <c r="C44" s="231">
        <f>IF('Intl Priority'!$C$105&gt;ROUND(((1-IntPriorityDiscount-IntPriorityIncentive)*'Intl Priority'!C41),2),ROUND('Intl Priority'!$C$105*(1+International_Fuel_Surcharge),2),ROUND(((1-IntPriorityDiscount-IntPriorityIncentive)*'Intl Priority'!C41)*(1+International_Fuel_Surcharge),2))</f>
        <v>125.19</v>
      </c>
      <c r="D44" s="231">
        <f>IF('Intl Priority'!$D$105&gt;ROUND(((1-IntPriorityDiscount-IntPriorityIncentive)*'Intl Priority'!D41),2),ROUND('Intl Priority'!$D$105*(1+International_Fuel_Surcharge),2),ROUND(((1-IntPriorityDiscount-IntPriorityIncentive)*'Intl Priority'!D41)*(1+International_Fuel_Surcharge),2))</f>
        <v>125.17</v>
      </c>
      <c r="E44" s="231">
        <f>IF('Intl Priority'!$E$105&gt;ROUND(((1-IntPriorityDiscount-IntPriorityIncentive)*'Intl Priority'!E41),2),ROUND('Intl Priority'!$E$105*(1+International_Fuel_Surcharge),2),ROUND(((1-IntPriorityDiscount-IntPriorityIncentive)*'Intl Priority'!E41)*(1+International_Fuel_Surcharge),2))</f>
        <v>176.67</v>
      </c>
      <c r="F44" s="231">
        <f>IF('Intl Priority'!$F$105&gt;ROUND(((1-IntPriorityDiscount-IntPriorityIncentive)*'Intl Priority'!F41),2),ROUND('Intl Priority'!$F$105*(1+International_Fuel_Surcharge),2),ROUND(((1-IntPriorityDiscount-IntPriorityIncentive)*'Intl Priority'!F41)*(1+International_Fuel_Surcharge),2))</f>
        <v>306</v>
      </c>
      <c r="G44" s="231">
        <f>IF('Intl Priority'!$G$105&gt;ROUND(((1-IntPriorityDiscount-IntPriorityIncentive)*'Intl Priority'!G41),2),ROUND('Intl Priority'!$G$105*(1+International_Fuel_Surcharge),2),ROUND(((1-IntPriorityDiscount-IntPriorityIncentive)*'Intl Priority'!G41)*(1+International_Fuel_Surcharge),2))</f>
        <v>178.27</v>
      </c>
      <c r="H44" s="231">
        <f>IF('Intl Priority'!$H$105&gt;ROUND(((1-IntPriorityDiscount-IntPriorityIncentive)*'Intl Priority'!H41),2),ROUND('Intl Priority'!$H$105*(1+International_Fuel_Surcharge),2),ROUND(((1-IntPriorityDiscount-IntPriorityIncentive)*'Intl Priority'!H41)*(1+International_Fuel_Surcharge),2))</f>
        <v>180.15</v>
      </c>
      <c r="I44" s="231">
        <f>IF('Intl Priority'!$I$105&gt;ROUND(((1-IntPriorityDiscount-IntPriorityIncentive)*'Intl Priority'!I41),2),ROUND('Intl Priority'!$I$105*(1+International_Fuel_Surcharge),2),ROUND(((1-IntPriorityDiscount-IntPriorityIncentive)*'Intl Priority'!I41)*(1+International_Fuel_Surcharge),2))</f>
        <v>181.8</v>
      </c>
      <c r="J44" s="231">
        <f>IF('Intl Priority'!$J$105&gt;ROUND(((1-IntPriorityDiscount-IntPriorityIncentive)*'Intl Priority'!J41),2),ROUND('Intl Priority'!$J$105*(1+International_Fuel_Surcharge),2),ROUND(((1-IntPriorityDiscount-IntPriorityIncentive)*'Intl Priority'!J41)*(1+International_Fuel_Surcharge),2))</f>
        <v>130.72999999999999</v>
      </c>
      <c r="K44" s="231">
        <f>IF('Intl Priority'!$K$105&gt;ROUND(((1-IntPriorityDiscount-IntPriorityIncentive)*'Intl Priority'!K41),2),ROUND('Intl Priority'!$K$105*(1+International_Fuel_Surcharge),2),ROUND(((1-IntPriorityDiscount-IntPriorityIncentive)*'Intl Priority'!K41)*(1+International_Fuel_Surcharge),2))</f>
        <v>268.98</v>
      </c>
      <c r="L44" s="231">
        <f>IF('Intl Priority'!$L$105&gt;ROUND(((1-IntPriorityDiscount-IntPriorityIncentive)*'Intl Priority'!L41),2),ROUND('Intl Priority'!$L$105*(1+International_Fuel_Surcharge),2),ROUND(((1-IntPriorityDiscount-IntPriorityIncentive)*'Intl Priority'!L41)*(1+International_Fuel_Surcharge),2))</f>
        <v>210.63</v>
      </c>
      <c r="M44" s="231">
        <f>IF('Intl Priority'!$M$105&gt;ROUND(((1-IntPriorityDiscount-IntPriorityIncentive)*'Intl Priority'!M41),2),ROUND('Intl Priority'!$M$105*(1+International_Fuel_Surcharge),2),ROUND(((1-IntPriorityDiscount-IntPriorityIncentive)*'Intl Priority'!M41)*(1+International_Fuel_Surcharge),2))</f>
        <v>331.69</v>
      </c>
      <c r="N44" s="231">
        <f>IF('Intl Priority'!$N$105&gt;ROUND(((1-IntPriorityDiscount-IntPriorityIncentive)*'Intl Priority'!N41),2),ROUND('Intl Priority'!$N$105*(1+International_Fuel_Surcharge),2),ROUND(((1-IntPriorityDiscount-IntPriorityIncentive)*'Intl Priority'!N41)*(1+International_Fuel_Surcharge),2))</f>
        <v>290.85000000000002</v>
      </c>
      <c r="O44" s="231">
        <f>IF('Intl Priority'!$O$105&gt;ROUND(((1-IntPriorityDiscount-IntPriorityIncentive)*'Intl Priority'!O41),2),ROUND('Intl Priority'!$O$105*(1+International_Fuel_Surcharge),2),ROUND(((1-IntPriorityDiscount-IntPriorityIncentive)*'Intl Priority'!O41)*(1+International_Fuel_Surcharge),2))</f>
        <v>229.26</v>
      </c>
      <c r="P44" s="231">
        <f>IF('Intl Priority'!$P$105&gt;ROUND(((1-IntPriorityDiscount-IntPriorityIncentive)*'Intl Priority'!P41),2),ROUND('Intl Priority'!$P$105*(1+International_Fuel_Surcharge),2),ROUND(((1-IntPriorityDiscount-IntPriorityIncentive)*'Intl Priority'!P41)*(1+International_Fuel_Surcharge),2))</f>
        <v>235.31</v>
      </c>
      <c r="Q44" s="231">
        <f>IF('Intl Priority'!$Q$105&gt;ROUND(((1-PuertoRicoDiscount)*'Intl Priority'!Q41),2),ROUND('Intl Priority'!$Q$105*(1+International_Fuel_Surcharge),2),ROUND(((1-PuertoRicoDiscount)*'Intl Priority'!Q41)*(1+International_Fuel_Surcharge),2))</f>
        <v>290.44</v>
      </c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2.75" customHeight="1">
      <c r="A45" s="217">
        <v>40</v>
      </c>
      <c r="B45" s="231">
        <f>IF('Intl Priority'!$B$105&gt;ROUND(((1-IntPriorityDiscount-IntPriorityIncentive)*'Intl Priority'!B42),2),ROUND('Intl Priority'!$B$105*(1+International_Fuel_Surcharge),2),ROUND(((1-IntPriorityDiscount-IntPriorityIncentive)*'Intl Priority'!B42)*(1+International_Fuel_Surcharge),2))</f>
        <v>113.06</v>
      </c>
      <c r="C45" s="231">
        <f>IF('Intl Priority'!$C$105&gt;ROUND(((1-IntPriorityDiscount-IntPriorityIncentive)*'Intl Priority'!C42),2),ROUND('Intl Priority'!$C$105*(1+International_Fuel_Surcharge),2),ROUND(((1-IntPriorityDiscount-IntPriorityIncentive)*'Intl Priority'!C42)*(1+International_Fuel_Surcharge),2))</f>
        <v>126.85</v>
      </c>
      <c r="D45" s="231">
        <f>IF('Intl Priority'!$D$105&gt;ROUND(((1-IntPriorityDiscount-IntPriorityIncentive)*'Intl Priority'!D42),2),ROUND('Intl Priority'!$D$105*(1+International_Fuel_Surcharge),2),ROUND(((1-IntPriorityDiscount-IntPriorityIncentive)*'Intl Priority'!D42)*(1+International_Fuel_Surcharge),2))</f>
        <v>125.45</v>
      </c>
      <c r="E45" s="231">
        <f>IF('Intl Priority'!$E$105&gt;ROUND(((1-IntPriorityDiscount-IntPriorityIncentive)*'Intl Priority'!E42),2),ROUND('Intl Priority'!$E$105*(1+International_Fuel_Surcharge),2),ROUND(((1-IntPriorityDiscount-IntPriorityIncentive)*'Intl Priority'!E42)*(1+International_Fuel_Surcharge),2))</f>
        <v>179.48</v>
      </c>
      <c r="F45" s="231">
        <f>IF('Intl Priority'!$F$105&gt;ROUND(((1-IntPriorityDiscount-IntPriorityIncentive)*'Intl Priority'!F42),2),ROUND('Intl Priority'!$F$105*(1+International_Fuel_Surcharge),2),ROUND(((1-IntPriorityDiscount-IntPriorityIncentive)*'Intl Priority'!F42)*(1+International_Fuel_Surcharge),2))</f>
        <v>306.06</v>
      </c>
      <c r="G45" s="231">
        <f>IF('Intl Priority'!$G$105&gt;ROUND(((1-IntPriorityDiscount-IntPriorityIncentive)*'Intl Priority'!G42),2),ROUND('Intl Priority'!$G$105*(1+International_Fuel_Surcharge),2),ROUND(((1-IntPriorityDiscount-IntPriorityIncentive)*'Intl Priority'!G42)*(1+International_Fuel_Surcharge),2))</f>
        <v>178.6</v>
      </c>
      <c r="H45" s="231">
        <f>IF('Intl Priority'!$H$105&gt;ROUND(((1-IntPriorityDiscount-IntPriorityIncentive)*'Intl Priority'!H42),2),ROUND('Intl Priority'!$H$105*(1+International_Fuel_Surcharge),2),ROUND(((1-IntPriorityDiscount-IntPriorityIncentive)*'Intl Priority'!H42)*(1+International_Fuel_Surcharge),2))</f>
        <v>180.48</v>
      </c>
      <c r="I45" s="231">
        <f>IF('Intl Priority'!$I$105&gt;ROUND(((1-IntPriorityDiscount-IntPriorityIncentive)*'Intl Priority'!I42),2),ROUND('Intl Priority'!$I$105*(1+International_Fuel_Surcharge),2),ROUND(((1-IntPriorityDiscount-IntPriorityIncentive)*'Intl Priority'!I42)*(1+International_Fuel_Surcharge),2))</f>
        <v>190.2</v>
      </c>
      <c r="J45" s="231">
        <f>IF('Intl Priority'!$J$105&gt;ROUND(((1-IntPriorityDiscount-IntPriorityIncentive)*'Intl Priority'!J42),2),ROUND('Intl Priority'!$J$105*(1+International_Fuel_Surcharge),2),ROUND(((1-IntPriorityDiscount-IntPriorityIncentive)*'Intl Priority'!J42)*(1+International_Fuel_Surcharge),2))</f>
        <v>133.34</v>
      </c>
      <c r="K45" s="231">
        <f>IF('Intl Priority'!$K$105&gt;ROUND(((1-IntPriorityDiscount-IntPriorityIncentive)*'Intl Priority'!K42),2),ROUND('Intl Priority'!$K$105*(1+International_Fuel_Surcharge),2),ROUND(((1-IntPriorityDiscount-IntPriorityIncentive)*'Intl Priority'!K42)*(1+International_Fuel_Surcharge),2))</f>
        <v>269.45999999999998</v>
      </c>
      <c r="L45" s="231">
        <f>IF('Intl Priority'!$L$105&gt;ROUND(((1-IntPriorityDiscount-IntPriorityIncentive)*'Intl Priority'!L42),2),ROUND('Intl Priority'!$L$105*(1+International_Fuel_Surcharge),2),ROUND(((1-IntPriorityDiscount-IntPriorityIncentive)*'Intl Priority'!L42)*(1+International_Fuel_Surcharge),2))</f>
        <v>211.75</v>
      </c>
      <c r="M45" s="231">
        <f>IF('Intl Priority'!$M$105&gt;ROUND(((1-IntPriorityDiscount-IntPriorityIncentive)*'Intl Priority'!M42),2),ROUND('Intl Priority'!$M$105*(1+International_Fuel_Surcharge),2),ROUND(((1-IntPriorityDiscount-IntPriorityIncentive)*'Intl Priority'!M42)*(1+International_Fuel_Surcharge),2))</f>
        <v>331.76</v>
      </c>
      <c r="N45" s="231">
        <f>IF('Intl Priority'!$N$105&gt;ROUND(((1-IntPriorityDiscount-IntPriorityIncentive)*'Intl Priority'!N42),2),ROUND('Intl Priority'!$N$105*(1+International_Fuel_Surcharge),2),ROUND(((1-IntPriorityDiscount-IntPriorityIncentive)*'Intl Priority'!N42)*(1+International_Fuel_Surcharge),2))</f>
        <v>312.95999999999998</v>
      </c>
      <c r="O45" s="231">
        <f>IF('Intl Priority'!$O$105&gt;ROUND(((1-IntPriorityDiscount-IntPriorityIncentive)*'Intl Priority'!O42),2),ROUND('Intl Priority'!$O$105*(1+International_Fuel_Surcharge),2),ROUND(((1-IntPriorityDiscount-IntPriorityIncentive)*'Intl Priority'!O42)*(1+International_Fuel_Surcharge),2))</f>
        <v>230.46</v>
      </c>
      <c r="P45" s="231">
        <f>IF('Intl Priority'!$P$105&gt;ROUND(((1-IntPriorityDiscount-IntPriorityIncentive)*'Intl Priority'!P42),2),ROUND('Intl Priority'!$P$105*(1+International_Fuel_Surcharge),2),ROUND(((1-IntPriorityDiscount-IntPriorityIncentive)*'Intl Priority'!P42)*(1+International_Fuel_Surcharge),2))</f>
        <v>235.96</v>
      </c>
      <c r="Q45" s="231">
        <f>IF('Intl Priority'!$Q$105&gt;ROUND(((1-PuertoRicoDiscount)*'Intl Priority'!Q42),2),ROUND('Intl Priority'!$Q$105*(1+International_Fuel_Surcharge),2),ROUND(((1-PuertoRicoDiscount)*'Intl Priority'!Q42)*(1+International_Fuel_Surcharge),2))</f>
        <v>296.27999999999997</v>
      </c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2.75" customHeight="1">
      <c r="A46" s="217">
        <v>41</v>
      </c>
      <c r="B46" s="231">
        <f>IF('Intl Priority'!$B$105&gt;ROUND(((1-IntPriorityDiscount-IntPriorityIncentive)*'Intl Priority'!B43),2),ROUND('Intl Priority'!$B$105*(1+International_Fuel_Surcharge),2),ROUND(((1-IntPriorityDiscount-IntPriorityIncentive)*'Intl Priority'!B43)*(1+International_Fuel_Surcharge),2))</f>
        <v>115.06</v>
      </c>
      <c r="C46" s="231">
        <f>IF('Intl Priority'!$C$105&gt;ROUND(((1-IntPriorityDiscount-IntPriorityIncentive)*'Intl Priority'!C43),2),ROUND('Intl Priority'!$C$105*(1+International_Fuel_Surcharge),2),ROUND(((1-IntPriorityDiscount-IntPriorityIncentive)*'Intl Priority'!C43)*(1+International_Fuel_Surcharge),2))</f>
        <v>128.52000000000001</v>
      </c>
      <c r="D46" s="231">
        <f>IF('Intl Priority'!$D$105&gt;ROUND(((1-IntPriorityDiscount-IntPriorityIncentive)*'Intl Priority'!D43),2),ROUND('Intl Priority'!$D$105*(1+International_Fuel_Surcharge),2),ROUND(((1-IntPriorityDiscount-IntPriorityIncentive)*'Intl Priority'!D43)*(1+International_Fuel_Surcharge),2))</f>
        <v>126.72</v>
      </c>
      <c r="E46" s="231">
        <f>IF('Intl Priority'!$E$105&gt;ROUND(((1-IntPriorityDiscount-IntPriorityIncentive)*'Intl Priority'!E43),2),ROUND('Intl Priority'!$E$105*(1+International_Fuel_Surcharge),2),ROUND(((1-IntPriorityDiscount-IntPriorityIncentive)*'Intl Priority'!E43)*(1+International_Fuel_Surcharge),2))</f>
        <v>182.58</v>
      </c>
      <c r="F46" s="231">
        <f>IF('Intl Priority'!$F$105&gt;ROUND(((1-IntPriorityDiscount-IntPriorityIncentive)*'Intl Priority'!F43),2),ROUND('Intl Priority'!$F$105*(1+International_Fuel_Surcharge),2),ROUND(((1-IntPriorityDiscount-IntPriorityIncentive)*'Intl Priority'!F43)*(1+International_Fuel_Surcharge),2))</f>
        <v>306.16000000000003</v>
      </c>
      <c r="G46" s="231">
        <f>IF('Intl Priority'!$G$105&gt;ROUND(((1-IntPriorityDiscount-IntPriorityIncentive)*'Intl Priority'!G43),2),ROUND('Intl Priority'!$G$105*(1+International_Fuel_Surcharge),2),ROUND(((1-IntPriorityDiscount-IntPriorityIncentive)*'Intl Priority'!G43)*(1+International_Fuel_Surcharge),2))</f>
        <v>184.04</v>
      </c>
      <c r="H46" s="231">
        <f>IF('Intl Priority'!$H$105&gt;ROUND(((1-IntPriorityDiscount-IntPriorityIncentive)*'Intl Priority'!H43),2),ROUND('Intl Priority'!$H$105*(1+International_Fuel_Surcharge),2),ROUND(((1-IntPriorityDiscount-IntPriorityIncentive)*'Intl Priority'!H43)*(1+International_Fuel_Surcharge),2))</f>
        <v>180.89</v>
      </c>
      <c r="I46" s="231">
        <f>IF('Intl Priority'!$I$105&gt;ROUND(((1-IntPriorityDiscount-IntPriorityIncentive)*'Intl Priority'!I43),2),ROUND('Intl Priority'!$I$105*(1+International_Fuel_Surcharge),2),ROUND(((1-IntPriorityDiscount-IntPriorityIncentive)*'Intl Priority'!I43)*(1+International_Fuel_Surcharge),2))</f>
        <v>193.93</v>
      </c>
      <c r="J46" s="231">
        <f>IF('Intl Priority'!$J$105&gt;ROUND(((1-IntPriorityDiscount-IntPriorityIncentive)*'Intl Priority'!J43),2),ROUND('Intl Priority'!$J$105*(1+International_Fuel_Surcharge),2),ROUND(((1-IntPriorityDiscount-IntPriorityIncentive)*'Intl Priority'!J43)*(1+International_Fuel_Surcharge),2))</f>
        <v>133.61000000000001</v>
      </c>
      <c r="K46" s="231">
        <f>IF('Intl Priority'!$K$105&gt;ROUND(((1-IntPriorityDiscount-IntPriorityIncentive)*'Intl Priority'!K43),2),ROUND('Intl Priority'!$K$105*(1+International_Fuel_Surcharge),2),ROUND(((1-IntPriorityDiscount-IntPriorityIncentive)*'Intl Priority'!K43)*(1+International_Fuel_Surcharge),2))</f>
        <v>274.67</v>
      </c>
      <c r="L46" s="231">
        <f>IF('Intl Priority'!$L$105&gt;ROUND(((1-IntPriorityDiscount-IntPriorityIncentive)*'Intl Priority'!L43),2),ROUND('Intl Priority'!$L$105*(1+International_Fuel_Surcharge),2),ROUND(((1-IntPriorityDiscount-IntPriorityIncentive)*'Intl Priority'!L43)*(1+International_Fuel_Surcharge),2))</f>
        <v>216</v>
      </c>
      <c r="M46" s="231">
        <f>IF('Intl Priority'!$M$105&gt;ROUND(((1-IntPriorityDiscount-IntPriorityIncentive)*'Intl Priority'!M43),2),ROUND('Intl Priority'!$M$105*(1+International_Fuel_Surcharge),2),ROUND(((1-IntPriorityDiscount-IntPriorityIncentive)*'Intl Priority'!M43)*(1+International_Fuel_Surcharge),2))</f>
        <v>332.11</v>
      </c>
      <c r="N46" s="231">
        <f>IF('Intl Priority'!$N$105&gt;ROUND(((1-IntPriorityDiscount-IntPriorityIncentive)*'Intl Priority'!N43),2),ROUND('Intl Priority'!$N$105*(1+International_Fuel_Surcharge),2),ROUND(((1-IntPriorityDiscount-IntPriorityIncentive)*'Intl Priority'!N43)*(1+International_Fuel_Surcharge),2))</f>
        <v>320.05</v>
      </c>
      <c r="O46" s="231">
        <f>IF('Intl Priority'!$O$105&gt;ROUND(((1-IntPriorityDiscount-IntPriorityIncentive)*'Intl Priority'!O43),2),ROUND('Intl Priority'!$O$105*(1+International_Fuel_Surcharge),2),ROUND(((1-IntPriorityDiscount-IntPriorityIncentive)*'Intl Priority'!O43)*(1+International_Fuel_Surcharge),2))</f>
        <v>231.09</v>
      </c>
      <c r="P46" s="231">
        <f>IF('Intl Priority'!$P$105&gt;ROUND(((1-IntPriorityDiscount-IntPriorityIncentive)*'Intl Priority'!P43),2),ROUND('Intl Priority'!$P$105*(1+International_Fuel_Surcharge),2),ROUND(((1-IntPriorityDiscount-IntPriorityIncentive)*'Intl Priority'!P43)*(1+International_Fuel_Surcharge),2))</f>
        <v>248.65</v>
      </c>
      <c r="Q46" s="231">
        <f>IF('Intl Priority'!$Q$105&gt;ROUND(((1-PuertoRicoDiscount)*'Intl Priority'!Q43),2),ROUND('Intl Priority'!$Q$105*(1+International_Fuel_Surcharge),2),ROUND(((1-PuertoRicoDiscount)*'Intl Priority'!Q43)*(1+International_Fuel_Surcharge),2))</f>
        <v>302.08999999999997</v>
      </c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2.75" customHeight="1">
      <c r="A47" s="217">
        <v>42</v>
      </c>
      <c r="B47" s="231">
        <f>IF('Intl Priority'!$B$105&gt;ROUND(((1-IntPriorityDiscount-IntPriorityIncentive)*'Intl Priority'!B44),2),ROUND('Intl Priority'!$B$105*(1+International_Fuel_Surcharge),2),ROUND(((1-IntPriorityDiscount-IntPriorityIncentive)*'Intl Priority'!B44)*(1+International_Fuel_Surcharge),2))</f>
        <v>116.88</v>
      </c>
      <c r="C47" s="231">
        <f>IF('Intl Priority'!$C$105&gt;ROUND(((1-IntPriorityDiscount-IntPriorityIncentive)*'Intl Priority'!C44),2),ROUND('Intl Priority'!$C$105*(1+International_Fuel_Surcharge),2),ROUND(((1-IntPriorityDiscount-IntPriorityIncentive)*'Intl Priority'!C44)*(1+International_Fuel_Surcharge),2))</f>
        <v>130.54</v>
      </c>
      <c r="D47" s="231">
        <f>IF('Intl Priority'!$D$105&gt;ROUND(((1-IntPriorityDiscount-IntPriorityIncentive)*'Intl Priority'!D44),2),ROUND('Intl Priority'!$D$105*(1+International_Fuel_Surcharge),2),ROUND(((1-IntPriorityDiscount-IntPriorityIncentive)*'Intl Priority'!D44)*(1+International_Fuel_Surcharge),2))</f>
        <v>132.16999999999999</v>
      </c>
      <c r="E47" s="231">
        <f>IF('Intl Priority'!$E$105&gt;ROUND(((1-IntPriorityDiscount-IntPriorityIncentive)*'Intl Priority'!E44),2),ROUND('Intl Priority'!$E$105*(1+International_Fuel_Surcharge),2),ROUND(((1-IntPriorityDiscount-IntPriorityIncentive)*'Intl Priority'!E44)*(1+International_Fuel_Surcharge),2))</f>
        <v>184.9</v>
      </c>
      <c r="F47" s="231">
        <f>IF('Intl Priority'!$F$105&gt;ROUND(((1-IntPriorityDiscount-IntPriorityIncentive)*'Intl Priority'!F44),2),ROUND('Intl Priority'!$F$105*(1+International_Fuel_Surcharge),2),ROUND(((1-IntPriorityDiscount-IntPriorityIncentive)*'Intl Priority'!F44)*(1+International_Fuel_Surcharge),2))</f>
        <v>307.2</v>
      </c>
      <c r="G47" s="231">
        <f>IF('Intl Priority'!$G$105&gt;ROUND(((1-IntPriorityDiscount-IntPriorityIncentive)*'Intl Priority'!G44),2),ROUND('Intl Priority'!$G$105*(1+International_Fuel_Surcharge),2),ROUND(((1-IntPriorityDiscount-IntPriorityIncentive)*'Intl Priority'!G44)*(1+International_Fuel_Surcharge),2))</f>
        <v>186.94</v>
      </c>
      <c r="H47" s="231">
        <f>IF('Intl Priority'!$H$105&gt;ROUND(((1-IntPriorityDiscount-IntPriorityIncentive)*'Intl Priority'!H44),2),ROUND('Intl Priority'!$H$105*(1+International_Fuel_Surcharge),2),ROUND(((1-IntPriorityDiscount-IntPriorityIncentive)*'Intl Priority'!H44)*(1+International_Fuel_Surcharge),2))</f>
        <v>188.93</v>
      </c>
      <c r="I47" s="231">
        <f>IF('Intl Priority'!$I$105&gt;ROUND(((1-IntPriorityDiscount-IntPriorityIncentive)*'Intl Priority'!I44),2),ROUND('Intl Priority'!$I$105*(1+International_Fuel_Surcharge),2),ROUND(((1-IntPriorityDiscount-IntPriorityIncentive)*'Intl Priority'!I44)*(1+International_Fuel_Surcharge),2))</f>
        <v>194.4</v>
      </c>
      <c r="J47" s="231">
        <f>IF('Intl Priority'!$J$105&gt;ROUND(((1-IntPriorityDiscount-IntPriorityIncentive)*'Intl Priority'!J44),2),ROUND('Intl Priority'!$J$105*(1+International_Fuel_Surcharge),2),ROUND(((1-IntPriorityDiscount-IntPriorityIncentive)*'Intl Priority'!J44)*(1+International_Fuel_Surcharge),2))</f>
        <v>134.08000000000001</v>
      </c>
      <c r="K47" s="231">
        <f>IF('Intl Priority'!$K$105&gt;ROUND(((1-IntPriorityDiscount-IntPriorityIncentive)*'Intl Priority'!K44),2),ROUND('Intl Priority'!$K$105*(1+International_Fuel_Surcharge),2),ROUND(((1-IntPriorityDiscount-IntPriorityIncentive)*'Intl Priority'!K44)*(1+International_Fuel_Surcharge),2))</f>
        <v>279.89999999999998</v>
      </c>
      <c r="L47" s="231">
        <f>IF('Intl Priority'!$L$105&gt;ROUND(((1-IntPriorityDiscount-IntPriorityIncentive)*'Intl Priority'!L44),2),ROUND('Intl Priority'!$L$105*(1+International_Fuel_Surcharge),2),ROUND(((1-IntPriorityDiscount-IntPriorityIncentive)*'Intl Priority'!L44)*(1+International_Fuel_Surcharge),2))</f>
        <v>222.99</v>
      </c>
      <c r="M47" s="231">
        <f>IF('Intl Priority'!$M$105&gt;ROUND(((1-IntPriorityDiscount-IntPriorityIncentive)*'Intl Priority'!M44),2),ROUND('Intl Priority'!$M$105*(1+International_Fuel_Surcharge),2),ROUND(((1-IntPriorityDiscount-IntPriorityIncentive)*'Intl Priority'!M44)*(1+International_Fuel_Surcharge),2))</f>
        <v>338.91</v>
      </c>
      <c r="N47" s="231">
        <f>IF('Intl Priority'!$N$105&gt;ROUND(((1-IntPriorityDiscount-IntPriorityIncentive)*'Intl Priority'!N44),2),ROUND('Intl Priority'!$N$105*(1+International_Fuel_Surcharge),2),ROUND(((1-IntPriorityDiscount-IntPriorityIncentive)*'Intl Priority'!N44)*(1+International_Fuel_Surcharge),2))</f>
        <v>323.26</v>
      </c>
      <c r="O47" s="231">
        <f>IF('Intl Priority'!$O$105&gt;ROUND(((1-IntPriorityDiscount-IntPriorityIncentive)*'Intl Priority'!O44),2),ROUND('Intl Priority'!$O$105*(1+International_Fuel_Surcharge),2),ROUND(((1-IntPriorityDiscount-IntPriorityIncentive)*'Intl Priority'!O44)*(1+International_Fuel_Surcharge),2))</f>
        <v>238.1</v>
      </c>
      <c r="P47" s="231">
        <f>IF('Intl Priority'!$P$105&gt;ROUND(((1-IntPriorityDiscount-IntPriorityIncentive)*'Intl Priority'!P44),2),ROUND('Intl Priority'!$P$105*(1+International_Fuel_Surcharge),2),ROUND(((1-IntPriorityDiscount-IntPriorityIncentive)*'Intl Priority'!P44)*(1+International_Fuel_Surcharge),2))</f>
        <v>254.03</v>
      </c>
      <c r="Q47" s="231">
        <f>IF('Intl Priority'!$Q$105&gt;ROUND(((1-PuertoRicoDiscount)*'Intl Priority'!Q44),2),ROUND('Intl Priority'!$Q$105*(1+International_Fuel_Surcharge),2),ROUND(((1-PuertoRicoDiscount)*'Intl Priority'!Q44)*(1+International_Fuel_Surcharge),2))</f>
        <v>308.26</v>
      </c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2.75" customHeight="1">
      <c r="A48" s="217">
        <v>43</v>
      </c>
      <c r="B48" s="231">
        <f>IF('Intl Priority'!$B$105&gt;ROUND(((1-IntPriorityDiscount-IntPriorityIncentive)*'Intl Priority'!B45),2),ROUND('Intl Priority'!$B$105*(1+International_Fuel_Surcharge),2),ROUND(((1-IntPriorityDiscount-IntPriorityIncentive)*'Intl Priority'!B45)*(1+International_Fuel_Surcharge),2))</f>
        <v>117.07</v>
      </c>
      <c r="C48" s="231">
        <f>IF('Intl Priority'!$C$105&gt;ROUND(((1-IntPriorityDiscount-IntPriorityIncentive)*'Intl Priority'!C45),2),ROUND('Intl Priority'!$C$105*(1+International_Fuel_Surcharge),2),ROUND(((1-IntPriorityDiscount-IntPriorityIncentive)*'Intl Priority'!C45)*(1+International_Fuel_Surcharge),2))</f>
        <v>133.30000000000001</v>
      </c>
      <c r="D48" s="231">
        <f>IF('Intl Priority'!$D$105&gt;ROUND(((1-IntPriorityDiscount-IntPriorityIncentive)*'Intl Priority'!D45),2),ROUND('Intl Priority'!$D$105*(1+International_Fuel_Surcharge),2),ROUND(((1-IntPriorityDiscount-IntPriorityIncentive)*'Intl Priority'!D45)*(1+International_Fuel_Surcharge),2))</f>
        <v>136.65</v>
      </c>
      <c r="E48" s="231">
        <f>IF('Intl Priority'!$E$105&gt;ROUND(((1-IntPriorityDiscount-IntPriorityIncentive)*'Intl Priority'!E45),2),ROUND('Intl Priority'!$E$105*(1+International_Fuel_Surcharge),2),ROUND(((1-IntPriorityDiscount-IntPriorityIncentive)*'Intl Priority'!E45)*(1+International_Fuel_Surcharge),2))</f>
        <v>188.61</v>
      </c>
      <c r="F48" s="231">
        <f>IF('Intl Priority'!$F$105&gt;ROUND(((1-IntPriorityDiscount-IntPriorityIncentive)*'Intl Priority'!F45),2),ROUND('Intl Priority'!$F$105*(1+International_Fuel_Surcharge),2),ROUND(((1-IntPriorityDiscount-IntPriorityIncentive)*'Intl Priority'!F45)*(1+International_Fuel_Surcharge),2))</f>
        <v>319.22000000000003</v>
      </c>
      <c r="G48" s="231">
        <f>IF('Intl Priority'!$G$105&gt;ROUND(((1-IntPriorityDiscount-IntPriorityIncentive)*'Intl Priority'!G45),2),ROUND('Intl Priority'!$G$105*(1+International_Fuel_Surcharge),2),ROUND(((1-IntPriorityDiscount-IntPriorityIncentive)*'Intl Priority'!G45)*(1+International_Fuel_Surcharge),2))</f>
        <v>190</v>
      </c>
      <c r="H48" s="231">
        <f>IF('Intl Priority'!$H$105&gt;ROUND(((1-IntPriorityDiscount-IntPriorityIncentive)*'Intl Priority'!H45),2),ROUND('Intl Priority'!$H$105*(1+International_Fuel_Surcharge),2),ROUND(((1-IntPriorityDiscount-IntPriorityIncentive)*'Intl Priority'!H45)*(1+International_Fuel_Surcharge),2))</f>
        <v>189.73</v>
      </c>
      <c r="I48" s="231">
        <f>IF('Intl Priority'!$I$105&gt;ROUND(((1-IntPriorityDiscount-IntPriorityIncentive)*'Intl Priority'!I45),2),ROUND('Intl Priority'!$I$105*(1+International_Fuel_Surcharge),2),ROUND(((1-IntPriorityDiscount-IntPriorityIncentive)*'Intl Priority'!I45)*(1+International_Fuel_Surcharge),2))</f>
        <v>203.83</v>
      </c>
      <c r="J48" s="231">
        <f>IF('Intl Priority'!$J$105&gt;ROUND(((1-IntPriorityDiscount-IntPriorityIncentive)*'Intl Priority'!J45),2),ROUND('Intl Priority'!$J$105*(1+International_Fuel_Surcharge),2),ROUND(((1-IntPriorityDiscount-IntPriorityIncentive)*'Intl Priority'!J45)*(1+International_Fuel_Surcharge),2))</f>
        <v>143.46</v>
      </c>
      <c r="K48" s="231">
        <f>IF('Intl Priority'!$K$105&gt;ROUND(((1-IntPriorityDiscount-IntPriorityIncentive)*'Intl Priority'!K45),2),ROUND('Intl Priority'!$K$105*(1+International_Fuel_Surcharge),2),ROUND(((1-IntPriorityDiscount-IntPriorityIncentive)*'Intl Priority'!K45)*(1+International_Fuel_Surcharge),2))</f>
        <v>285.13</v>
      </c>
      <c r="L48" s="231">
        <f>IF('Intl Priority'!$L$105&gt;ROUND(((1-IntPriorityDiscount-IntPriorityIncentive)*'Intl Priority'!L45),2),ROUND('Intl Priority'!$L$105*(1+International_Fuel_Surcharge),2),ROUND(((1-IntPriorityDiscount-IntPriorityIncentive)*'Intl Priority'!L45)*(1+International_Fuel_Surcharge),2))</f>
        <v>236.56</v>
      </c>
      <c r="M48" s="231">
        <f>IF('Intl Priority'!$M$105&gt;ROUND(((1-IntPriorityDiscount-IntPriorityIncentive)*'Intl Priority'!M45),2),ROUND('Intl Priority'!$M$105*(1+International_Fuel_Surcharge),2),ROUND(((1-IntPriorityDiscount-IntPriorityIncentive)*'Intl Priority'!M45)*(1+International_Fuel_Surcharge),2))</f>
        <v>339.6</v>
      </c>
      <c r="N48" s="231">
        <f>IF('Intl Priority'!$N$105&gt;ROUND(((1-IntPriorityDiscount-IntPriorityIncentive)*'Intl Priority'!N45),2),ROUND('Intl Priority'!$N$105*(1+International_Fuel_Surcharge),2),ROUND(((1-IntPriorityDiscount-IntPriorityIncentive)*'Intl Priority'!N45)*(1+International_Fuel_Surcharge),2))</f>
        <v>350.73</v>
      </c>
      <c r="O48" s="231">
        <f>IF('Intl Priority'!$O$105&gt;ROUND(((1-IntPriorityDiscount-IntPriorityIncentive)*'Intl Priority'!O45),2),ROUND('Intl Priority'!$O$105*(1+International_Fuel_Surcharge),2),ROUND(((1-IntPriorityDiscount-IntPriorityIncentive)*'Intl Priority'!O45)*(1+International_Fuel_Surcharge),2))</f>
        <v>238.8</v>
      </c>
      <c r="P48" s="231">
        <f>IF('Intl Priority'!$P$105&gt;ROUND(((1-IntPriorityDiscount-IntPriorityIncentive)*'Intl Priority'!P45),2),ROUND('Intl Priority'!$P$105*(1+International_Fuel_Surcharge),2),ROUND(((1-IntPriorityDiscount-IntPriorityIncentive)*'Intl Priority'!P45)*(1+International_Fuel_Surcharge),2))</f>
        <v>257.60000000000002</v>
      </c>
      <c r="Q48" s="231">
        <f>IF('Intl Priority'!$Q$105&gt;ROUND(((1-PuertoRicoDiscount)*'Intl Priority'!Q45),2),ROUND('Intl Priority'!$Q$105*(1+International_Fuel_Surcharge),2),ROUND(((1-PuertoRicoDiscount)*'Intl Priority'!Q45)*(1+International_Fuel_Surcharge),2))</f>
        <v>314.5</v>
      </c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2.75" customHeight="1">
      <c r="A49" s="217">
        <v>44</v>
      </c>
      <c r="B49" s="231">
        <f>IF('Intl Priority'!$B$105&gt;ROUND(((1-IntPriorityDiscount-IntPriorityIncentive)*'Intl Priority'!B46),2),ROUND('Intl Priority'!$B$105*(1+International_Fuel_Surcharge),2),ROUND(((1-IntPriorityDiscount-IntPriorityIncentive)*'Intl Priority'!B46)*(1+International_Fuel_Surcharge),2))</f>
        <v>120.13</v>
      </c>
      <c r="C49" s="231">
        <f>IF('Intl Priority'!$C$105&gt;ROUND(((1-IntPriorityDiscount-IntPriorityIncentive)*'Intl Priority'!C46),2),ROUND('Intl Priority'!$C$105*(1+International_Fuel_Surcharge),2),ROUND(((1-IntPriorityDiscount-IntPriorityIncentive)*'Intl Priority'!C46)*(1+International_Fuel_Surcharge),2))</f>
        <v>135.34</v>
      </c>
      <c r="D49" s="231">
        <f>IF('Intl Priority'!$D$105&gt;ROUND(((1-IntPriorityDiscount-IntPriorityIncentive)*'Intl Priority'!D46),2),ROUND('Intl Priority'!$D$105*(1+International_Fuel_Surcharge),2),ROUND(((1-IntPriorityDiscount-IntPriorityIncentive)*'Intl Priority'!D46)*(1+International_Fuel_Surcharge),2))</f>
        <v>137.1</v>
      </c>
      <c r="E49" s="231">
        <f>IF('Intl Priority'!$E$105&gt;ROUND(((1-IntPriorityDiscount-IntPriorityIncentive)*'Intl Priority'!E46),2),ROUND('Intl Priority'!$E$105*(1+International_Fuel_Surcharge),2),ROUND(((1-IntPriorityDiscount-IntPriorityIncentive)*'Intl Priority'!E46)*(1+International_Fuel_Surcharge),2))</f>
        <v>196.37</v>
      </c>
      <c r="F49" s="231">
        <f>IF('Intl Priority'!$F$105&gt;ROUND(((1-IntPriorityDiscount-IntPriorityIncentive)*'Intl Priority'!F46),2),ROUND('Intl Priority'!$F$105*(1+International_Fuel_Surcharge),2),ROUND(((1-IntPriorityDiscount-IntPriorityIncentive)*'Intl Priority'!F46)*(1+International_Fuel_Surcharge),2))</f>
        <v>329.33</v>
      </c>
      <c r="G49" s="231">
        <f>IF('Intl Priority'!$G$105&gt;ROUND(((1-IntPriorityDiscount-IntPriorityIncentive)*'Intl Priority'!G46),2),ROUND('Intl Priority'!$G$105*(1+International_Fuel_Surcharge),2),ROUND(((1-IntPriorityDiscount-IntPriorityIncentive)*'Intl Priority'!G46)*(1+International_Fuel_Surcharge),2))</f>
        <v>192.89</v>
      </c>
      <c r="H49" s="231">
        <f>IF('Intl Priority'!$H$105&gt;ROUND(((1-IntPriorityDiscount-IntPriorityIncentive)*'Intl Priority'!H46),2),ROUND('Intl Priority'!$H$105*(1+International_Fuel_Surcharge),2),ROUND(((1-IntPriorityDiscount-IntPriorityIncentive)*'Intl Priority'!H46)*(1+International_Fuel_Surcharge),2))</f>
        <v>194.93</v>
      </c>
      <c r="I49" s="231">
        <f>IF('Intl Priority'!$I$105&gt;ROUND(((1-IntPriorityDiscount-IntPriorityIncentive)*'Intl Priority'!I46),2),ROUND('Intl Priority'!$I$105*(1+International_Fuel_Surcharge),2),ROUND(((1-IntPriorityDiscount-IntPriorityIncentive)*'Intl Priority'!I46)*(1+International_Fuel_Surcharge),2))</f>
        <v>208.11</v>
      </c>
      <c r="J49" s="231">
        <f>IF('Intl Priority'!$J$105&gt;ROUND(((1-IntPriorityDiscount-IntPriorityIncentive)*'Intl Priority'!J46),2),ROUND('Intl Priority'!$J$105*(1+International_Fuel_Surcharge),2),ROUND(((1-IntPriorityDiscount-IntPriorityIncentive)*'Intl Priority'!J46)*(1+International_Fuel_Surcharge),2))</f>
        <v>146.16999999999999</v>
      </c>
      <c r="K49" s="231">
        <f>IF('Intl Priority'!$K$105&gt;ROUND(((1-IntPriorityDiscount-IntPriorityIncentive)*'Intl Priority'!K46),2),ROUND('Intl Priority'!$K$105*(1+International_Fuel_Surcharge),2),ROUND(((1-IntPriorityDiscount-IntPriorityIncentive)*'Intl Priority'!K46)*(1+International_Fuel_Surcharge),2))</f>
        <v>290.35000000000002</v>
      </c>
      <c r="L49" s="231">
        <f>IF('Intl Priority'!$L$105&gt;ROUND(((1-IntPriorityDiscount-IntPriorityIncentive)*'Intl Priority'!L46),2),ROUND('Intl Priority'!$L$105*(1+International_Fuel_Surcharge),2),ROUND(((1-IntPriorityDiscount-IntPriorityIncentive)*'Intl Priority'!L46)*(1+International_Fuel_Surcharge),2))</f>
        <v>246.97</v>
      </c>
      <c r="M49" s="231">
        <f>IF('Intl Priority'!$M$105&gt;ROUND(((1-IntPriorityDiscount-IntPriorityIncentive)*'Intl Priority'!M46),2),ROUND('Intl Priority'!$M$105*(1+International_Fuel_Surcharge),2),ROUND(((1-IntPriorityDiscount-IntPriorityIncentive)*'Intl Priority'!M46)*(1+International_Fuel_Surcharge),2))</f>
        <v>339.84</v>
      </c>
      <c r="N49" s="231">
        <f>IF('Intl Priority'!$N$105&gt;ROUND(((1-IntPriorityDiscount-IntPriorityIncentive)*'Intl Priority'!N46),2),ROUND('Intl Priority'!$N$105*(1+International_Fuel_Surcharge),2),ROUND(((1-IntPriorityDiscount-IntPriorityIncentive)*'Intl Priority'!N46)*(1+International_Fuel_Surcharge),2))</f>
        <v>353.47</v>
      </c>
      <c r="O49" s="231">
        <f>IF('Intl Priority'!$O$105&gt;ROUND(((1-IntPriorityDiscount-IntPriorityIncentive)*'Intl Priority'!O46),2),ROUND('Intl Priority'!$O$105*(1+International_Fuel_Surcharge),2),ROUND(((1-IntPriorityDiscount-IntPriorityIncentive)*'Intl Priority'!O46)*(1+International_Fuel_Surcharge),2))</f>
        <v>252.8</v>
      </c>
      <c r="P49" s="231">
        <f>IF('Intl Priority'!$P$105&gt;ROUND(((1-IntPriorityDiscount-IntPriorityIncentive)*'Intl Priority'!P46),2),ROUND('Intl Priority'!$P$105*(1+International_Fuel_Surcharge),2),ROUND(((1-IntPriorityDiscount-IntPriorityIncentive)*'Intl Priority'!P46)*(1+International_Fuel_Surcharge),2))</f>
        <v>258.62</v>
      </c>
      <c r="Q49" s="231">
        <f>IF('Intl Priority'!$Q$105&gt;ROUND(((1-PuertoRicoDiscount)*'Intl Priority'!Q46),2),ROUND('Intl Priority'!$Q$105*(1+International_Fuel_Surcharge),2),ROUND(((1-PuertoRicoDiscount)*'Intl Priority'!Q46)*(1+International_Fuel_Surcharge),2))</f>
        <v>321.27999999999997</v>
      </c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2.75" customHeight="1">
      <c r="A50" s="217">
        <v>45</v>
      </c>
      <c r="B50" s="231">
        <f>IF('Intl Priority'!$B$105&gt;ROUND(((1-IntPriorityDiscount-IntPriorityIncentive)*'Intl Priority'!B47),2),ROUND('Intl Priority'!$B$105*(1+International_Fuel_Surcharge),2),ROUND(((1-IntPriorityDiscount-IntPriorityIncentive)*'Intl Priority'!B47)*(1+International_Fuel_Surcharge),2))</f>
        <v>120.44</v>
      </c>
      <c r="C50" s="231">
        <f>IF('Intl Priority'!$C$105&gt;ROUND(((1-IntPriorityDiscount-IntPriorityIncentive)*'Intl Priority'!C47),2),ROUND('Intl Priority'!$C$105*(1+International_Fuel_Surcharge),2),ROUND(((1-IntPriorityDiscount-IntPriorityIncentive)*'Intl Priority'!C47)*(1+International_Fuel_Surcharge),2))</f>
        <v>136.99</v>
      </c>
      <c r="D50" s="231">
        <f>IF('Intl Priority'!$D$105&gt;ROUND(((1-IntPriorityDiscount-IntPriorityIncentive)*'Intl Priority'!D47),2),ROUND('Intl Priority'!$D$105*(1+International_Fuel_Surcharge),2),ROUND(((1-IntPriorityDiscount-IntPriorityIncentive)*'Intl Priority'!D47)*(1+International_Fuel_Surcharge),2))</f>
        <v>137.47</v>
      </c>
      <c r="E50" s="231">
        <f>IF('Intl Priority'!$E$105&gt;ROUND(((1-IntPriorityDiscount-IntPriorityIncentive)*'Intl Priority'!E47),2),ROUND('Intl Priority'!$E$105*(1+International_Fuel_Surcharge),2),ROUND(((1-IntPriorityDiscount-IntPriorityIncentive)*'Intl Priority'!E47)*(1+International_Fuel_Surcharge),2))</f>
        <v>198.47</v>
      </c>
      <c r="F50" s="231">
        <f>IF('Intl Priority'!$F$105&gt;ROUND(((1-IntPriorityDiscount-IntPriorityIncentive)*'Intl Priority'!F47),2),ROUND('Intl Priority'!$F$105*(1+International_Fuel_Surcharge),2),ROUND(((1-IntPriorityDiscount-IntPriorityIncentive)*'Intl Priority'!F47)*(1+International_Fuel_Surcharge),2))</f>
        <v>330.92</v>
      </c>
      <c r="G50" s="231">
        <f>IF('Intl Priority'!$G$105&gt;ROUND(((1-IntPriorityDiscount-IntPriorityIncentive)*'Intl Priority'!G47),2),ROUND('Intl Priority'!$G$105*(1+International_Fuel_Surcharge),2),ROUND(((1-IntPriorityDiscount-IntPriorityIncentive)*'Intl Priority'!G47)*(1+International_Fuel_Surcharge),2))</f>
        <v>195.95</v>
      </c>
      <c r="H50" s="231">
        <f>IF('Intl Priority'!$H$105&gt;ROUND(((1-IntPriorityDiscount-IntPriorityIncentive)*'Intl Priority'!H47),2),ROUND('Intl Priority'!$H$105*(1+International_Fuel_Surcharge),2),ROUND(((1-IntPriorityDiscount-IntPriorityIncentive)*'Intl Priority'!H47)*(1+International_Fuel_Surcharge),2))</f>
        <v>198.03</v>
      </c>
      <c r="I50" s="231">
        <f>IF('Intl Priority'!$I$105&gt;ROUND(((1-IntPriorityDiscount-IntPriorityIncentive)*'Intl Priority'!I47),2),ROUND('Intl Priority'!$I$105*(1+International_Fuel_Surcharge),2),ROUND(((1-IntPriorityDiscount-IntPriorityIncentive)*'Intl Priority'!I47)*(1+International_Fuel_Surcharge),2))</f>
        <v>216.93</v>
      </c>
      <c r="J50" s="231">
        <f>IF('Intl Priority'!$J$105&gt;ROUND(((1-IntPriorityDiscount-IntPriorityIncentive)*'Intl Priority'!J47),2),ROUND('Intl Priority'!$J$105*(1+International_Fuel_Surcharge),2),ROUND(((1-IntPriorityDiscount-IntPriorityIncentive)*'Intl Priority'!J47)*(1+International_Fuel_Surcharge),2))</f>
        <v>146.66999999999999</v>
      </c>
      <c r="K50" s="231">
        <f>IF('Intl Priority'!$K$105&gt;ROUND(((1-IntPriorityDiscount-IntPriorityIncentive)*'Intl Priority'!K47),2),ROUND('Intl Priority'!$K$105*(1+International_Fuel_Surcharge),2),ROUND(((1-IntPriorityDiscount-IntPriorityIncentive)*'Intl Priority'!K47)*(1+International_Fuel_Surcharge),2))</f>
        <v>295.58</v>
      </c>
      <c r="L50" s="231">
        <f>IF('Intl Priority'!$L$105&gt;ROUND(((1-IntPriorityDiscount-IntPriorityIncentive)*'Intl Priority'!L47),2),ROUND('Intl Priority'!$L$105*(1+International_Fuel_Surcharge),2),ROUND(((1-IntPriorityDiscount-IntPriorityIncentive)*'Intl Priority'!L47)*(1+International_Fuel_Surcharge),2))</f>
        <v>251.37</v>
      </c>
      <c r="M50" s="231">
        <f>IF('Intl Priority'!$M$105&gt;ROUND(((1-IntPriorityDiscount-IntPriorityIncentive)*'Intl Priority'!M47),2),ROUND('Intl Priority'!$M$105*(1+International_Fuel_Surcharge),2),ROUND(((1-IntPriorityDiscount-IntPriorityIncentive)*'Intl Priority'!M47)*(1+International_Fuel_Surcharge),2))</f>
        <v>339.91</v>
      </c>
      <c r="N50" s="231">
        <f>IF('Intl Priority'!$N$105&gt;ROUND(((1-IntPriorityDiscount-IntPriorityIncentive)*'Intl Priority'!N47),2),ROUND('Intl Priority'!$N$105*(1+International_Fuel_Surcharge),2),ROUND(((1-IntPriorityDiscount-IntPriorityIncentive)*'Intl Priority'!N47)*(1+International_Fuel_Surcharge),2))</f>
        <v>354.18</v>
      </c>
      <c r="O50" s="231">
        <f>IF('Intl Priority'!$O$105&gt;ROUND(((1-IntPriorityDiscount-IntPriorityIncentive)*'Intl Priority'!O47),2),ROUND('Intl Priority'!$O$105*(1+International_Fuel_Surcharge),2),ROUND(((1-IntPriorityDiscount-IntPriorityIncentive)*'Intl Priority'!O47)*(1+International_Fuel_Surcharge),2))</f>
        <v>255.07</v>
      </c>
      <c r="P50" s="231">
        <f>IF('Intl Priority'!$P$105&gt;ROUND(((1-IntPriorityDiscount-IntPriorityIncentive)*'Intl Priority'!P47),2),ROUND('Intl Priority'!$P$105*(1+International_Fuel_Surcharge),2),ROUND(((1-IntPriorityDiscount-IntPriorityIncentive)*'Intl Priority'!P47)*(1+International_Fuel_Surcharge),2))</f>
        <v>258.72000000000003</v>
      </c>
      <c r="Q50" s="231">
        <f>IF('Intl Priority'!$Q$105&gt;ROUND(((1-PuertoRicoDiscount)*'Intl Priority'!Q47),2),ROUND('Intl Priority'!$Q$105*(1+International_Fuel_Surcharge),2),ROUND(((1-PuertoRicoDiscount)*'Intl Priority'!Q47)*(1+International_Fuel_Surcharge),2))</f>
        <v>326.44</v>
      </c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2.75" customHeight="1">
      <c r="A51" s="217">
        <v>46</v>
      </c>
      <c r="B51" s="231">
        <f>IF('Intl Priority'!$B$105&gt;ROUND(((1-IntPriorityDiscount-IntPriorityIncentive)*'Intl Priority'!B48),2),ROUND('Intl Priority'!$B$105*(1+International_Fuel_Surcharge),2),ROUND(((1-IntPriorityDiscount-IntPriorityIncentive)*'Intl Priority'!B48)*(1+International_Fuel_Surcharge),2))</f>
        <v>123.35</v>
      </c>
      <c r="C51" s="231">
        <f>IF('Intl Priority'!$C$105&gt;ROUND(((1-IntPriorityDiscount-IntPriorityIncentive)*'Intl Priority'!C48),2),ROUND('Intl Priority'!$C$105*(1+International_Fuel_Surcharge),2),ROUND(((1-IntPriorityDiscount-IntPriorityIncentive)*'Intl Priority'!C48)*(1+International_Fuel_Surcharge),2))</f>
        <v>139.94</v>
      </c>
      <c r="D51" s="231">
        <f>IF('Intl Priority'!$D$105&gt;ROUND(((1-IntPriorityDiscount-IntPriorityIncentive)*'Intl Priority'!D48),2),ROUND('Intl Priority'!$D$105*(1+International_Fuel_Surcharge),2),ROUND(((1-IntPriorityDiscount-IntPriorityIncentive)*'Intl Priority'!D48)*(1+International_Fuel_Surcharge),2))</f>
        <v>143.26</v>
      </c>
      <c r="E51" s="231">
        <f>IF('Intl Priority'!$E$105&gt;ROUND(((1-IntPriorityDiscount-IntPriorityIncentive)*'Intl Priority'!E48),2),ROUND('Intl Priority'!$E$105*(1+International_Fuel_Surcharge),2),ROUND(((1-IntPriorityDiscount-IntPriorityIncentive)*'Intl Priority'!E48)*(1+International_Fuel_Surcharge),2))</f>
        <v>202.56</v>
      </c>
      <c r="F51" s="231">
        <f>IF('Intl Priority'!$F$105&gt;ROUND(((1-IntPriorityDiscount-IntPriorityIncentive)*'Intl Priority'!F48),2),ROUND('Intl Priority'!$F$105*(1+International_Fuel_Surcharge),2),ROUND(((1-IntPriorityDiscount-IntPriorityIncentive)*'Intl Priority'!F48)*(1+International_Fuel_Surcharge),2))</f>
        <v>362.67</v>
      </c>
      <c r="G51" s="231">
        <f>IF('Intl Priority'!$G$105&gt;ROUND(((1-IntPriorityDiscount-IntPriorityIncentive)*'Intl Priority'!G48),2),ROUND('Intl Priority'!$G$105*(1+International_Fuel_Surcharge),2),ROUND(((1-IntPriorityDiscount-IntPriorityIncentive)*'Intl Priority'!G48)*(1+International_Fuel_Surcharge),2))</f>
        <v>198.95</v>
      </c>
      <c r="H51" s="231">
        <f>IF('Intl Priority'!$H$105&gt;ROUND(((1-IntPriorityDiscount-IntPriorityIncentive)*'Intl Priority'!H48),2),ROUND('Intl Priority'!$H$105*(1+International_Fuel_Surcharge),2),ROUND(((1-IntPriorityDiscount-IntPriorityIncentive)*'Intl Priority'!H48)*(1+International_Fuel_Surcharge),2))</f>
        <v>199.89</v>
      </c>
      <c r="I51" s="231">
        <f>IF('Intl Priority'!$I$105&gt;ROUND(((1-IntPriorityDiscount-IntPriorityIncentive)*'Intl Priority'!I48),2),ROUND('Intl Priority'!$I$105*(1+International_Fuel_Surcharge),2),ROUND(((1-IntPriorityDiscount-IntPriorityIncentive)*'Intl Priority'!I48)*(1+International_Fuel_Surcharge),2))</f>
        <v>217.81</v>
      </c>
      <c r="J51" s="231">
        <f>IF('Intl Priority'!$J$105&gt;ROUND(((1-IntPriorityDiscount-IntPriorityIncentive)*'Intl Priority'!J48),2),ROUND('Intl Priority'!$J$105*(1+International_Fuel_Surcharge),2),ROUND(((1-IntPriorityDiscount-IntPriorityIncentive)*'Intl Priority'!J48)*(1+International_Fuel_Surcharge),2))</f>
        <v>156.53</v>
      </c>
      <c r="K51" s="231">
        <f>IF('Intl Priority'!$K$105&gt;ROUND(((1-IntPriorityDiscount-IntPriorityIncentive)*'Intl Priority'!K48),2),ROUND('Intl Priority'!$K$105*(1+International_Fuel_Surcharge),2),ROUND(((1-IntPriorityDiscount-IntPriorityIncentive)*'Intl Priority'!K48)*(1+International_Fuel_Surcharge),2))</f>
        <v>305.08</v>
      </c>
      <c r="L51" s="231">
        <f>IF('Intl Priority'!$L$105&gt;ROUND(((1-IntPriorityDiscount-IntPriorityIncentive)*'Intl Priority'!L48),2),ROUND('Intl Priority'!$L$105*(1+International_Fuel_Surcharge),2),ROUND(((1-IntPriorityDiscount-IntPriorityIncentive)*'Intl Priority'!L48)*(1+International_Fuel_Surcharge),2))</f>
        <v>253.18</v>
      </c>
      <c r="M51" s="231">
        <f>IF('Intl Priority'!$M$105&gt;ROUND(((1-IntPriorityDiscount-IntPriorityIncentive)*'Intl Priority'!M48),2),ROUND('Intl Priority'!$M$105*(1+International_Fuel_Surcharge),2),ROUND(((1-IntPriorityDiscount-IntPriorityIncentive)*'Intl Priority'!M48)*(1+International_Fuel_Surcharge),2))</f>
        <v>339.96</v>
      </c>
      <c r="N51" s="231">
        <f>IF('Intl Priority'!$N$105&gt;ROUND(((1-IntPriorityDiscount-IntPriorityIncentive)*'Intl Priority'!N48),2),ROUND('Intl Priority'!$N$105*(1+International_Fuel_Surcharge),2),ROUND(((1-IntPriorityDiscount-IntPriorityIncentive)*'Intl Priority'!N48)*(1+International_Fuel_Surcharge),2))</f>
        <v>368.31</v>
      </c>
      <c r="O51" s="231">
        <f>IF('Intl Priority'!$O$105&gt;ROUND(((1-IntPriorityDiscount-IntPriorityIncentive)*'Intl Priority'!O48),2),ROUND('Intl Priority'!$O$105*(1+International_Fuel_Surcharge),2),ROUND(((1-IntPriorityDiscount-IntPriorityIncentive)*'Intl Priority'!O48)*(1+International_Fuel_Surcharge),2))</f>
        <v>257.45</v>
      </c>
      <c r="P51" s="231">
        <f>IF('Intl Priority'!$P$105&gt;ROUND(((1-IntPriorityDiscount-IntPriorityIncentive)*'Intl Priority'!P48),2),ROUND('Intl Priority'!$P$105*(1+International_Fuel_Surcharge),2),ROUND(((1-IntPriorityDiscount-IntPriorityIncentive)*'Intl Priority'!P48)*(1+International_Fuel_Surcharge),2))</f>
        <v>258.77</v>
      </c>
      <c r="Q51" s="231">
        <f>IF('Intl Priority'!$Q$105&gt;ROUND(((1-PuertoRicoDiscount)*'Intl Priority'!Q48),2),ROUND('Intl Priority'!$Q$105*(1+International_Fuel_Surcharge),2),ROUND(((1-PuertoRicoDiscount)*'Intl Priority'!Q48)*(1+International_Fuel_Surcharge),2))</f>
        <v>332.07</v>
      </c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2.75" customHeight="1">
      <c r="A52" s="217">
        <v>47</v>
      </c>
      <c r="B52" s="231">
        <f>IF('Intl Priority'!$B$105&gt;ROUND(((1-IntPriorityDiscount-IntPriorityIncentive)*'Intl Priority'!B49),2),ROUND('Intl Priority'!$B$105*(1+International_Fuel_Surcharge),2),ROUND(((1-IntPriorityDiscount-IntPriorityIncentive)*'Intl Priority'!B49)*(1+International_Fuel_Surcharge),2))</f>
        <v>125.19</v>
      </c>
      <c r="C52" s="231">
        <f>IF('Intl Priority'!$C$105&gt;ROUND(((1-IntPriorityDiscount-IntPriorityIncentive)*'Intl Priority'!C49),2),ROUND('Intl Priority'!$C$105*(1+International_Fuel_Surcharge),2),ROUND(((1-IntPriorityDiscount-IntPriorityIncentive)*'Intl Priority'!C49)*(1+International_Fuel_Surcharge),2))</f>
        <v>141.41999999999999</v>
      </c>
      <c r="D52" s="231">
        <f>IF('Intl Priority'!$D$105&gt;ROUND(((1-IntPriorityDiscount-IntPriorityIncentive)*'Intl Priority'!D49),2),ROUND('Intl Priority'!$D$105*(1+International_Fuel_Surcharge),2),ROUND(((1-IntPriorityDiscount-IntPriorityIncentive)*'Intl Priority'!D49)*(1+International_Fuel_Surcharge),2))</f>
        <v>145.62</v>
      </c>
      <c r="E52" s="231">
        <f>IF('Intl Priority'!$E$105&gt;ROUND(((1-IntPriorityDiscount-IntPriorityIncentive)*'Intl Priority'!E49),2),ROUND('Intl Priority'!$E$105*(1+International_Fuel_Surcharge),2),ROUND(((1-IntPriorityDiscount-IntPriorityIncentive)*'Intl Priority'!E49)*(1+International_Fuel_Surcharge),2))</f>
        <v>206.06</v>
      </c>
      <c r="F52" s="231">
        <f>IF('Intl Priority'!$F$105&gt;ROUND(((1-IntPriorityDiscount-IntPriorityIncentive)*'Intl Priority'!F49),2),ROUND('Intl Priority'!$F$105*(1+International_Fuel_Surcharge),2),ROUND(((1-IntPriorityDiscount-IntPriorityIncentive)*'Intl Priority'!F49)*(1+International_Fuel_Surcharge),2))</f>
        <v>365.85</v>
      </c>
      <c r="G52" s="231">
        <f>IF('Intl Priority'!$G$105&gt;ROUND(((1-IntPriorityDiscount-IntPriorityIncentive)*'Intl Priority'!G49),2),ROUND('Intl Priority'!$G$105*(1+International_Fuel_Surcharge),2),ROUND(((1-IntPriorityDiscount-IntPriorityIncentive)*'Intl Priority'!G49)*(1+International_Fuel_Surcharge),2))</f>
        <v>201.23</v>
      </c>
      <c r="H52" s="231">
        <f>IF('Intl Priority'!$H$105&gt;ROUND(((1-IntPriorityDiscount-IntPriorityIncentive)*'Intl Priority'!H49),2),ROUND('Intl Priority'!$H$105*(1+International_Fuel_Surcharge),2),ROUND(((1-IntPriorityDiscount-IntPriorityIncentive)*'Intl Priority'!H49)*(1+International_Fuel_Surcharge),2))</f>
        <v>203.15</v>
      </c>
      <c r="I52" s="231">
        <f>IF('Intl Priority'!$I$105&gt;ROUND(((1-IntPriorityDiscount-IntPriorityIncentive)*'Intl Priority'!I49),2),ROUND('Intl Priority'!$I$105*(1+International_Fuel_Surcharge),2),ROUND(((1-IntPriorityDiscount-IntPriorityIncentive)*'Intl Priority'!I49)*(1+International_Fuel_Surcharge),2))</f>
        <v>218.38</v>
      </c>
      <c r="J52" s="231">
        <f>IF('Intl Priority'!$J$105&gt;ROUND(((1-IntPriorityDiscount-IntPriorityIncentive)*'Intl Priority'!J49),2),ROUND('Intl Priority'!$J$105*(1+International_Fuel_Surcharge),2),ROUND(((1-IntPriorityDiscount-IntPriorityIncentive)*'Intl Priority'!J49)*(1+International_Fuel_Surcharge),2))</f>
        <v>157.52000000000001</v>
      </c>
      <c r="K52" s="231">
        <f>IF('Intl Priority'!$K$105&gt;ROUND(((1-IntPriorityDiscount-IntPriorityIncentive)*'Intl Priority'!K49),2),ROUND('Intl Priority'!$K$105*(1+International_Fuel_Surcharge),2),ROUND(((1-IntPriorityDiscount-IntPriorityIncentive)*'Intl Priority'!K49)*(1+International_Fuel_Surcharge),2))</f>
        <v>306.04000000000002</v>
      </c>
      <c r="L52" s="231">
        <f>IF('Intl Priority'!$L$105&gt;ROUND(((1-IntPriorityDiscount-IntPriorityIncentive)*'Intl Priority'!L49),2),ROUND('Intl Priority'!$L$105*(1+International_Fuel_Surcharge),2),ROUND(((1-IntPriorityDiscount-IntPriorityIncentive)*'Intl Priority'!L49)*(1+International_Fuel_Surcharge),2))</f>
        <v>253.36</v>
      </c>
      <c r="M52" s="231">
        <f>IF('Intl Priority'!$M$105&gt;ROUND(((1-IntPriorityDiscount-IntPriorityIncentive)*'Intl Priority'!M49),2),ROUND('Intl Priority'!$M$105*(1+International_Fuel_Surcharge),2),ROUND(((1-IntPriorityDiscount-IntPriorityIncentive)*'Intl Priority'!M49)*(1+International_Fuel_Surcharge),2))</f>
        <v>340.16</v>
      </c>
      <c r="N52" s="231">
        <f>IF('Intl Priority'!$N$105&gt;ROUND(((1-IntPriorityDiscount-IntPriorityIncentive)*'Intl Priority'!N49),2),ROUND('Intl Priority'!$N$105*(1+International_Fuel_Surcharge),2),ROUND(((1-IntPriorityDiscount-IntPriorityIncentive)*'Intl Priority'!N49)*(1+International_Fuel_Surcharge),2))</f>
        <v>371.37</v>
      </c>
      <c r="O52" s="231">
        <f>IF('Intl Priority'!$O$105&gt;ROUND(((1-IntPriorityDiscount-IntPriorityIncentive)*'Intl Priority'!O49),2),ROUND('Intl Priority'!$O$105*(1+International_Fuel_Surcharge),2),ROUND(((1-IntPriorityDiscount-IntPriorityIncentive)*'Intl Priority'!O49)*(1+International_Fuel_Surcharge),2))</f>
        <v>257.69</v>
      </c>
      <c r="P52" s="231">
        <f>IF('Intl Priority'!$P$105&gt;ROUND(((1-IntPriorityDiscount-IntPriorityIncentive)*'Intl Priority'!P49),2),ROUND('Intl Priority'!$P$105*(1+International_Fuel_Surcharge),2),ROUND(((1-IntPriorityDiscount-IntPriorityIncentive)*'Intl Priority'!P49)*(1+International_Fuel_Surcharge),2))</f>
        <v>258.83</v>
      </c>
      <c r="Q52" s="231">
        <f>IF('Intl Priority'!$Q$105&gt;ROUND(((1-PuertoRicoDiscount)*'Intl Priority'!Q49),2),ROUND('Intl Priority'!$Q$105*(1+International_Fuel_Surcharge),2),ROUND(((1-PuertoRicoDiscount)*'Intl Priority'!Q49)*(1+International_Fuel_Surcharge),2))</f>
        <v>337.27</v>
      </c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2.75" customHeight="1">
      <c r="A53" s="217">
        <v>48</v>
      </c>
      <c r="B53" s="231">
        <f>IF('Intl Priority'!$B$105&gt;ROUND(((1-IntPriorityDiscount-IntPriorityIncentive)*'Intl Priority'!B50),2),ROUND('Intl Priority'!$B$105*(1+International_Fuel_Surcharge),2),ROUND(((1-IntPriorityDiscount-IntPriorityIncentive)*'Intl Priority'!B50)*(1+International_Fuel_Surcharge),2))</f>
        <v>126.87</v>
      </c>
      <c r="C53" s="231">
        <f>IF('Intl Priority'!$C$105&gt;ROUND(((1-IntPriorityDiscount-IntPriorityIncentive)*'Intl Priority'!C50),2),ROUND('Intl Priority'!$C$105*(1+International_Fuel_Surcharge),2),ROUND(((1-IntPriorityDiscount-IntPriorityIncentive)*'Intl Priority'!C50)*(1+International_Fuel_Surcharge),2))</f>
        <v>144.04</v>
      </c>
      <c r="D53" s="231">
        <f>IF('Intl Priority'!$D$105&gt;ROUND(((1-IntPriorityDiscount-IntPriorityIncentive)*'Intl Priority'!D50),2),ROUND('Intl Priority'!$D$105*(1+International_Fuel_Surcharge),2),ROUND(((1-IntPriorityDiscount-IntPriorityIncentive)*'Intl Priority'!D50)*(1+International_Fuel_Surcharge),2))</f>
        <v>147.51</v>
      </c>
      <c r="E53" s="231">
        <f>IF('Intl Priority'!$E$105&gt;ROUND(((1-IntPriorityDiscount-IntPriorityIncentive)*'Intl Priority'!E50),2),ROUND('Intl Priority'!$E$105*(1+International_Fuel_Surcharge),2),ROUND(((1-IntPriorityDiscount-IntPriorityIncentive)*'Intl Priority'!E50)*(1+International_Fuel_Surcharge),2))</f>
        <v>206.49</v>
      </c>
      <c r="F53" s="231">
        <f>IF('Intl Priority'!$F$105&gt;ROUND(((1-IntPriorityDiscount-IntPriorityIncentive)*'Intl Priority'!F50),2),ROUND('Intl Priority'!$F$105*(1+International_Fuel_Surcharge),2),ROUND(((1-IntPriorityDiscount-IntPriorityIncentive)*'Intl Priority'!F50)*(1+International_Fuel_Surcharge),2))</f>
        <v>377.53</v>
      </c>
      <c r="G53" s="231">
        <f>IF('Intl Priority'!$G$105&gt;ROUND(((1-IntPriorityDiscount-IntPriorityIncentive)*'Intl Priority'!G50),2),ROUND('Intl Priority'!$G$105*(1+International_Fuel_Surcharge),2),ROUND(((1-IntPriorityDiscount-IntPriorityIncentive)*'Intl Priority'!G50)*(1+International_Fuel_Surcharge),2))</f>
        <v>204.28</v>
      </c>
      <c r="H53" s="231">
        <f>IF('Intl Priority'!$H$105&gt;ROUND(((1-IntPriorityDiscount-IntPriorityIncentive)*'Intl Priority'!H50),2),ROUND('Intl Priority'!$H$105*(1+International_Fuel_Surcharge),2),ROUND(((1-IntPriorityDiscount-IntPriorityIncentive)*'Intl Priority'!H50)*(1+International_Fuel_Surcharge),2))</f>
        <v>203.49</v>
      </c>
      <c r="I53" s="231">
        <f>IF('Intl Priority'!$I$105&gt;ROUND(((1-IntPriorityDiscount-IntPriorityIncentive)*'Intl Priority'!I50),2),ROUND('Intl Priority'!$I$105*(1+International_Fuel_Surcharge),2),ROUND(((1-IntPriorityDiscount-IntPriorityIncentive)*'Intl Priority'!I50)*(1+International_Fuel_Surcharge),2))</f>
        <v>229.78</v>
      </c>
      <c r="J53" s="231">
        <f>IF('Intl Priority'!$J$105&gt;ROUND(((1-IntPriorityDiscount-IntPriorityIncentive)*'Intl Priority'!J50),2),ROUND('Intl Priority'!$J$105*(1+International_Fuel_Surcharge),2),ROUND(((1-IntPriorityDiscount-IntPriorityIncentive)*'Intl Priority'!J50)*(1+International_Fuel_Surcharge),2))</f>
        <v>157.62</v>
      </c>
      <c r="K53" s="231">
        <f>IF('Intl Priority'!$K$105&gt;ROUND(((1-IntPriorityDiscount-IntPriorityIncentive)*'Intl Priority'!K50),2),ROUND('Intl Priority'!$K$105*(1+International_Fuel_Surcharge),2),ROUND(((1-IntPriorityDiscount-IntPriorityIncentive)*'Intl Priority'!K50)*(1+International_Fuel_Surcharge),2))</f>
        <v>311.26</v>
      </c>
      <c r="L53" s="231">
        <f>IF('Intl Priority'!$L$105&gt;ROUND(((1-IntPriorityDiscount-IntPriorityIncentive)*'Intl Priority'!L50),2),ROUND('Intl Priority'!$L$105*(1+International_Fuel_Surcharge),2),ROUND(((1-IntPriorityDiscount-IntPriorityIncentive)*'Intl Priority'!L50)*(1+International_Fuel_Surcharge),2))</f>
        <v>253.41</v>
      </c>
      <c r="M53" s="231">
        <f>IF('Intl Priority'!$M$105&gt;ROUND(((1-IntPriorityDiscount-IntPriorityIncentive)*'Intl Priority'!M50),2),ROUND('Intl Priority'!$M$105*(1+International_Fuel_Surcharge),2),ROUND(((1-IntPriorityDiscount-IntPriorityIncentive)*'Intl Priority'!M50)*(1+International_Fuel_Surcharge),2))</f>
        <v>344.07</v>
      </c>
      <c r="N53" s="231">
        <f>IF('Intl Priority'!$N$105&gt;ROUND(((1-IntPriorityDiscount-IntPriorityIncentive)*'Intl Priority'!N50),2),ROUND('Intl Priority'!$N$105*(1+International_Fuel_Surcharge),2),ROUND(((1-IntPriorityDiscount-IntPriorityIncentive)*'Intl Priority'!N50)*(1+International_Fuel_Surcharge),2))</f>
        <v>371.68</v>
      </c>
      <c r="O53" s="231">
        <f>IF('Intl Priority'!$O$105&gt;ROUND(((1-IntPriorityDiscount-IntPriorityIncentive)*'Intl Priority'!O50),2),ROUND('Intl Priority'!$O$105*(1+International_Fuel_Surcharge),2),ROUND(((1-IntPriorityDiscount-IntPriorityIncentive)*'Intl Priority'!O50)*(1+International_Fuel_Surcharge),2))</f>
        <v>258.02</v>
      </c>
      <c r="P53" s="231">
        <f>IF('Intl Priority'!$P$105&gt;ROUND(((1-IntPriorityDiscount-IntPriorityIncentive)*'Intl Priority'!P50),2),ROUND('Intl Priority'!$P$105*(1+International_Fuel_Surcharge),2),ROUND(((1-IntPriorityDiscount-IntPriorityIncentive)*'Intl Priority'!P50)*(1+International_Fuel_Surcharge),2))</f>
        <v>258.88</v>
      </c>
      <c r="Q53" s="231">
        <f>IF('Intl Priority'!$Q$105&gt;ROUND(((1-PuertoRicoDiscount)*'Intl Priority'!Q50),2),ROUND('Intl Priority'!$Q$105*(1+International_Fuel_Surcharge),2),ROUND(((1-PuertoRicoDiscount)*'Intl Priority'!Q50)*(1+International_Fuel_Surcharge),2))</f>
        <v>343.58</v>
      </c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2.75" customHeight="1">
      <c r="A54" s="217">
        <v>49</v>
      </c>
      <c r="B54" s="231">
        <f>IF('Intl Priority'!$B$105&gt;ROUND(((1-IntPriorityDiscount-IntPriorityIncentive)*'Intl Priority'!B51),2),ROUND('Intl Priority'!$B$105*(1+International_Fuel_Surcharge),2),ROUND(((1-IntPriorityDiscount-IntPriorityIncentive)*'Intl Priority'!B51)*(1+International_Fuel_Surcharge),2))</f>
        <v>127.07</v>
      </c>
      <c r="C54" s="231">
        <f>IF('Intl Priority'!$C$105&gt;ROUND(((1-IntPriorityDiscount-IntPriorityIncentive)*'Intl Priority'!C51),2),ROUND('Intl Priority'!$C$105*(1+International_Fuel_Surcharge),2),ROUND(((1-IntPriorityDiscount-IntPriorityIncentive)*'Intl Priority'!C51)*(1+International_Fuel_Surcharge),2))</f>
        <v>145.44</v>
      </c>
      <c r="D54" s="231">
        <f>IF('Intl Priority'!$D$105&gt;ROUND(((1-IntPriorityDiscount-IntPriorityIncentive)*'Intl Priority'!D51),2),ROUND('Intl Priority'!$D$105*(1+International_Fuel_Surcharge),2),ROUND(((1-IntPriorityDiscount-IntPriorityIncentive)*'Intl Priority'!D51)*(1+International_Fuel_Surcharge),2))</f>
        <v>147.71</v>
      </c>
      <c r="E54" s="231">
        <f>IF('Intl Priority'!$E$105&gt;ROUND(((1-IntPriorityDiscount-IntPriorityIncentive)*'Intl Priority'!E51),2),ROUND('Intl Priority'!$E$105*(1+International_Fuel_Surcharge),2),ROUND(((1-IntPriorityDiscount-IntPriorityIncentive)*'Intl Priority'!E51)*(1+International_Fuel_Surcharge),2))</f>
        <v>211.87</v>
      </c>
      <c r="F54" s="231">
        <f>IF('Intl Priority'!$F$105&gt;ROUND(((1-IntPriorityDiscount-IntPriorityIncentive)*'Intl Priority'!F51),2),ROUND('Intl Priority'!$F$105*(1+International_Fuel_Surcharge),2),ROUND(((1-IntPriorityDiscount-IntPriorityIncentive)*'Intl Priority'!F51)*(1+International_Fuel_Surcharge),2))</f>
        <v>384.52</v>
      </c>
      <c r="G54" s="231">
        <f>IF('Intl Priority'!$G$105&gt;ROUND(((1-IntPriorityDiscount-IntPriorityIncentive)*'Intl Priority'!G51),2),ROUND('Intl Priority'!$G$105*(1+International_Fuel_Surcharge),2),ROUND(((1-IntPriorityDiscount-IntPriorityIncentive)*'Intl Priority'!G51)*(1+International_Fuel_Surcharge),2))</f>
        <v>207.5</v>
      </c>
      <c r="H54" s="231">
        <f>IF('Intl Priority'!$H$105&gt;ROUND(((1-IntPriorityDiscount-IntPriorityIncentive)*'Intl Priority'!H51),2),ROUND('Intl Priority'!$H$105*(1+International_Fuel_Surcharge),2),ROUND(((1-IntPriorityDiscount-IntPriorityIncentive)*'Intl Priority'!H51)*(1+International_Fuel_Surcharge),2))</f>
        <v>209.5</v>
      </c>
      <c r="I54" s="231">
        <f>IF('Intl Priority'!$I$105&gt;ROUND(((1-IntPriorityDiscount-IntPriorityIncentive)*'Intl Priority'!I51),2),ROUND('Intl Priority'!$I$105*(1+International_Fuel_Surcharge),2),ROUND(((1-IntPriorityDiscount-IntPriorityIncentive)*'Intl Priority'!I51)*(1+International_Fuel_Surcharge),2))</f>
        <v>230.93</v>
      </c>
      <c r="J54" s="231">
        <f>IF('Intl Priority'!$J$105&gt;ROUND(((1-IntPriorityDiscount-IntPriorityIncentive)*'Intl Priority'!J51),2),ROUND('Intl Priority'!$J$105*(1+International_Fuel_Surcharge),2),ROUND(((1-IntPriorityDiscount-IntPriorityIncentive)*'Intl Priority'!J51)*(1+International_Fuel_Surcharge),2))</f>
        <v>157.94999999999999</v>
      </c>
      <c r="K54" s="231">
        <f>IF('Intl Priority'!$K$105&gt;ROUND(((1-IntPriorityDiscount-IntPriorityIncentive)*'Intl Priority'!K51),2),ROUND('Intl Priority'!$K$105*(1+International_Fuel_Surcharge),2),ROUND(((1-IntPriorityDiscount-IntPriorityIncentive)*'Intl Priority'!K51)*(1+International_Fuel_Surcharge),2))</f>
        <v>316.29000000000002</v>
      </c>
      <c r="L54" s="231">
        <f>IF('Intl Priority'!$L$105&gt;ROUND(((1-IntPriorityDiscount-IntPriorityIncentive)*'Intl Priority'!L51),2),ROUND('Intl Priority'!$L$105*(1+International_Fuel_Surcharge),2),ROUND(((1-IntPriorityDiscount-IntPriorityIncentive)*'Intl Priority'!L51)*(1+International_Fuel_Surcharge),2))</f>
        <v>254.42</v>
      </c>
      <c r="M54" s="231">
        <f>IF('Intl Priority'!$M$105&gt;ROUND(((1-IntPriorityDiscount-IntPriorityIncentive)*'Intl Priority'!M51),2),ROUND('Intl Priority'!$M$105*(1+International_Fuel_Surcharge),2),ROUND(((1-IntPriorityDiscount-IntPriorityIncentive)*'Intl Priority'!M51)*(1+International_Fuel_Surcharge),2))</f>
        <v>344.46</v>
      </c>
      <c r="N54" s="231">
        <f>IF('Intl Priority'!$N$105&gt;ROUND(((1-IntPriorityDiscount-IntPriorityIncentive)*'Intl Priority'!N51),2),ROUND('Intl Priority'!$N$105*(1+International_Fuel_Surcharge),2),ROUND(((1-IntPriorityDiscount-IntPriorityIncentive)*'Intl Priority'!N51)*(1+International_Fuel_Surcharge),2))</f>
        <v>371.75</v>
      </c>
      <c r="O54" s="231">
        <f>IF('Intl Priority'!$O$105&gt;ROUND(((1-IntPriorityDiscount-IntPriorityIncentive)*'Intl Priority'!O51),2),ROUND('Intl Priority'!$O$105*(1+International_Fuel_Surcharge),2),ROUND(((1-IntPriorityDiscount-IntPriorityIncentive)*'Intl Priority'!O51)*(1+International_Fuel_Surcharge),2))</f>
        <v>264.64</v>
      </c>
      <c r="P54" s="231">
        <f>IF('Intl Priority'!$P$105&gt;ROUND(((1-IntPriorityDiscount-IntPriorityIncentive)*'Intl Priority'!P51),2),ROUND('Intl Priority'!$P$105*(1+International_Fuel_Surcharge),2),ROUND(((1-IntPriorityDiscount-IntPriorityIncentive)*'Intl Priority'!P51)*(1+International_Fuel_Surcharge),2))</f>
        <v>259.01</v>
      </c>
      <c r="Q54" s="231">
        <f>IF('Intl Priority'!$Q$105&gt;ROUND(((1-PuertoRicoDiscount)*'Intl Priority'!Q51),2),ROUND('Intl Priority'!$Q$105*(1+International_Fuel_Surcharge),2),ROUND(((1-PuertoRicoDiscount)*'Intl Priority'!Q51)*(1+International_Fuel_Surcharge),2))</f>
        <v>349.75</v>
      </c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2.75" customHeight="1">
      <c r="A55" s="217">
        <v>50</v>
      </c>
      <c r="B55" s="231">
        <f>IF('Intl Priority'!$B$105&gt;ROUND(((1-IntPriorityDiscount-IntPriorityIncentive)*'Intl Priority'!B52),2),ROUND('Intl Priority'!$B$105*(1+International_Fuel_Surcharge),2),ROUND(((1-IntPriorityDiscount-IntPriorityIncentive)*'Intl Priority'!B52)*(1+International_Fuel_Surcharge),2))</f>
        <v>131</v>
      </c>
      <c r="C55" s="231">
        <f>IF('Intl Priority'!$C$105&gt;ROUND(((1-IntPriorityDiscount-IntPriorityIncentive)*'Intl Priority'!C52),2),ROUND('Intl Priority'!$C$105*(1+International_Fuel_Surcharge),2),ROUND(((1-IntPriorityDiscount-IntPriorityIncentive)*'Intl Priority'!C52)*(1+International_Fuel_Surcharge),2))</f>
        <v>146.82</v>
      </c>
      <c r="D55" s="231">
        <f>IF('Intl Priority'!$D$105&gt;ROUND(((1-IntPriorityDiscount-IntPriorityIncentive)*'Intl Priority'!D52),2),ROUND('Intl Priority'!$D$105*(1+International_Fuel_Surcharge),2),ROUND(((1-IntPriorityDiscount-IntPriorityIncentive)*'Intl Priority'!D52)*(1+International_Fuel_Surcharge),2))</f>
        <v>147.96</v>
      </c>
      <c r="E55" s="231">
        <f>IF('Intl Priority'!$E$105&gt;ROUND(((1-IntPriorityDiscount-IntPriorityIncentive)*'Intl Priority'!E52),2),ROUND('Intl Priority'!$E$105*(1+International_Fuel_Surcharge),2),ROUND(((1-IntPriorityDiscount-IntPriorityIncentive)*'Intl Priority'!E52)*(1+International_Fuel_Surcharge),2))</f>
        <v>213.21</v>
      </c>
      <c r="F55" s="231">
        <f>IF('Intl Priority'!$F$105&gt;ROUND(((1-IntPriorityDiscount-IntPriorityIncentive)*'Intl Priority'!F52),2),ROUND('Intl Priority'!$F$105*(1+International_Fuel_Surcharge),2),ROUND(((1-IntPriorityDiscount-IntPriorityIncentive)*'Intl Priority'!F52)*(1+International_Fuel_Surcharge),2))</f>
        <v>390.05</v>
      </c>
      <c r="G55" s="231">
        <f>IF('Intl Priority'!$G$105&gt;ROUND(((1-IntPriorityDiscount-IntPriorityIncentive)*'Intl Priority'!G52),2),ROUND('Intl Priority'!$G$105*(1+International_Fuel_Surcharge),2),ROUND(((1-IntPriorityDiscount-IntPriorityIncentive)*'Intl Priority'!G52)*(1+International_Fuel_Surcharge),2))</f>
        <v>211.16</v>
      </c>
      <c r="H55" s="231">
        <f>IF('Intl Priority'!$H$105&gt;ROUND(((1-IntPriorityDiscount-IntPriorityIncentive)*'Intl Priority'!H52),2),ROUND('Intl Priority'!$H$105*(1+International_Fuel_Surcharge),2),ROUND(((1-IntPriorityDiscount-IntPriorityIncentive)*'Intl Priority'!H52)*(1+International_Fuel_Surcharge),2))</f>
        <v>213.2</v>
      </c>
      <c r="I55" s="231">
        <f>IF('Intl Priority'!$I$105&gt;ROUND(((1-IntPriorityDiscount-IntPriorityIncentive)*'Intl Priority'!I52),2),ROUND('Intl Priority'!$I$105*(1+International_Fuel_Surcharge),2),ROUND(((1-IntPriorityDiscount-IntPriorityIncentive)*'Intl Priority'!I52)*(1+International_Fuel_Surcharge),2))</f>
        <v>235.13</v>
      </c>
      <c r="J55" s="231">
        <f>IF('Intl Priority'!$J$105&gt;ROUND(((1-IntPriorityDiscount-IntPriorityIncentive)*'Intl Priority'!J52),2),ROUND('Intl Priority'!$J$105*(1+International_Fuel_Surcharge),2),ROUND(((1-IntPriorityDiscount-IntPriorityIncentive)*'Intl Priority'!J52)*(1+International_Fuel_Surcharge),2))</f>
        <v>164.6</v>
      </c>
      <c r="K55" s="231">
        <f>IF('Intl Priority'!$K$105&gt;ROUND(((1-IntPriorityDiscount-IntPriorityIncentive)*'Intl Priority'!K52),2),ROUND('Intl Priority'!$K$105*(1+International_Fuel_Surcharge),2),ROUND(((1-IntPriorityDiscount-IntPriorityIncentive)*'Intl Priority'!K52)*(1+International_Fuel_Surcharge),2))</f>
        <v>322.33</v>
      </c>
      <c r="L55" s="231">
        <f>IF('Intl Priority'!$L$105&gt;ROUND(((1-IntPriorityDiscount-IntPriorityIncentive)*'Intl Priority'!L52),2),ROUND('Intl Priority'!$L$105*(1+International_Fuel_Surcharge),2),ROUND(((1-IntPriorityDiscount-IntPriorityIncentive)*'Intl Priority'!L52)*(1+International_Fuel_Surcharge),2))</f>
        <v>274.64999999999998</v>
      </c>
      <c r="M55" s="231">
        <f>IF('Intl Priority'!$M$105&gt;ROUND(((1-IntPriorityDiscount-IntPriorityIncentive)*'Intl Priority'!M52),2),ROUND('Intl Priority'!$M$105*(1+International_Fuel_Surcharge),2),ROUND(((1-IntPriorityDiscount-IntPriorityIncentive)*'Intl Priority'!M52)*(1+International_Fuel_Surcharge),2))</f>
        <v>348.11</v>
      </c>
      <c r="N55" s="231">
        <f>IF('Intl Priority'!$N$105&gt;ROUND(((1-IntPriorityDiscount-IntPriorityIncentive)*'Intl Priority'!N52),2),ROUND('Intl Priority'!$N$105*(1+International_Fuel_Surcharge),2),ROUND(((1-IntPriorityDiscount-IntPriorityIncentive)*'Intl Priority'!N52)*(1+International_Fuel_Surcharge),2))</f>
        <v>373.25</v>
      </c>
      <c r="O55" s="231">
        <f>IF('Intl Priority'!$O$105&gt;ROUND(((1-IntPriorityDiscount-IntPriorityIncentive)*'Intl Priority'!O52),2),ROUND('Intl Priority'!$O$105*(1+International_Fuel_Surcharge),2),ROUND(((1-IntPriorityDiscount-IntPriorityIncentive)*'Intl Priority'!O52)*(1+International_Fuel_Surcharge),2))</f>
        <v>266.20999999999998</v>
      </c>
      <c r="P55" s="231">
        <f>IF('Intl Priority'!$P$105&gt;ROUND(((1-IntPriorityDiscount-IntPriorityIncentive)*'Intl Priority'!P52),2),ROUND('Intl Priority'!$P$105*(1+International_Fuel_Surcharge),2),ROUND(((1-IntPriorityDiscount-IntPriorityIncentive)*'Intl Priority'!P52)*(1+International_Fuel_Surcharge),2))</f>
        <v>261.55</v>
      </c>
      <c r="Q55" s="231">
        <f>IF('Intl Priority'!$Q$105&gt;ROUND(((1-PuertoRicoDiscount)*'Intl Priority'!Q52),2),ROUND('Intl Priority'!$Q$105*(1+International_Fuel_Surcharge),2),ROUND(((1-PuertoRicoDiscount)*'Intl Priority'!Q52)*(1+International_Fuel_Surcharge),2))</f>
        <v>349.86</v>
      </c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2.75" customHeight="1">
      <c r="A56" s="217">
        <v>52</v>
      </c>
      <c r="B56" s="231">
        <f>IF('Intl Priority'!$B$105&gt;ROUND(((1-IntPriorityDiscount-IntPriorityIncentive)*'Intl Priority'!B53),2),ROUND('Intl Priority'!$B$105*(1+International_Fuel_Surcharge),2),ROUND(((1-IntPriorityDiscount-IntPriorityIncentive)*'Intl Priority'!B53)*(1+International_Fuel_Surcharge),2))</f>
        <v>131.38999999999999</v>
      </c>
      <c r="C56" s="231">
        <f>IF('Intl Priority'!$C$105&gt;ROUND(((1-IntPriorityDiscount-IntPriorityIncentive)*'Intl Priority'!C53),2),ROUND('Intl Priority'!$C$105*(1+International_Fuel_Surcharge),2),ROUND(((1-IntPriorityDiscount-IntPriorityIncentive)*'Intl Priority'!C53)*(1+International_Fuel_Surcharge),2))</f>
        <v>149.51</v>
      </c>
      <c r="D56" s="231">
        <f>IF('Intl Priority'!$D$105&gt;ROUND(((1-IntPriorityDiscount-IntPriorityIncentive)*'Intl Priority'!D53),2),ROUND('Intl Priority'!$D$105*(1+International_Fuel_Surcharge),2),ROUND(((1-IntPriorityDiscount-IntPriorityIncentive)*'Intl Priority'!D53)*(1+International_Fuel_Surcharge),2))</f>
        <v>150.18</v>
      </c>
      <c r="E56" s="231">
        <f>IF('Intl Priority'!$E$105&gt;ROUND(((1-IntPriorityDiscount-IntPriorityIncentive)*'Intl Priority'!E53),2),ROUND('Intl Priority'!$E$105*(1+International_Fuel_Surcharge),2),ROUND(((1-IntPriorityDiscount-IntPriorityIncentive)*'Intl Priority'!E53)*(1+International_Fuel_Surcharge),2))</f>
        <v>219.19</v>
      </c>
      <c r="F56" s="231">
        <f>IF('Intl Priority'!$F$105&gt;ROUND(((1-IntPriorityDiscount-IntPriorityIncentive)*'Intl Priority'!F53),2),ROUND('Intl Priority'!$F$105*(1+International_Fuel_Surcharge),2),ROUND(((1-IntPriorityDiscount-IntPriorityIncentive)*'Intl Priority'!F53)*(1+International_Fuel_Surcharge),2))</f>
        <v>400.17</v>
      </c>
      <c r="G56" s="231">
        <f>IF('Intl Priority'!$G$105&gt;ROUND(((1-IntPriorityDiscount-IntPriorityIncentive)*'Intl Priority'!G53),2),ROUND('Intl Priority'!$G$105*(1+International_Fuel_Surcharge),2),ROUND(((1-IntPriorityDiscount-IntPriorityIncentive)*'Intl Priority'!G53)*(1+International_Fuel_Surcharge),2))</f>
        <v>211.53</v>
      </c>
      <c r="H56" s="231">
        <f>IF('Intl Priority'!$H$105&gt;ROUND(((1-IntPriorityDiscount-IntPriorityIncentive)*'Intl Priority'!H53),2),ROUND('Intl Priority'!$H$105*(1+International_Fuel_Surcharge),2),ROUND(((1-IntPriorityDiscount-IntPriorityIncentive)*'Intl Priority'!H53)*(1+International_Fuel_Surcharge),2))</f>
        <v>213.57</v>
      </c>
      <c r="I56" s="231">
        <f>IF('Intl Priority'!$I$105&gt;ROUND(((1-IntPriorityDiscount-IntPriorityIncentive)*'Intl Priority'!I53),2),ROUND('Intl Priority'!$I$105*(1+International_Fuel_Surcharge),2),ROUND(((1-IntPriorityDiscount-IntPriorityIncentive)*'Intl Priority'!I53)*(1+International_Fuel_Surcharge),2))</f>
        <v>235.99</v>
      </c>
      <c r="J56" s="231">
        <f>IF('Intl Priority'!$J$105&gt;ROUND(((1-IntPriorityDiscount-IntPriorityIncentive)*'Intl Priority'!J53),2),ROUND('Intl Priority'!$J$105*(1+International_Fuel_Surcharge),2),ROUND(((1-IntPriorityDiscount-IntPriorityIncentive)*'Intl Priority'!J53)*(1+International_Fuel_Surcharge),2))</f>
        <v>174.15</v>
      </c>
      <c r="K56" s="231">
        <f>IF('Intl Priority'!$K$105&gt;ROUND(((1-IntPriorityDiscount-IntPriorityIncentive)*'Intl Priority'!K53),2),ROUND('Intl Priority'!$K$105*(1+International_Fuel_Surcharge),2),ROUND(((1-IntPriorityDiscount-IntPriorityIncentive)*'Intl Priority'!K53)*(1+International_Fuel_Surcharge),2))</f>
        <v>322.93</v>
      </c>
      <c r="L56" s="231">
        <f>IF('Intl Priority'!$L$105&gt;ROUND(((1-IntPriorityDiscount-IntPriorityIncentive)*'Intl Priority'!L53),2),ROUND('Intl Priority'!$L$105*(1+International_Fuel_Surcharge),2),ROUND(((1-IntPriorityDiscount-IntPriorityIncentive)*'Intl Priority'!L53)*(1+International_Fuel_Surcharge),2))</f>
        <v>278.26</v>
      </c>
      <c r="M56" s="231">
        <f>IF('Intl Priority'!$M$105&gt;ROUND(((1-IntPriorityDiscount-IntPriorityIncentive)*'Intl Priority'!M53),2),ROUND('Intl Priority'!$M$105*(1+International_Fuel_Surcharge),2),ROUND(((1-IntPriorityDiscount-IntPriorityIncentive)*'Intl Priority'!M53)*(1+International_Fuel_Surcharge),2))</f>
        <v>394.91</v>
      </c>
      <c r="N56" s="231">
        <f>IF('Intl Priority'!$N$105&gt;ROUND(((1-IntPriorityDiscount-IntPriorityIncentive)*'Intl Priority'!N53),2),ROUND('Intl Priority'!$N$105*(1+International_Fuel_Surcharge),2),ROUND(((1-IntPriorityDiscount-IntPriorityIncentive)*'Intl Priority'!N53)*(1+International_Fuel_Surcharge),2))</f>
        <v>374.94</v>
      </c>
      <c r="O56" s="231">
        <f>IF('Intl Priority'!$O$105&gt;ROUND(((1-IntPriorityDiscount-IntPriorityIncentive)*'Intl Priority'!O53),2),ROUND('Intl Priority'!$O$105*(1+International_Fuel_Surcharge),2),ROUND(((1-IntPriorityDiscount-IntPriorityIncentive)*'Intl Priority'!O53)*(1+International_Fuel_Surcharge),2))</f>
        <v>266.37</v>
      </c>
      <c r="P56" s="231">
        <f>IF('Intl Priority'!$P$105&gt;ROUND(((1-IntPriorityDiscount-IntPriorityIncentive)*'Intl Priority'!P53),2),ROUND('Intl Priority'!$P$105*(1+International_Fuel_Surcharge),2),ROUND(((1-IntPriorityDiscount-IntPriorityIncentive)*'Intl Priority'!P53)*(1+International_Fuel_Surcharge),2))</f>
        <v>292.83</v>
      </c>
      <c r="Q56" s="231">
        <f>IF('Intl Priority'!$Q$105&gt;ROUND(((1-PuertoRicoDiscount)*'Intl Priority'!Q53),2),ROUND('Intl Priority'!$Q$105*(1+International_Fuel_Surcharge),2),ROUND(((1-PuertoRicoDiscount)*'Intl Priority'!Q53)*(1+International_Fuel_Surcharge),2))</f>
        <v>363.06</v>
      </c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2.75" customHeight="1">
      <c r="A57" s="217">
        <v>54</v>
      </c>
      <c r="B57" s="231">
        <f>IF('Intl Priority'!$B$105&gt;ROUND(((1-IntPriorityDiscount-IntPriorityIncentive)*'Intl Priority'!B54),2),ROUND('Intl Priority'!$B$105*(1+International_Fuel_Surcharge),2),ROUND(((1-IntPriorityDiscount-IntPriorityIncentive)*'Intl Priority'!B54)*(1+International_Fuel_Surcharge),2))</f>
        <v>131.46</v>
      </c>
      <c r="C57" s="231">
        <f>IF('Intl Priority'!$C$105&gt;ROUND(((1-IntPriorityDiscount-IntPriorityIncentive)*'Intl Priority'!C54),2),ROUND('Intl Priority'!$C$105*(1+International_Fuel_Surcharge),2),ROUND(((1-IntPriorityDiscount-IntPriorityIncentive)*'Intl Priority'!C54)*(1+International_Fuel_Surcharge),2))</f>
        <v>151.24</v>
      </c>
      <c r="D57" s="231">
        <f>IF('Intl Priority'!$D$105&gt;ROUND(((1-IntPriorityDiscount-IntPriorityIncentive)*'Intl Priority'!D54),2),ROUND('Intl Priority'!$D$105*(1+International_Fuel_Surcharge),2),ROUND(((1-IntPriorityDiscount-IntPriorityIncentive)*'Intl Priority'!D54)*(1+International_Fuel_Surcharge),2))</f>
        <v>150.47</v>
      </c>
      <c r="E57" s="231">
        <f>IF('Intl Priority'!$E$105&gt;ROUND(((1-IntPriorityDiscount-IntPriorityIncentive)*'Intl Priority'!E54),2),ROUND('Intl Priority'!$E$105*(1+International_Fuel_Surcharge),2),ROUND(((1-IntPriorityDiscount-IntPriorityIncentive)*'Intl Priority'!E54)*(1+International_Fuel_Surcharge),2))</f>
        <v>221.85</v>
      </c>
      <c r="F57" s="231">
        <f>IF('Intl Priority'!$F$105&gt;ROUND(((1-IntPriorityDiscount-IntPriorityIncentive)*'Intl Priority'!F54),2),ROUND('Intl Priority'!$F$105*(1+International_Fuel_Surcharge),2),ROUND(((1-IntPriorityDiscount-IntPriorityIncentive)*'Intl Priority'!F54)*(1+International_Fuel_Surcharge),2))</f>
        <v>401.18</v>
      </c>
      <c r="G57" s="231">
        <f>IF('Intl Priority'!$G$105&gt;ROUND(((1-IntPriorityDiscount-IntPriorityIncentive)*'Intl Priority'!G54),2),ROUND('Intl Priority'!$G$105*(1+International_Fuel_Surcharge),2),ROUND(((1-IntPriorityDiscount-IntPriorityIncentive)*'Intl Priority'!G54)*(1+International_Fuel_Surcharge),2))</f>
        <v>211.71</v>
      </c>
      <c r="H57" s="231">
        <f>IF('Intl Priority'!$H$105&gt;ROUND(((1-IntPriorityDiscount-IntPriorityIncentive)*'Intl Priority'!H54),2),ROUND('Intl Priority'!$H$105*(1+International_Fuel_Surcharge),2),ROUND(((1-IntPriorityDiscount-IntPriorityIncentive)*'Intl Priority'!H54)*(1+International_Fuel_Surcharge),2))</f>
        <v>217.01</v>
      </c>
      <c r="I57" s="231">
        <f>IF('Intl Priority'!$I$105&gt;ROUND(((1-IntPriorityDiscount-IntPriorityIncentive)*'Intl Priority'!I54),2),ROUND('Intl Priority'!$I$105*(1+International_Fuel_Surcharge),2),ROUND(((1-IntPriorityDiscount-IntPriorityIncentive)*'Intl Priority'!I54)*(1+International_Fuel_Surcharge),2))</f>
        <v>236.91</v>
      </c>
      <c r="J57" s="231">
        <f>IF('Intl Priority'!$J$105&gt;ROUND(((1-IntPriorityDiscount-IntPriorityIncentive)*'Intl Priority'!J54),2),ROUND('Intl Priority'!$J$105*(1+International_Fuel_Surcharge),2),ROUND(((1-IntPriorityDiscount-IntPriorityIncentive)*'Intl Priority'!J54)*(1+International_Fuel_Surcharge),2))</f>
        <v>175.89</v>
      </c>
      <c r="K57" s="231">
        <f>IF('Intl Priority'!$K$105&gt;ROUND(((1-IntPriorityDiscount-IntPriorityIncentive)*'Intl Priority'!K54),2),ROUND('Intl Priority'!$K$105*(1+International_Fuel_Surcharge),2),ROUND(((1-IntPriorityDiscount-IntPriorityIncentive)*'Intl Priority'!K54)*(1+International_Fuel_Surcharge),2))</f>
        <v>334.94</v>
      </c>
      <c r="L57" s="231">
        <f>IF('Intl Priority'!$L$105&gt;ROUND(((1-IntPriorityDiscount-IntPriorityIncentive)*'Intl Priority'!L54),2),ROUND('Intl Priority'!$L$105*(1+International_Fuel_Surcharge),2),ROUND(((1-IntPriorityDiscount-IntPriorityIncentive)*'Intl Priority'!L54)*(1+International_Fuel_Surcharge),2))</f>
        <v>278.62</v>
      </c>
      <c r="M57" s="231">
        <f>IF('Intl Priority'!$M$105&gt;ROUND(((1-IntPriorityDiscount-IntPriorityIncentive)*'Intl Priority'!M54),2),ROUND('Intl Priority'!$M$105*(1+International_Fuel_Surcharge),2),ROUND(((1-IntPriorityDiscount-IntPriorityIncentive)*'Intl Priority'!M54)*(1+International_Fuel_Surcharge),2))</f>
        <v>399.59</v>
      </c>
      <c r="N57" s="231">
        <f>IF('Intl Priority'!$N$105&gt;ROUND(((1-IntPriorityDiscount-IntPriorityIncentive)*'Intl Priority'!N54),2),ROUND('Intl Priority'!$N$105*(1+International_Fuel_Surcharge),2),ROUND(((1-IntPriorityDiscount-IntPriorityIncentive)*'Intl Priority'!N54)*(1+International_Fuel_Surcharge),2))</f>
        <v>407.8</v>
      </c>
      <c r="O57" s="231">
        <f>IF('Intl Priority'!$O$105&gt;ROUND(((1-IntPriorityDiscount-IntPriorityIncentive)*'Intl Priority'!O54),2),ROUND('Intl Priority'!$O$105*(1+International_Fuel_Surcharge),2),ROUND(((1-IntPriorityDiscount-IntPriorityIncentive)*'Intl Priority'!O54)*(1+International_Fuel_Surcharge),2))</f>
        <v>266.88</v>
      </c>
      <c r="P57" s="231">
        <f>IF('Intl Priority'!$P$105&gt;ROUND(((1-IntPriorityDiscount-IntPriorityIncentive)*'Intl Priority'!P54),2),ROUND('Intl Priority'!$P$105*(1+International_Fuel_Surcharge),2),ROUND(((1-IntPriorityDiscount-IntPriorityIncentive)*'Intl Priority'!P54)*(1+International_Fuel_Surcharge),2))</f>
        <v>295.95999999999998</v>
      </c>
      <c r="Q57" s="231">
        <f>IF('Intl Priority'!$Q$105&gt;ROUND(((1-PuertoRicoDiscount)*'Intl Priority'!Q54),2),ROUND('Intl Priority'!$Q$105*(1+International_Fuel_Surcharge),2),ROUND(((1-PuertoRicoDiscount)*'Intl Priority'!Q54)*(1+International_Fuel_Surcharge),2))</f>
        <v>370.38</v>
      </c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2.75" customHeight="1">
      <c r="A58" s="217">
        <v>56</v>
      </c>
      <c r="B58" s="231">
        <f>IF('Intl Priority'!$B$105&gt;ROUND(((1-IntPriorityDiscount-IntPriorityIncentive)*'Intl Priority'!B55),2),ROUND('Intl Priority'!$B$105*(1+International_Fuel_Surcharge),2),ROUND(((1-IntPriorityDiscount-IntPriorityIncentive)*'Intl Priority'!B55)*(1+International_Fuel_Surcharge),2))</f>
        <v>131.52000000000001</v>
      </c>
      <c r="C58" s="231">
        <f>IF('Intl Priority'!$C$105&gt;ROUND(((1-IntPriorityDiscount-IntPriorityIncentive)*'Intl Priority'!C55),2),ROUND('Intl Priority'!$C$105*(1+International_Fuel_Surcharge),2),ROUND(((1-IntPriorityDiscount-IntPriorityIncentive)*'Intl Priority'!C55)*(1+International_Fuel_Surcharge),2))</f>
        <v>152.28</v>
      </c>
      <c r="D58" s="231">
        <f>IF('Intl Priority'!$D$105&gt;ROUND(((1-IntPriorityDiscount-IntPriorityIncentive)*'Intl Priority'!D55),2),ROUND('Intl Priority'!$D$105*(1+International_Fuel_Surcharge),2),ROUND(((1-IntPriorityDiscount-IntPriorityIncentive)*'Intl Priority'!D55)*(1+International_Fuel_Surcharge),2))</f>
        <v>156.29</v>
      </c>
      <c r="E58" s="231">
        <f>IF('Intl Priority'!$E$105&gt;ROUND(((1-IntPriorityDiscount-IntPriorityIncentive)*'Intl Priority'!E55),2),ROUND('Intl Priority'!$E$105*(1+International_Fuel_Surcharge),2),ROUND(((1-IntPriorityDiscount-IntPriorityIncentive)*'Intl Priority'!E55)*(1+International_Fuel_Surcharge),2))</f>
        <v>222.12</v>
      </c>
      <c r="F58" s="231">
        <f>IF('Intl Priority'!$F$105&gt;ROUND(((1-IntPriorityDiscount-IntPriorityIncentive)*'Intl Priority'!F55),2),ROUND('Intl Priority'!$F$105*(1+International_Fuel_Surcharge),2),ROUND(((1-IntPriorityDiscount-IntPriorityIncentive)*'Intl Priority'!F55)*(1+International_Fuel_Surcharge),2))</f>
        <v>401.29</v>
      </c>
      <c r="G58" s="231">
        <f>IF('Intl Priority'!$G$105&gt;ROUND(((1-IntPriorityDiscount-IntPriorityIncentive)*'Intl Priority'!G55),2),ROUND('Intl Priority'!$G$105*(1+International_Fuel_Surcharge),2),ROUND(((1-IntPriorityDiscount-IntPriorityIncentive)*'Intl Priority'!G55)*(1+International_Fuel_Surcharge),2))</f>
        <v>215.29</v>
      </c>
      <c r="H58" s="231">
        <f>IF('Intl Priority'!$H$105&gt;ROUND(((1-IntPriorityDiscount-IntPriorityIncentive)*'Intl Priority'!H55),2),ROUND('Intl Priority'!$H$105*(1+International_Fuel_Surcharge),2),ROUND(((1-IntPriorityDiscount-IntPriorityIncentive)*'Intl Priority'!H55)*(1+International_Fuel_Surcharge),2))</f>
        <v>217.56</v>
      </c>
      <c r="I58" s="231">
        <f>IF('Intl Priority'!$I$105&gt;ROUND(((1-IntPriorityDiscount-IntPriorityIncentive)*'Intl Priority'!I55),2),ROUND('Intl Priority'!$I$105*(1+International_Fuel_Surcharge),2),ROUND(((1-IntPriorityDiscount-IntPriorityIncentive)*'Intl Priority'!I55)*(1+International_Fuel_Surcharge),2))</f>
        <v>249.67</v>
      </c>
      <c r="J58" s="231">
        <f>IF('Intl Priority'!$J$105&gt;ROUND(((1-IntPriorityDiscount-IntPriorityIncentive)*'Intl Priority'!J55),2),ROUND('Intl Priority'!$J$105*(1+International_Fuel_Surcharge),2),ROUND(((1-IntPriorityDiscount-IntPriorityIncentive)*'Intl Priority'!J55)*(1+International_Fuel_Surcharge),2))</f>
        <v>176.06</v>
      </c>
      <c r="K58" s="231">
        <f>IF('Intl Priority'!$K$105&gt;ROUND(((1-IntPriorityDiscount-IntPriorityIncentive)*'Intl Priority'!K55),2),ROUND('Intl Priority'!$K$105*(1+International_Fuel_Surcharge),2),ROUND(((1-IntPriorityDiscount-IntPriorityIncentive)*'Intl Priority'!K55)*(1+International_Fuel_Surcharge),2))</f>
        <v>336.16</v>
      </c>
      <c r="L58" s="231">
        <f>IF('Intl Priority'!$L$105&gt;ROUND(((1-IntPriorityDiscount-IntPriorityIncentive)*'Intl Priority'!L55),2),ROUND('Intl Priority'!$L$105*(1+International_Fuel_Surcharge),2),ROUND(((1-IntPriorityDiscount-IntPriorityIncentive)*'Intl Priority'!L55)*(1+International_Fuel_Surcharge),2))</f>
        <v>285.87</v>
      </c>
      <c r="M58" s="231">
        <f>IF('Intl Priority'!$M$105&gt;ROUND(((1-IntPriorityDiscount-IntPriorityIncentive)*'Intl Priority'!M55),2),ROUND('Intl Priority'!$M$105*(1+International_Fuel_Surcharge),2),ROUND(((1-IntPriorityDiscount-IntPriorityIncentive)*'Intl Priority'!M55)*(1+International_Fuel_Surcharge),2))</f>
        <v>401.83</v>
      </c>
      <c r="N58" s="231">
        <f>IF('Intl Priority'!$N$105&gt;ROUND(((1-IntPriorityDiscount-IntPriorityIncentive)*'Intl Priority'!N55),2),ROUND('Intl Priority'!$N$105*(1+International_Fuel_Surcharge),2),ROUND(((1-IntPriorityDiscount-IntPriorityIncentive)*'Intl Priority'!N55)*(1+International_Fuel_Surcharge),2))</f>
        <v>411.08</v>
      </c>
      <c r="O58" s="231">
        <f>IF('Intl Priority'!$O$105&gt;ROUND(((1-IntPriorityDiscount-IntPriorityIncentive)*'Intl Priority'!O55),2),ROUND('Intl Priority'!$O$105*(1+International_Fuel_Surcharge),2),ROUND(((1-IntPriorityDiscount-IntPriorityIncentive)*'Intl Priority'!O55)*(1+International_Fuel_Surcharge),2))</f>
        <v>277.07</v>
      </c>
      <c r="P58" s="231">
        <f>IF('Intl Priority'!$P$105&gt;ROUND(((1-IntPriorityDiscount-IntPriorityIncentive)*'Intl Priority'!P55),2),ROUND('Intl Priority'!$P$105*(1+International_Fuel_Surcharge),2),ROUND(((1-IntPriorityDiscount-IntPriorityIncentive)*'Intl Priority'!P55)*(1+International_Fuel_Surcharge),2))</f>
        <v>307.60000000000002</v>
      </c>
      <c r="Q58" s="231">
        <f>IF('Intl Priority'!$Q$105&gt;ROUND(((1-PuertoRicoDiscount)*'Intl Priority'!Q55),2),ROUND('Intl Priority'!$Q$105*(1+International_Fuel_Surcharge),2),ROUND(((1-PuertoRicoDiscount)*'Intl Priority'!Q55)*(1+International_Fuel_Surcharge),2))</f>
        <v>376.59</v>
      </c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2.75" customHeight="1">
      <c r="A59" s="217">
        <v>58</v>
      </c>
      <c r="B59" s="231">
        <f>IF('Intl Priority'!$B$105&gt;ROUND(((1-IntPriorityDiscount-IntPriorityIncentive)*'Intl Priority'!B56),2),ROUND('Intl Priority'!$B$105*(1+International_Fuel_Surcharge),2),ROUND(((1-IntPriorityDiscount-IntPriorityIncentive)*'Intl Priority'!B56)*(1+International_Fuel_Surcharge),2))</f>
        <v>131.58000000000001</v>
      </c>
      <c r="C59" s="231">
        <f>IF('Intl Priority'!$C$105&gt;ROUND(((1-IntPriorityDiscount-IntPriorityIncentive)*'Intl Priority'!C56),2),ROUND('Intl Priority'!$C$105*(1+International_Fuel_Surcharge),2),ROUND(((1-IntPriorityDiscount-IntPriorityIncentive)*'Intl Priority'!C56)*(1+International_Fuel_Surcharge),2))</f>
        <v>153.55000000000001</v>
      </c>
      <c r="D59" s="231">
        <f>IF('Intl Priority'!$D$105&gt;ROUND(((1-IntPriorityDiscount-IntPriorityIncentive)*'Intl Priority'!D56),2),ROUND('Intl Priority'!$D$105*(1+International_Fuel_Surcharge),2),ROUND(((1-IntPriorityDiscount-IntPriorityIncentive)*'Intl Priority'!D56)*(1+International_Fuel_Surcharge),2))</f>
        <v>157.85</v>
      </c>
      <c r="E59" s="231">
        <f>IF('Intl Priority'!$E$105&gt;ROUND(((1-IntPriorityDiscount-IntPriorityIncentive)*'Intl Priority'!E56),2),ROUND('Intl Priority'!$E$105*(1+International_Fuel_Surcharge),2),ROUND(((1-IntPriorityDiscount-IntPriorityIncentive)*'Intl Priority'!E56)*(1+International_Fuel_Surcharge),2))</f>
        <v>226.6</v>
      </c>
      <c r="F59" s="231">
        <f>IF('Intl Priority'!$F$105&gt;ROUND(((1-IntPriorityDiscount-IntPriorityIncentive)*'Intl Priority'!F56),2),ROUND('Intl Priority'!$F$105*(1+International_Fuel_Surcharge),2),ROUND(((1-IntPriorityDiscount-IntPriorityIncentive)*'Intl Priority'!F56)*(1+International_Fuel_Surcharge),2))</f>
        <v>401.76</v>
      </c>
      <c r="G59" s="231">
        <f>IF('Intl Priority'!$G$105&gt;ROUND(((1-IntPriorityDiscount-IntPriorityIncentive)*'Intl Priority'!G56),2),ROUND('Intl Priority'!$G$105*(1+International_Fuel_Surcharge),2),ROUND(((1-IntPriorityDiscount-IntPriorityIncentive)*'Intl Priority'!G56)*(1+International_Fuel_Surcharge),2))</f>
        <v>218.67</v>
      </c>
      <c r="H59" s="231">
        <f>IF('Intl Priority'!$H$105&gt;ROUND(((1-IntPriorityDiscount-IntPriorityIncentive)*'Intl Priority'!H56),2),ROUND('Intl Priority'!$H$105*(1+International_Fuel_Surcharge),2),ROUND(((1-IntPriorityDiscount-IntPriorityIncentive)*'Intl Priority'!H56)*(1+International_Fuel_Surcharge),2))</f>
        <v>217.78</v>
      </c>
      <c r="I59" s="231">
        <f>IF('Intl Priority'!$I$105&gt;ROUND(((1-IntPriorityDiscount-IntPriorityIncentive)*'Intl Priority'!I56),2),ROUND('Intl Priority'!$I$105*(1+International_Fuel_Surcharge),2),ROUND(((1-IntPriorityDiscount-IntPriorityIncentive)*'Intl Priority'!I56)*(1+International_Fuel_Surcharge),2))</f>
        <v>250.95</v>
      </c>
      <c r="J59" s="231">
        <f>IF('Intl Priority'!$J$105&gt;ROUND(((1-IntPriorityDiscount-IntPriorityIncentive)*'Intl Priority'!J56),2),ROUND('Intl Priority'!$J$105*(1+International_Fuel_Surcharge),2),ROUND(((1-IntPriorityDiscount-IntPriorityIncentive)*'Intl Priority'!J56)*(1+International_Fuel_Surcharge),2))</f>
        <v>176.13</v>
      </c>
      <c r="K59" s="231">
        <f>IF('Intl Priority'!$K$105&gt;ROUND(((1-IntPriorityDiscount-IntPriorityIncentive)*'Intl Priority'!K56),2),ROUND('Intl Priority'!$K$105*(1+International_Fuel_Surcharge),2),ROUND(((1-IntPriorityDiscount-IntPriorityIncentive)*'Intl Priority'!K56)*(1+International_Fuel_Surcharge),2))</f>
        <v>340.36</v>
      </c>
      <c r="L59" s="231">
        <f>IF('Intl Priority'!$L$105&gt;ROUND(((1-IntPriorityDiscount-IntPriorityIncentive)*'Intl Priority'!L56),2),ROUND('Intl Priority'!$L$105*(1+International_Fuel_Surcharge),2),ROUND(((1-IntPriorityDiscount-IntPriorityIncentive)*'Intl Priority'!L56)*(1+International_Fuel_Surcharge),2))</f>
        <v>286.58999999999997</v>
      </c>
      <c r="M59" s="231">
        <f>IF('Intl Priority'!$M$105&gt;ROUND(((1-IntPriorityDiscount-IntPriorityIncentive)*'Intl Priority'!M56),2),ROUND('Intl Priority'!$M$105*(1+International_Fuel_Surcharge),2),ROUND(((1-IntPriorityDiscount-IntPriorityIncentive)*'Intl Priority'!M56)*(1+International_Fuel_Surcharge),2))</f>
        <v>402.3</v>
      </c>
      <c r="N59" s="231">
        <f>IF('Intl Priority'!$N$105&gt;ROUND(((1-IntPriorityDiscount-IntPriorityIncentive)*'Intl Priority'!N56),2),ROUND('Intl Priority'!$N$105*(1+International_Fuel_Surcharge),2),ROUND(((1-IntPriorityDiscount-IntPriorityIncentive)*'Intl Priority'!N56)*(1+International_Fuel_Surcharge),2))</f>
        <v>411.41</v>
      </c>
      <c r="O59" s="231">
        <f>IF('Intl Priority'!$O$105&gt;ROUND(((1-IntPriorityDiscount-IntPriorityIncentive)*'Intl Priority'!O56),2),ROUND('Intl Priority'!$O$105*(1+International_Fuel_Surcharge),2),ROUND(((1-IntPriorityDiscount-IntPriorityIncentive)*'Intl Priority'!O56)*(1+International_Fuel_Surcharge),2))</f>
        <v>278.08999999999997</v>
      </c>
      <c r="P59" s="231">
        <f>IF('Intl Priority'!$P$105&gt;ROUND(((1-IntPriorityDiscount-IntPriorityIncentive)*'Intl Priority'!P56),2),ROUND('Intl Priority'!$P$105*(1+International_Fuel_Surcharge),2),ROUND(((1-IntPriorityDiscount-IntPriorityIncentive)*'Intl Priority'!P56)*(1+International_Fuel_Surcharge),2))</f>
        <v>308.77</v>
      </c>
      <c r="Q59" s="231">
        <f>IF('Intl Priority'!$Q$105&gt;ROUND(((1-PuertoRicoDiscount)*'Intl Priority'!Q56),2),ROUND('Intl Priority'!$Q$105*(1+International_Fuel_Surcharge),2),ROUND(((1-PuertoRicoDiscount)*'Intl Priority'!Q56)*(1+International_Fuel_Surcharge),2))</f>
        <v>383.66</v>
      </c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2.75" customHeight="1">
      <c r="A60" s="217">
        <v>60</v>
      </c>
      <c r="B60" s="231">
        <f>IF('Intl Priority'!$B$105&gt;ROUND(((1-IntPriorityDiscount-IntPriorityIncentive)*'Intl Priority'!B57),2),ROUND('Intl Priority'!$B$105*(1+International_Fuel_Surcharge),2),ROUND(((1-IntPriorityDiscount-IntPriorityIncentive)*'Intl Priority'!B57)*(1+International_Fuel_Surcharge),2))</f>
        <v>131.63999999999999</v>
      </c>
      <c r="C60" s="231">
        <f>IF('Intl Priority'!$C$105&gt;ROUND(((1-IntPriorityDiscount-IntPriorityIncentive)*'Intl Priority'!C57),2),ROUND('Intl Priority'!$C$105*(1+International_Fuel_Surcharge),2),ROUND(((1-IntPriorityDiscount-IntPriorityIncentive)*'Intl Priority'!C57)*(1+International_Fuel_Surcharge),2))</f>
        <v>155.02000000000001</v>
      </c>
      <c r="D60" s="231">
        <f>IF('Intl Priority'!$D$105&gt;ROUND(((1-IntPriorityDiscount-IntPriorityIncentive)*'Intl Priority'!D57),2),ROUND('Intl Priority'!$D$105*(1+International_Fuel_Surcharge),2),ROUND(((1-IntPriorityDiscount-IntPriorityIncentive)*'Intl Priority'!D57)*(1+International_Fuel_Surcharge),2))</f>
        <v>159.41999999999999</v>
      </c>
      <c r="E60" s="231">
        <f>IF('Intl Priority'!$E$105&gt;ROUND(((1-IntPriorityDiscount-IntPriorityIncentive)*'Intl Priority'!E57),2),ROUND('Intl Priority'!$E$105*(1+International_Fuel_Surcharge),2),ROUND(((1-IntPriorityDiscount-IntPriorityIncentive)*'Intl Priority'!E57)*(1+International_Fuel_Surcharge),2))</f>
        <v>230.14</v>
      </c>
      <c r="F60" s="231">
        <f>IF('Intl Priority'!$F$105&gt;ROUND(((1-IntPriorityDiscount-IntPriorityIncentive)*'Intl Priority'!F57),2),ROUND('Intl Priority'!$F$105*(1+International_Fuel_Surcharge),2),ROUND(((1-IntPriorityDiscount-IntPriorityIncentive)*'Intl Priority'!F57)*(1+International_Fuel_Surcharge),2))</f>
        <v>408.62</v>
      </c>
      <c r="G60" s="231">
        <f>IF('Intl Priority'!$G$105&gt;ROUND(((1-IntPriorityDiscount-IntPriorityIncentive)*'Intl Priority'!G57),2),ROUND('Intl Priority'!$G$105*(1+International_Fuel_Surcharge),2),ROUND(((1-IntPriorityDiscount-IntPriorityIncentive)*'Intl Priority'!G57)*(1+International_Fuel_Surcharge),2))</f>
        <v>222.07</v>
      </c>
      <c r="H60" s="231">
        <f>IF('Intl Priority'!$H$105&gt;ROUND(((1-IntPriorityDiscount-IntPriorityIncentive)*'Intl Priority'!H57),2),ROUND('Intl Priority'!$H$105*(1+International_Fuel_Surcharge),2),ROUND(((1-IntPriorityDiscount-IntPriorityIncentive)*'Intl Priority'!H57)*(1+International_Fuel_Surcharge),2))</f>
        <v>221.81</v>
      </c>
      <c r="I60" s="231">
        <f>IF('Intl Priority'!$I$105&gt;ROUND(((1-IntPriorityDiscount-IntPriorityIncentive)*'Intl Priority'!I57),2),ROUND('Intl Priority'!$I$105*(1+International_Fuel_Surcharge),2),ROUND(((1-IntPriorityDiscount-IntPriorityIncentive)*'Intl Priority'!I57)*(1+International_Fuel_Surcharge),2))</f>
        <v>251.29</v>
      </c>
      <c r="J60" s="231">
        <f>IF('Intl Priority'!$J$105&gt;ROUND(((1-IntPriorityDiscount-IntPriorityIncentive)*'Intl Priority'!J57),2),ROUND('Intl Priority'!$J$105*(1+International_Fuel_Surcharge),2),ROUND(((1-IntPriorityDiscount-IntPriorityIncentive)*'Intl Priority'!J57)*(1+International_Fuel_Surcharge),2))</f>
        <v>177.12</v>
      </c>
      <c r="K60" s="231">
        <f>IF('Intl Priority'!$K$105&gt;ROUND(((1-IntPriorityDiscount-IntPriorityIncentive)*'Intl Priority'!K57),2),ROUND('Intl Priority'!$K$105*(1+International_Fuel_Surcharge),2),ROUND(((1-IntPriorityDiscount-IntPriorityIncentive)*'Intl Priority'!K57)*(1+International_Fuel_Surcharge),2))</f>
        <v>346.81</v>
      </c>
      <c r="L60" s="231">
        <f>IF('Intl Priority'!$L$105&gt;ROUND(((1-IntPriorityDiscount-IntPriorityIncentive)*'Intl Priority'!L57),2),ROUND('Intl Priority'!$L$105*(1+International_Fuel_Surcharge),2),ROUND(((1-IntPriorityDiscount-IntPriorityIncentive)*'Intl Priority'!L57)*(1+International_Fuel_Surcharge),2))</f>
        <v>286.67</v>
      </c>
      <c r="M60" s="231">
        <f>IF('Intl Priority'!$M$105&gt;ROUND(((1-IntPriorityDiscount-IntPriorityIncentive)*'Intl Priority'!M57),2),ROUND('Intl Priority'!$M$105*(1+International_Fuel_Surcharge),2),ROUND(((1-IntPriorityDiscount-IntPriorityIncentive)*'Intl Priority'!M57)*(1+International_Fuel_Surcharge),2))</f>
        <v>411.62</v>
      </c>
      <c r="N60" s="231">
        <f>IF('Intl Priority'!$N$105&gt;ROUND(((1-IntPriorityDiscount-IntPriorityIncentive)*'Intl Priority'!N57),2),ROUND('Intl Priority'!$N$105*(1+International_Fuel_Surcharge),2),ROUND(((1-IntPriorityDiscount-IntPriorityIncentive)*'Intl Priority'!N57)*(1+International_Fuel_Surcharge),2))</f>
        <v>411.47</v>
      </c>
      <c r="O60" s="231">
        <f>IF('Intl Priority'!$O$105&gt;ROUND(((1-IntPriorityDiscount-IntPriorityIncentive)*'Intl Priority'!O57),2),ROUND('Intl Priority'!$O$105*(1+International_Fuel_Surcharge),2),ROUND(((1-IntPriorityDiscount-IntPriorityIncentive)*'Intl Priority'!O57)*(1+International_Fuel_Surcharge),2))</f>
        <v>284.32</v>
      </c>
      <c r="P60" s="231">
        <f>IF('Intl Priority'!$P$105&gt;ROUND(((1-IntPriorityDiscount-IntPriorityIncentive)*'Intl Priority'!P57),2),ROUND('Intl Priority'!$P$105*(1+International_Fuel_Surcharge),2),ROUND(((1-IntPriorityDiscount-IntPriorityIncentive)*'Intl Priority'!P57)*(1+International_Fuel_Surcharge),2))</f>
        <v>310.89999999999998</v>
      </c>
      <c r="Q60" s="231">
        <f>IF('Intl Priority'!$Q$105&gt;ROUND(((1-PuertoRicoDiscount)*'Intl Priority'!Q57),2),ROUND('Intl Priority'!$Q$105*(1+International_Fuel_Surcharge),2),ROUND(((1-PuertoRicoDiscount)*'Intl Priority'!Q57)*(1+International_Fuel_Surcharge),2))</f>
        <v>389.61</v>
      </c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2.75" customHeight="1">
      <c r="A61" s="217">
        <v>62</v>
      </c>
      <c r="B61" s="231">
        <f>IF('Intl Priority'!$B$105&gt;ROUND(((1-IntPriorityDiscount-IntPriorityIncentive)*'Intl Priority'!B58),2),ROUND('Intl Priority'!$B$105*(1+International_Fuel_Surcharge),2),ROUND(((1-IntPriorityDiscount-IntPriorityIncentive)*'Intl Priority'!B58)*(1+International_Fuel_Surcharge),2))</f>
        <v>131.71</v>
      </c>
      <c r="C61" s="231">
        <f>IF('Intl Priority'!$C$105&gt;ROUND(((1-IntPriorityDiscount-IntPriorityIncentive)*'Intl Priority'!C58),2),ROUND('Intl Priority'!$C$105*(1+International_Fuel_Surcharge),2),ROUND(((1-IntPriorityDiscount-IntPriorityIncentive)*'Intl Priority'!C58)*(1+International_Fuel_Surcharge),2))</f>
        <v>156.5</v>
      </c>
      <c r="D61" s="231">
        <f>IF('Intl Priority'!$D$105&gt;ROUND(((1-IntPriorityDiscount-IntPriorityIncentive)*'Intl Priority'!D58),2),ROUND('Intl Priority'!$D$105*(1+International_Fuel_Surcharge),2),ROUND(((1-IntPriorityDiscount-IntPriorityIncentive)*'Intl Priority'!D58)*(1+International_Fuel_Surcharge),2))</f>
        <v>160.84</v>
      </c>
      <c r="E61" s="231">
        <f>IF('Intl Priority'!$E$105&gt;ROUND(((1-IntPriorityDiscount-IntPriorityIncentive)*'Intl Priority'!E58),2),ROUND('Intl Priority'!$E$105*(1+International_Fuel_Surcharge),2),ROUND(((1-IntPriorityDiscount-IntPriorityIncentive)*'Intl Priority'!E58)*(1+International_Fuel_Surcharge),2))</f>
        <v>233.68</v>
      </c>
      <c r="F61" s="231">
        <f>IF('Intl Priority'!$F$105&gt;ROUND(((1-IntPriorityDiscount-IntPriorityIncentive)*'Intl Priority'!F58),2),ROUND('Intl Priority'!$F$105*(1+International_Fuel_Surcharge),2),ROUND(((1-IntPriorityDiscount-IntPriorityIncentive)*'Intl Priority'!F58)*(1+International_Fuel_Surcharge),2))</f>
        <v>415.47</v>
      </c>
      <c r="G61" s="231">
        <f>IF('Intl Priority'!$G$105&gt;ROUND(((1-IntPriorityDiscount-IntPriorityIncentive)*'Intl Priority'!G58),2),ROUND('Intl Priority'!$G$105*(1+International_Fuel_Surcharge),2),ROUND(((1-IntPriorityDiscount-IntPriorityIncentive)*'Intl Priority'!G58)*(1+International_Fuel_Surcharge),2))</f>
        <v>225.47</v>
      </c>
      <c r="H61" s="231">
        <f>IF('Intl Priority'!$H$105&gt;ROUND(((1-IntPriorityDiscount-IntPriorityIncentive)*'Intl Priority'!H58),2),ROUND('Intl Priority'!$H$105*(1+International_Fuel_Surcharge),2),ROUND(((1-IntPriorityDiscount-IntPriorityIncentive)*'Intl Priority'!H58)*(1+International_Fuel_Surcharge),2))</f>
        <v>226.26</v>
      </c>
      <c r="I61" s="231">
        <f>IF('Intl Priority'!$I$105&gt;ROUND(((1-IntPriorityDiscount-IntPriorityIncentive)*'Intl Priority'!I58),2),ROUND('Intl Priority'!$I$105*(1+International_Fuel_Surcharge),2),ROUND(((1-IntPriorityDiscount-IntPriorityIncentive)*'Intl Priority'!I58)*(1+International_Fuel_Surcharge),2))</f>
        <v>251.63</v>
      </c>
      <c r="J61" s="231">
        <f>IF('Intl Priority'!$J$105&gt;ROUND(((1-IntPriorityDiscount-IntPriorityIncentive)*'Intl Priority'!J58),2),ROUND('Intl Priority'!$J$105*(1+International_Fuel_Surcharge),2),ROUND(((1-IntPriorityDiscount-IntPriorityIncentive)*'Intl Priority'!J58)*(1+International_Fuel_Surcharge),2))</f>
        <v>178.11</v>
      </c>
      <c r="K61" s="231">
        <f>IF('Intl Priority'!$K$105&gt;ROUND(((1-IntPriorityDiscount-IntPriorityIncentive)*'Intl Priority'!K58),2),ROUND('Intl Priority'!$K$105*(1+International_Fuel_Surcharge),2),ROUND(((1-IntPriorityDiscount-IntPriorityIncentive)*'Intl Priority'!K58)*(1+International_Fuel_Surcharge),2))</f>
        <v>353.25</v>
      </c>
      <c r="L61" s="231">
        <f>IF('Intl Priority'!$L$105&gt;ROUND(((1-IntPriorityDiscount-IntPriorityIncentive)*'Intl Priority'!L58),2),ROUND('Intl Priority'!$L$105*(1+International_Fuel_Surcharge),2),ROUND(((1-IntPriorityDiscount-IntPriorityIncentive)*'Intl Priority'!L58)*(1+International_Fuel_Surcharge),2))</f>
        <v>286.74</v>
      </c>
      <c r="M61" s="231">
        <f>IF('Intl Priority'!$M$105&gt;ROUND(((1-IntPriorityDiscount-IntPriorityIncentive)*'Intl Priority'!M58),2),ROUND('Intl Priority'!$M$105*(1+International_Fuel_Surcharge),2),ROUND(((1-IntPriorityDiscount-IntPriorityIncentive)*'Intl Priority'!M58)*(1+International_Fuel_Surcharge),2))</f>
        <v>420.95</v>
      </c>
      <c r="N61" s="231">
        <f>IF('Intl Priority'!$N$105&gt;ROUND(((1-IntPriorityDiscount-IntPriorityIncentive)*'Intl Priority'!N58),2),ROUND('Intl Priority'!$N$105*(1+International_Fuel_Surcharge),2),ROUND(((1-IntPriorityDiscount-IntPriorityIncentive)*'Intl Priority'!N58)*(1+International_Fuel_Surcharge),2))</f>
        <v>411.52</v>
      </c>
      <c r="O61" s="231">
        <f>IF('Intl Priority'!$O$105&gt;ROUND(((1-IntPriorityDiscount-IntPriorityIncentive)*'Intl Priority'!O58),2),ROUND('Intl Priority'!$O$105*(1+International_Fuel_Surcharge),2),ROUND(((1-IntPriorityDiscount-IntPriorityIncentive)*'Intl Priority'!O58)*(1+International_Fuel_Surcharge),2))</f>
        <v>290.54000000000002</v>
      </c>
      <c r="P61" s="231">
        <f>IF('Intl Priority'!$P$105&gt;ROUND(((1-IntPriorityDiscount-IntPriorityIncentive)*'Intl Priority'!P58),2),ROUND('Intl Priority'!$P$105*(1+International_Fuel_Surcharge),2),ROUND(((1-IntPriorityDiscount-IntPriorityIncentive)*'Intl Priority'!P58)*(1+International_Fuel_Surcharge),2))</f>
        <v>313.02</v>
      </c>
      <c r="Q61" s="231">
        <f>IF('Intl Priority'!$Q$105&gt;ROUND(((1-PuertoRicoDiscount)*'Intl Priority'!Q58),2),ROUND('Intl Priority'!$Q$105*(1+International_Fuel_Surcharge),2),ROUND(((1-PuertoRicoDiscount)*'Intl Priority'!Q58)*(1+International_Fuel_Surcharge),2))</f>
        <v>395.81</v>
      </c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2.75" customHeight="1">
      <c r="A62" s="217">
        <v>64</v>
      </c>
      <c r="B62" s="231">
        <f>IF('Intl Priority'!$B$105&gt;ROUND(((1-IntPriorityDiscount-IntPriorityIncentive)*'Intl Priority'!B59),2),ROUND('Intl Priority'!$B$105*(1+International_Fuel_Surcharge),2),ROUND(((1-IntPriorityDiscount-IntPriorityIncentive)*'Intl Priority'!B59)*(1+International_Fuel_Surcharge),2))</f>
        <v>131.77000000000001</v>
      </c>
      <c r="C62" s="231">
        <f>IF('Intl Priority'!$C$105&gt;ROUND(((1-IntPriorityDiscount-IntPriorityIncentive)*'Intl Priority'!C59),2),ROUND('Intl Priority'!$C$105*(1+International_Fuel_Surcharge),2),ROUND(((1-IntPriorityDiscount-IntPriorityIncentive)*'Intl Priority'!C59)*(1+International_Fuel_Surcharge),2))</f>
        <v>157.97</v>
      </c>
      <c r="D62" s="231">
        <f>IF('Intl Priority'!$D$105&gt;ROUND(((1-IntPriorityDiscount-IntPriorityIncentive)*'Intl Priority'!D59),2),ROUND('Intl Priority'!$D$105*(1+International_Fuel_Surcharge),2),ROUND(((1-IntPriorityDiscount-IntPriorityIncentive)*'Intl Priority'!D59)*(1+International_Fuel_Surcharge),2))</f>
        <v>162.4</v>
      </c>
      <c r="E62" s="231">
        <f>IF('Intl Priority'!$E$105&gt;ROUND(((1-IntPriorityDiscount-IntPriorityIncentive)*'Intl Priority'!E59),2),ROUND('Intl Priority'!$E$105*(1+International_Fuel_Surcharge),2),ROUND(((1-IntPriorityDiscount-IntPriorityIncentive)*'Intl Priority'!E59)*(1+International_Fuel_Surcharge),2))</f>
        <v>237.22</v>
      </c>
      <c r="F62" s="231">
        <f>IF('Intl Priority'!$F$105&gt;ROUND(((1-IntPriorityDiscount-IntPriorityIncentive)*'Intl Priority'!F59),2),ROUND('Intl Priority'!$F$105*(1+International_Fuel_Surcharge),2),ROUND(((1-IntPriorityDiscount-IntPriorityIncentive)*'Intl Priority'!F59)*(1+International_Fuel_Surcharge),2))</f>
        <v>422.33</v>
      </c>
      <c r="G62" s="231">
        <f>IF('Intl Priority'!$G$105&gt;ROUND(((1-IntPriorityDiscount-IntPriorityIncentive)*'Intl Priority'!G59),2),ROUND('Intl Priority'!$G$105*(1+International_Fuel_Surcharge),2),ROUND(((1-IntPriorityDiscount-IntPriorityIncentive)*'Intl Priority'!G59)*(1+International_Fuel_Surcharge),2))</f>
        <v>228.87</v>
      </c>
      <c r="H62" s="231">
        <f>IF('Intl Priority'!$H$105&gt;ROUND(((1-IntPriorityDiscount-IntPriorityIncentive)*'Intl Priority'!H59),2),ROUND('Intl Priority'!$H$105*(1+International_Fuel_Surcharge),2),ROUND(((1-IntPriorityDiscount-IntPriorityIncentive)*'Intl Priority'!H59)*(1+International_Fuel_Surcharge),2))</f>
        <v>230.5</v>
      </c>
      <c r="I62" s="231">
        <f>IF('Intl Priority'!$I$105&gt;ROUND(((1-IntPriorityDiscount-IntPriorityIncentive)*'Intl Priority'!I59),2),ROUND('Intl Priority'!$I$105*(1+International_Fuel_Surcharge),2),ROUND(((1-IntPriorityDiscount-IntPriorityIncentive)*'Intl Priority'!I59)*(1+International_Fuel_Surcharge),2))</f>
        <v>251.97</v>
      </c>
      <c r="J62" s="231">
        <f>IF('Intl Priority'!$J$105&gt;ROUND(((1-IntPriorityDiscount-IntPriorityIncentive)*'Intl Priority'!J59),2),ROUND('Intl Priority'!$J$105*(1+International_Fuel_Surcharge),2),ROUND(((1-IntPriorityDiscount-IntPriorityIncentive)*'Intl Priority'!J59)*(1+International_Fuel_Surcharge),2))</f>
        <v>179.11</v>
      </c>
      <c r="K62" s="231">
        <f>IF('Intl Priority'!$K$105&gt;ROUND(((1-IntPriorityDiscount-IntPriorityIncentive)*'Intl Priority'!K59),2),ROUND('Intl Priority'!$K$105*(1+International_Fuel_Surcharge),2),ROUND(((1-IntPriorityDiscount-IntPriorityIncentive)*'Intl Priority'!K59)*(1+International_Fuel_Surcharge),2))</f>
        <v>359.7</v>
      </c>
      <c r="L62" s="231">
        <f>IF('Intl Priority'!$L$105&gt;ROUND(((1-IntPriorityDiscount-IntPriorityIncentive)*'Intl Priority'!L59),2),ROUND('Intl Priority'!$L$105*(1+International_Fuel_Surcharge),2),ROUND(((1-IntPriorityDiscount-IntPriorityIncentive)*'Intl Priority'!L59)*(1+International_Fuel_Surcharge),2))</f>
        <v>286.82</v>
      </c>
      <c r="M62" s="231">
        <f>IF('Intl Priority'!$M$105&gt;ROUND(((1-IntPriorityDiscount-IntPriorityIncentive)*'Intl Priority'!M59),2),ROUND('Intl Priority'!$M$105*(1+International_Fuel_Surcharge),2),ROUND(((1-IntPriorityDiscount-IntPriorityIncentive)*'Intl Priority'!M59)*(1+International_Fuel_Surcharge),2))</f>
        <v>430.28</v>
      </c>
      <c r="N62" s="231">
        <f>IF('Intl Priority'!$N$105&gt;ROUND(((1-IntPriorityDiscount-IntPriorityIncentive)*'Intl Priority'!N59),2),ROUND('Intl Priority'!$N$105*(1+International_Fuel_Surcharge),2),ROUND(((1-IntPriorityDiscount-IntPriorityIncentive)*'Intl Priority'!N59)*(1+International_Fuel_Surcharge),2))</f>
        <v>411.58</v>
      </c>
      <c r="O62" s="231">
        <f>IF('Intl Priority'!$O$105&gt;ROUND(((1-IntPriorityDiscount-IntPriorityIncentive)*'Intl Priority'!O59),2),ROUND('Intl Priority'!$O$105*(1+International_Fuel_Surcharge),2),ROUND(((1-IntPriorityDiscount-IntPriorityIncentive)*'Intl Priority'!O59)*(1+International_Fuel_Surcharge),2))</f>
        <v>296.76</v>
      </c>
      <c r="P62" s="231">
        <f>IF('Intl Priority'!$P$105&gt;ROUND(((1-IntPriorityDiscount-IntPriorityIncentive)*'Intl Priority'!P59),2),ROUND('Intl Priority'!$P$105*(1+International_Fuel_Surcharge),2),ROUND(((1-IntPriorityDiscount-IntPriorityIncentive)*'Intl Priority'!P59)*(1+International_Fuel_Surcharge),2))</f>
        <v>315.14999999999998</v>
      </c>
      <c r="Q62" s="231">
        <f>IF('Intl Priority'!$Q$105&gt;ROUND(((1-PuertoRicoDiscount)*'Intl Priority'!Q59),2),ROUND('Intl Priority'!$Q$105*(1+International_Fuel_Surcharge),2),ROUND(((1-PuertoRicoDiscount)*'Intl Priority'!Q59)*(1+International_Fuel_Surcharge),2))</f>
        <v>402.34</v>
      </c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2.75" customHeight="1">
      <c r="A63" s="217">
        <v>66</v>
      </c>
      <c r="B63" s="231">
        <f>IF('Intl Priority'!$B$105&gt;ROUND(((1-IntPriorityDiscount-IntPriorityIncentive)*'Intl Priority'!B60),2),ROUND('Intl Priority'!$B$105*(1+International_Fuel_Surcharge),2),ROUND(((1-IntPriorityDiscount-IntPriorityIncentive)*'Intl Priority'!B60)*(1+International_Fuel_Surcharge),2))</f>
        <v>131.84</v>
      </c>
      <c r="C63" s="231">
        <f>IF('Intl Priority'!$C$105&gt;ROUND(((1-IntPriorityDiscount-IntPriorityIncentive)*'Intl Priority'!C60),2),ROUND('Intl Priority'!$C$105*(1+International_Fuel_Surcharge),2),ROUND(((1-IntPriorityDiscount-IntPriorityIncentive)*'Intl Priority'!C60)*(1+International_Fuel_Surcharge),2))</f>
        <v>159.44</v>
      </c>
      <c r="D63" s="231">
        <f>IF('Intl Priority'!$D$105&gt;ROUND(((1-IntPriorityDiscount-IntPriorityIncentive)*'Intl Priority'!D60),2),ROUND('Intl Priority'!$D$105*(1+International_Fuel_Surcharge),2),ROUND(((1-IntPriorityDiscount-IntPriorityIncentive)*'Intl Priority'!D60)*(1+International_Fuel_Surcharge),2))</f>
        <v>163.97</v>
      </c>
      <c r="E63" s="231">
        <f>IF('Intl Priority'!$E$105&gt;ROUND(((1-IntPriorityDiscount-IntPriorityIncentive)*'Intl Priority'!E60),2),ROUND('Intl Priority'!$E$105*(1+International_Fuel_Surcharge),2),ROUND(((1-IntPriorityDiscount-IntPriorityIncentive)*'Intl Priority'!E60)*(1+International_Fuel_Surcharge),2))</f>
        <v>240.76</v>
      </c>
      <c r="F63" s="231">
        <f>IF('Intl Priority'!$F$105&gt;ROUND(((1-IntPriorityDiscount-IntPriorityIncentive)*'Intl Priority'!F60),2),ROUND('Intl Priority'!$F$105*(1+International_Fuel_Surcharge),2),ROUND(((1-IntPriorityDiscount-IntPriorityIncentive)*'Intl Priority'!F60)*(1+International_Fuel_Surcharge),2))</f>
        <v>429.19</v>
      </c>
      <c r="G63" s="231">
        <f>IF('Intl Priority'!$G$105&gt;ROUND(((1-IntPriorityDiscount-IntPriorityIncentive)*'Intl Priority'!G60),2),ROUND('Intl Priority'!$G$105*(1+International_Fuel_Surcharge),2),ROUND(((1-IntPriorityDiscount-IntPriorityIncentive)*'Intl Priority'!G60)*(1+International_Fuel_Surcharge),2))</f>
        <v>232.26</v>
      </c>
      <c r="H63" s="231">
        <f>IF('Intl Priority'!$H$105&gt;ROUND(((1-IntPriorityDiscount-IntPriorityIncentive)*'Intl Priority'!H60),2),ROUND('Intl Priority'!$H$105*(1+International_Fuel_Surcharge),2),ROUND(((1-IntPriorityDiscount-IntPriorityIncentive)*'Intl Priority'!H60)*(1+International_Fuel_Surcharge),2))</f>
        <v>234.51</v>
      </c>
      <c r="I63" s="231">
        <f>IF('Intl Priority'!$I$105&gt;ROUND(((1-IntPriorityDiscount-IntPriorityIncentive)*'Intl Priority'!I60),2),ROUND('Intl Priority'!$I$105*(1+International_Fuel_Surcharge),2),ROUND(((1-IntPriorityDiscount-IntPriorityIncentive)*'Intl Priority'!I60)*(1+International_Fuel_Surcharge),2))</f>
        <v>252.31</v>
      </c>
      <c r="J63" s="231">
        <f>IF('Intl Priority'!$J$105&gt;ROUND(((1-IntPriorityDiscount-IntPriorityIncentive)*'Intl Priority'!J60),2),ROUND('Intl Priority'!$J$105*(1+International_Fuel_Surcharge),2),ROUND(((1-IntPriorityDiscount-IntPriorityIncentive)*'Intl Priority'!J60)*(1+International_Fuel_Surcharge),2))</f>
        <v>180.11</v>
      </c>
      <c r="K63" s="231">
        <f>IF('Intl Priority'!$K$105&gt;ROUND(((1-IntPriorityDiscount-IntPriorityIncentive)*'Intl Priority'!K60),2),ROUND('Intl Priority'!$K$105*(1+International_Fuel_Surcharge),2),ROUND(((1-IntPriorityDiscount-IntPriorityIncentive)*'Intl Priority'!K60)*(1+International_Fuel_Surcharge),2))</f>
        <v>366.14</v>
      </c>
      <c r="L63" s="231">
        <f>IF('Intl Priority'!$L$105&gt;ROUND(((1-IntPriorityDiscount-IntPriorityIncentive)*'Intl Priority'!L60),2),ROUND('Intl Priority'!$L$105*(1+International_Fuel_Surcharge),2),ROUND(((1-IntPriorityDiscount-IntPriorityIncentive)*'Intl Priority'!L60)*(1+International_Fuel_Surcharge),2))</f>
        <v>286.89</v>
      </c>
      <c r="M63" s="231">
        <f>IF('Intl Priority'!$M$105&gt;ROUND(((1-IntPriorityDiscount-IntPriorityIncentive)*'Intl Priority'!M60),2),ROUND('Intl Priority'!$M$105*(1+International_Fuel_Surcharge),2),ROUND(((1-IntPriorityDiscount-IntPriorityIncentive)*'Intl Priority'!M60)*(1+International_Fuel_Surcharge),2))</f>
        <v>439.6</v>
      </c>
      <c r="N63" s="231">
        <f>IF('Intl Priority'!$N$105&gt;ROUND(((1-IntPriorityDiscount-IntPriorityIncentive)*'Intl Priority'!N60),2),ROUND('Intl Priority'!$N$105*(1+International_Fuel_Surcharge),2),ROUND(((1-IntPriorityDiscount-IntPriorityIncentive)*'Intl Priority'!N60)*(1+International_Fuel_Surcharge),2))</f>
        <v>411.63</v>
      </c>
      <c r="O63" s="231">
        <f>IF('Intl Priority'!$O$105&gt;ROUND(((1-IntPriorityDiscount-IntPriorityIncentive)*'Intl Priority'!O60),2),ROUND('Intl Priority'!$O$105*(1+International_Fuel_Surcharge),2),ROUND(((1-IntPriorityDiscount-IntPriorityIncentive)*'Intl Priority'!O60)*(1+International_Fuel_Surcharge),2))</f>
        <v>302.99</v>
      </c>
      <c r="P63" s="231">
        <f>IF('Intl Priority'!$P$105&gt;ROUND(((1-IntPriorityDiscount-IntPriorityIncentive)*'Intl Priority'!P60),2),ROUND('Intl Priority'!$P$105*(1+International_Fuel_Surcharge),2),ROUND(((1-IntPriorityDiscount-IntPriorityIncentive)*'Intl Priority'!P60)*(1+International_Fuel_Surcharge),2))</f>
        <v>317.27999999999997</v>
      </c>
      <c r="Q63" s="231">
        <f>IF('Intl Priority'!$Q$105&gt;ROUND(((1-PuertoRicoDiscount)*'Intl Priority'!Q60),2),ROUND('Intl Priority'!$Q$105*(1+International_Fuel_Surcharge),2),ROUND(((1-PuertoRicoDiscount)*'Intl Priority'!Q60)*(1+International_Fuel_Surcharge),2))</f>
        <v>409.42</v>
      </c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2.75" customHeight="1">
      <c r="A64" s="217">
        <v>68</v>
      </c>
      <c r="B64" s="231">
        <f>IF('Intl Priority'!$B$105&gt;ROUND(((1-IntPriorityDiscount-IntPriorityIncentive)*'Intl Priority'!B61),2),ROUND('Intl Priority'!$B$105*(1+International_Fuel_Surcharge),2),ROUND(((1-IntPriorityDiscount-IntPriorityIncentive)*'Intl Priority'!B61)*(1+International_Fuel_Surcharge),2))</f>
        <v>132.58000000000001</v>
      </c>
      <c r="C64" s="231">
        <f>IF('Intl Priority'!$C$105&gt;ROUND(((1-IntPriorityDiscount-IntPriorityIncentive)*'Intl Priority'!C61),2),ROUND('Intl Priority'!$C$105*(1+International_Fuel_Surcharge),2),ROUND(((1-IntPriorityDiscount-IntPriorityIncentive)*'Intl Priority'!C61)*(1+International_Fuel_Surcharge),2))</f>
        <v>159.62</v>
      </c>
      <c r="D64" s="231">
        <f>IF('Intl Priority'!$D$105&gt;ROUND(((1-IntPriorityDiscount-IntPriorityIncentive)*'Intl Priority'!D61),2),ROUND('Intl Priority'!$D$105*(1+International_Fuel_Surcharge),2),ROUND(((1-IntPriorityDiscount-IntPriorityIncentive)*'Intl Priority'!D61)*(1+International_Fuel_Surcharge),2))</f>
        <v>164.32</v>
      </c>
      <c r="E64" s="231">
        <f>IF('Intl Priority'!$E$105&gt;ROUND(((1-IntPriorityDiscount-IntPriorityIncentive)*'Intl Priority'!E61),2),ROUND('Intl Priority'!$E$105*(1+International_Fuel_Surcharge),2),ROUND(((1-IntPriorityDiscount-IntPriorityIncentive)*'Intl Priority'!E61)*(1+International_Fuel_Surcharge),2))</f>
        <v>243.59</v>
      </c>
      <c r="F64" s="231">
        <f>IF('Intl Priority'!$F$105&gt;ROUND(((1-IntPriorityDiscount-IntPriorityIncentive)*'Intl Priority'!F61),2),ROUND('Intl Priority'!$F$105*(1+International_Fuel_Surcharge),2),ROUND(((1-IntPriorityDiscount-IntPriorityIncentive)*'Intl Priority'!F61)*(1+International_Fuel_Surcharge),2))</f>
        <v>453.22</v>
      </c>
      <c r="G64" s="231">
        <f>IF('Intl Priority'!$G$105&gt;ROUND(((1-IntPriorityDiscount-IntPriorityIncentive)*'Intl Priority'!G61),2),ROUND('Intl Priority'!$G$105*(1+International_Fuel_Surcharge),2),ROUND(((1-IntPriorityDiscount-IntPriorityIncentive)*'Intl Priority'!G61)*(1+International_Fuel_Surcharge),2))</f>
        <v>232.79</v>
      </c>
      <c r="H64" s="231">
        <f>IF('Intl Priority'!$H$105&gt;ROUND(((1-IntPriorityDiscount-IntPriorityIncentive)*'Intl Priority'!H61),2),ROUND('Intl Priority'!$H$105*(1+International_Fuel_Surcharge),2),ROUND(((1-IntPriorityDiscount-IntPriorityIncentive)*'Intl Priority'!H61)*(1+International_Fuel_Surcharge),2))</f>
        <v>237.51</v>
      </c>
      <c r="I64" s="231">
        <f>IF('Intl Priority'!$I$105&gt;ROUND(((1-IntPriorityDiscount-IntPriorityIncentive)*'Intl Priority'!I61),2),ROUND('Intl Priority'!$I$105*(1+International_Fuel_Surcharge),2),ROUND(((1-IntPriorityDiscount-IntPriorityIncentive)*'Intl Priority'!I61)*(1+International_Fuel_Surcharge),2))</f>
        <v>259.12</v>
      </c>
      <c r="J64" s="231">
        <f>IF('Intl Priority'!$J$105&gt;ROUND(((1-IntPriorityDiscount-IntPriorityIncentive)*'Intl Priority'!J61),2),ROUND('Intl Priority'!$J$105*(1+International_Fuel_Surcharge),2),ROUND(((1-IntPriorityDiscount-IntPriorityIncentive)*'Intl Priority'!J61)*(1+International_Fuel_Surcharge),2))</f>
        <v>180.47</v>
      </c>
      <c r="K64" s="231">
        <f>IF('Intl Priority'!$K$105&gt;ROUND(((1-IntPriorityDiscount-IntPriorityIncentive)*'Intl Priority'!K61),2),ROUND('Intl Priority'!$K$105*(1+International_Fuel_Surcharge),2),ROUND(((1-IntPriorityDiscount-IntPriorityIncentive)*'Intl Priority'!K61)*(1+International_Fuel_Surcharge),2))</f>
        <v>370.93</v>
      </c>
      <c r="L64" s="231">
        <f>IF('Intl Priority'!$L$105&gt;ROUND(((1-IntPriorityDiscount-IntPriorityIncentive)*'Intl Priority'!L61),2),ROUND('Intl Priority'!$L$105*(1+International_Fuel_Surcharge),2),ROUND(((1-IntPriorityDiscount-IntPriorityIncentive)*'Intl Priority'!L61)*(1+International_Fuel_Surcharge),2))</f>
        <v>286.95</v>
      </c>
      <c r="M64" s="231">
        <f>IF('Intl Priority'!$M$105&gt;ROUND(((1-IntPriorityDiscount-IntPriorityIncentive)*'Intl Priority'!M61),2),ROUND('Intl Priority'!$M$105*(1+International_Fuel_Surcharge),2),ROUND(((1-IntPriorityDiscount-IntPriorityIncentive)*'Intl Priority'!M61)*(1+International_Fuel_Surcharge),2))</f>
        <v>440.54</v>
      </c>
      <c r="N64" s="231">
        <f>IF('Intl Priority'!$N$105&gt;ROUND(((1-IntPriorityDiscount-IntPriorityIncentive)*'Intl Priority'!N61),2),ROUND('Intl Priority'!$N$105*(1+International_Fuel_Surcharge),2),ROUND(((1-IntPriorityDiscount-IntPriorityIncentive)*'Intl Priority'!N61)*(1+International_Fuel_Surcharge),2))</f>
        <v>412.73</v>
      </c>
      <c r="O64" s="231">
        <f>IF('Intl Priority'!$O$105&gt;ROUND(((1-IntPriorityDiscount-IntPriorityIncentive)*'Intl Priority'!O61),2),ROUND('Intl Priority'!$O$105*(1+International_Fuel_Surcharge),2),ROUND(((1-IntPriorityDiscount-IntPriorityIncentive)*'Intl Priority'!O61)*(1+International_Fuel_Surcharge),2))</f>
        <v>304.20999999999998</v>
      </c>
      <c r="P64" s="231">
        <f>IF('Intl Priority'!$P$105&gt;ROUND(((1-IntPriorityDiscount-IntPriorityIncentive)*'Intl Priority'!P61),2),ROUND('Intl Priority'!$P$105*(1+International_Fuel_Surcharge),2),ROUND(((1-IntPriorityDiscount-IntPriorityIncentive)*'Intl Priority'!P61)*(1+International_Fuel_Surcharge),2))</f>
        <v>328.91</v>
      </c>
      <c r="Q64" s="231">
        <f>IF('Intl Priority'!$Q$105&gt;ROUND(((1-PuertoRicoDiscount)*'Intl Priority'!Q61),2),ROUND('Intl Priority'!$Q$105*(1+International_Fuel_Surcharge),2),ROUND(((1-PuertoRicoDiscount)*'Intl Priority'!Q61)*(1+International_Fuel_Surcharge),2))</f>
        <v>411.15</v>
      </c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2.75" customHeight="1">
      <c r="A65" s="217">
        <v>70</v>
      </c>
      <c r="B65" s="231">
        <f>IF('Intl Priority'!$B$105&gt;ROUND(((1-IntPriorityDiscount-IntPriorityIncentive)*'Intl Priority'!B62),2),ROUND('Intl Priority'!$B$105*(1+International_Fuel_Surcharge),2),ROUND(((1-IntPriorityDiscount-IntPriorityIncentive)*'Intl Priority'!B62)*(1+International_Fuel_Surcharge),2))</f>
        <v>145.77000000000001</v>
      </c>
      <c r="C65" s="231">
        <f>IF('Intl Priority'!$C$105&gt;ROUND(((1-IntPriorityDiscount-IntPriorityIncentive)*'Intl Priority'!C62),2),ROUND('Intl Priority'!$C$105*(1+International_Fuel_Surcharge),2),ROUND(((1-IntPriorityDiscount-IntPriorityIncentive)*'Intl Priority'!C62)*(1+International_Fuel_Surcharge),2))</f>
        <v>163.01</v>
      </c>
      <c r="D65" s="231">
        <f>IF('Intl Priority'!$D$105&gt;ROUND(((1-IntPriorityDiscount-IntPriorityIncentive)*'Intl Priority'!D62),2),ROUND('Intl Priority'!$D$105*(1+International_Fuel_Surcharge),2),ROUND(((1-IntPriorityDiscount-IntPriorityIncentive)*'Intl Priority'!D62)*(1+International_Fuel_Surcharge),2))</f>
        <v>164.48</v>
      </c>
      <c r="E65" s="231">
        <f>IF('Intl Priority'!$E$105&gt;ROUND(((1-IntPriorityDiscount-IntPriorityIncentive)*'Intl Priority'!E62),2),ROUND('Intl Priority'!$E$105*(1+International_Fuel_Surcharge),2),ROUND(((1-IntPriorityDiscount-IntPriorityIncentive)*'Intl Priority'!E62)*(1+International_Fuel_Surcharge),2))</f>
        <v>243.87</v>
      </c>
      <c r="F65" s="231">
        <f>IF('Intl Priority'!$F$105&gt;ROUND(((1-IntPriorityDiscount-IntPriorityIncentive)*'Intl Priority'!F62),2),ROUND('Intl Priority'!$F$105*(1+International_Fuel_Surcharge),2),ROUND(((1-IntPriorityDiscount-IntPriorityIncentive)*'Intl Priority'!F62)*(1+International_Fuel_Surcharge),2))</f>
        <v>459.18</v>
      </c>
      <c r="G65" s="231">
        <f>IF('Intl Priority'!$G$105&gt;ROUND(((1-IntPriorityDiscount-IntPriorityIncentive)*'Intl Priority'!G62),2),ROUND('Intl Priority'!$G$105*(1+International_Fuel_Surcharge),2),ROUND(((1-IntPriorityDiscount-IntPriorityIncentive)*'Intl Priority'!G62)*(1+International_Fuel_Surcharge),2))</f>
        <v>241.06</v>
      </c>
      <c r="H65" s="231">
        <f>IF('Intl Priority'!$H$105&gt;ROUND(((1-IntPriorityDiscount-IntPriorityIncentive)*'Intl Priority'!H62),2),ROUND('Intl Priority'!$H$105*(1+International_Fuel_Surcharge),2),ROUND(((1-IntPriorityDiscount-IntPriorityIncentive)*'Intl Priority'!H62)*(1+International_Fuel_Surcharge),2))</f>
        <v>243.84</v>
      </c>
      <c r="I65" s="231">
        <f>IF('Intl Priority'!$I$105&gt;ROUND(((1-IntPriorityDiscount-IntPriorityIncentive)*'Intl Priority'!I62),2),ROUND('Intl Priority'!$I$105*(1+International_Fuel_Surcharge),2),ROUND(((1-IntPriorityDiscount-IntPriorityIncentive)*'Intl Priority'!I62)*(1+International_Fuel_Surcharge),2))</f>
        <v>266.66000000000003</v>
      </c>
      <c r="J65" s="231">
        <f>IF('Intl Priority'!$J$105&gt;ROUND(((1-IntPriorityDiscount-IntPriorityIncentive)*'Intl Priority'!J62),2),ROUND('Intl Priority'!$J$105*(1+International_Fuel_Surcharge),2),ROUND(((1-IntPriorityDiscount-IntPriorityIncentive)*'Intl Priority'!J62)*(1+International_Fuel_Surcharge),2))</f>
        <v>180.54</v>
      </c>
      <c r="K65" s="231">
        <f>IF('Intl Priority'!$K$105&gt;ROUND(((1-IntPriorityDiscount-IntPriorityIncentive)*'Intl Priority'!K62),2),ROUND('Intl Priority'!$K$105*(1+International_Fuel_Surcharge),2),ROUND(((1-IntPriorityDiscount-IntPriorityIncentive)*'Intl Priority'!K62)*(1+International_Fuel_Surcharge),2))</f>
        <v>383.64</v>
      </c>
      <c r="L65" s="231">
        <f>IF('Intl Priority'!$L$105&gt;ROUND(((1-IntPriorityDiscount-IntPriorityIncentive)*'Intl Priority'!L62),2),ROUND('Intl Priority'!$L$105*(1+International_Fuel_Surcharge),2),ROUND(((1-IntPriorityDiscount-IntPriorityIncentive)*'Intl Priority'!L62)*(1+International_Fuel_Surcharge),2))</f>
        <v>287.51</v>
      </c>
      <c r="M65" s="231">
        <f>IF('Intl Priority'!$M$105&gt;ROUND(((1-IntPriorityDiscount-IntPriorityIncentive)*'Intl Priority'!M62),2),ROUND('Intl Priority'!$M$105*(1+International_Fuel_Surcharge),2),ROUND(((1-IntPriorityDiscount-IntPriorityIncentive)*'Intl Priority'!M62)*(1+International_Fuel_Surcharge),2))</f>
        <v>440.89</v>
      </c>
      <c r="N65" s="231">
        <f>IF('Intl Priority'!$N$105&gt;ROUND(((1-IntPriorityDiscount-IntPriorityIncentive)*'Intl Priority'!N62),2),ROUND('Intl Priority'!$N$105*(1+International_Fuel_Surcharge),2),ROUND(((1-IntPriorityDiscount-IntPriorityIncentive)*'Intl Priority'!N62)*(1+International_Fuel_Surcharge),2))</f>
        <v>414.84</v>
      </c>
      <c r="O65" s="231">
        <f>IF('Intl Priority'!$O$105&gt;ROUND(((1-IntPriorityDiscount-IntPriorityIncentive)*'Intl Priority'!O62),2),ROUND('Intl Priority'!$O$105*(1+International_Fuel_Surcharge),2),ROUND(((1-IntPriorityDiscount-IntPriorityIncentive)*'Intl Priority'!O62)*(1+International_Fuel_Surcharge),2))</f>
        <v>328.59</v>
      </c>
      <c r="P65" s="231">
        <f>IF('Intl Priority'!$P$105&gt;ROUND(((1-IntPriorityDiscount-IntPriorityIncentive)*'Intl Priority'!P62),2),ROUND('Intl Priority'!$P$105*(1+International_Fuel_Surcharge),2),ROUND(((1-IntPriorityDiscount-IntPriorityIncentive)*'Intl Priority'!P62)*(1+International_Fuel_Surcharge),2))</f>
        <v>331.83</v>
      </c>
      <c r="Q65" s="231">
        <f>IF('Intl Priority'!$Q$105&gt;ROUND(((1-PuertoRicoDiscount)*'Intl Priority'!Q62),2),ROUND('Intl Priority'!$Q$105*(1+International_Fuel_Surcharge),2),ROUND(((1-PuertoRicoDiscount)*'Intl Priority'!Q62)*(1+International_Fuel_Surcharge),2))</f>
        <v>421.64</v>
      </c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2.75" customHeight="1">
      <c r="A66" s="217">
        <v>72</v>
      </c>
      <c r="B66" s="231">
        <f>IF('Intl Priority'!$B$105&gt;ROUND(((1-IntPriorityDiscount-IntPriorityIncentive)*'Intl Priority'!B63),2),ROUND('Intl Priority'!$B$105*(1+International_Fuel_Surcharge),2),ROUND(((1-IntPriorityDiscount-IntPriorityIncentive)*'Intl Priority'!B63)*(1+International_Fuel_Surcharge),2))</f>
        <v>147.13</v>
      </c>
      <c r="C66" s="231">
        <f>IF('Intl Priority'!$C$105&gt;ROUND(((1-IntPriorityDiscount-IntPriorityIncentive)*'Intl Priority'!C63),2),ROUND('Intl Priority'!$C$105*(1+International_Fuel_Surcharge),2),ROUND(((1-IntPriorityDiscount-IntPriorityIncentive)*'Intl Priority'!C63)*(1+International_Fuel_Surcharge),2))</f>
        <v>163.72999999999999</v>
      </c>
      <c r="D66" s="231">
        <f>IF('Intl Priority'!$D$105&gt;ROUND(((1-IntPriorityDiscount-IntPriorityIncentive)*'Intl Priority'!D63),2),ROUND('Intl Priority'!$D$105*(1+International_Fuel_Surcharge),2),ROUND(((1-IntPriorityDiscount-IntPriorityIncentive)*'Intl Priority'!D63)*(1+International_Fuel_Surcharge),2))</f>
        <v>167.41</v>
      </c>
      <c r="E66" s="231">
        <f>IF('Intl Priority'!$E$105&gt;ROUND(((1-IntPriorityDiscount-IntPriorityIncentive)*'Intl Priority'!E63),2),ROUND('Intl Priority'!$E$105*(1+International_Fuel_Surcharge),2),ROUND(((1-IntPriorityDiscount-IntPriorityIncentive)*'Intl Priority'!E63)*(1+International_Fuel_Surcharge),2))</f>
        <v>243.95</v>
      </c>
      <c r="F66" s="231">
        <f>IF('Intl Priority'!$F$105&gt;ROUND(((1-IntPriorityDiscount-IntPriorityIncentive)*'Intl Priority'!F63),2),ROUND('Intl Priority'!$F$105*(1+International_Fuel_Surcharge),2),ROUND(((1-IntPriorityDiscount-IntPriorityIncentive)*'Intl Priority'!F63)*(1+International_Fuel_Surcharge),2))</f>
        <v>459.78</v>
      </c>
      <c r="G66" s="231">
        <f>IF('Intl Priority'!$G$105&gt;ROUND(((1-IntPriorityDiscount-IntPriorityIncentive)*'Intl Priority'!G63),2),ROUND('Intl Priority'!$G$105*(1+International_Fuel_Surcharge),2),ROUND(((1-IntPriorityDiscount-IntPriorityIncentive)*'Intl Priority'!G63)*(1+International_Fuel_Surcharge),2))</f>
        <v>241.89</v>
      </c>
      <c r="H66" s="231">
        <f>IF('Intl Priority'!$H$105&gt;ROUND(((1-IntPriorityDiscount-IntPriorityIncentive)*'Intl Priority'!H63),2),ROUND('Intl Priority'!$H$105*(1+International_Fuel_Surcharge),2),ROUND(((1-IntPriorityDiscount-IntPriorityIncentive)*'Intl Priority'!H63)*(1+International_Fuel_Surcharge),2))</f>
        <v>244.47</v>
      </c>
      <c r="I66" s="231">
        <f>IF('Intl Priority'!$I$105&gt;ROUND(((1-IntPriorityDiscount-IntPriorityIncentive)*'Intl Priority'!I63),2),ROUND('Intl Priority'!$I$105*(1+International_Fuel_Surcharge),2),ROUND(((1-IntPriorityDiscount-IntPriorityIncentive)*'Intl Priority'!I63)*(1+International_Fuel_Surcharge),2))</f>
        <v>268.10000000000002</v>
      </c>
      <c r="J66" s="231">
        <f>IF('Intl Priority'!$J$105&gt;ROUND(((1-IntPriorityDiscount-IntPriorityIncentive)*'Intl Priority'!J63),2),ROUND('Intl Priority'!$J$105*(1+International_Fuel_Surcharge),2),ROUND(((1-IntPriorityDiscount-IntPriorityIncentive)*'Intl Priority'!J63)*(1+International_Fuel_Surcharge),2))</f>
        <v>181.06</v>
      </c>
      <c r="K66" s="231">
        <f>IF('Intl Priority'!$K$105&gt;ROUND(((1-IntPriorityDiscount-IntPriorityIncentive)*'Intl Priority'!K63),2),ROUND('Intl Priority'!$K$105*(1+International_Fuel_Surcharge),2),ROUND(((1-IntPriorityDiscount-IntPriorityIncentive)*'Intl Priority'!K63)*(1+International_Fuel_Surcharge),2))</f>
        <v>391.8</v>
      </c>
      <c r="L66" s="231">
        <f>IF('Intl Priority'!$L$105&gt;ROUND(((1-IntPriorityDiscount-IntPriorityIncentive)*'Intl Priority'!L63),2),ROUND('Intl Priority'!$L$105*(1+International_Fuel_Surcharge),2),ROUND(((1-IntPriorityDiscount-IntPriorityIncentive)*'Intl Priority'!L63)*(1+International_Fuel_Surcharge),2))</f>
        <v>298.75</v>
      </c>
      <c r="M66" s="231">
        <f>IF('Intl Priority'!$M$105&gt;ROUND(((1-IntPriorityDiscount-IntPriorityIncentive)*'Intl Priority'!M63),2),ROUND('Intl Priority'!$M$105*(1+International_Fuel_Surcharge),2),ROUND(((1-IntPriorityDiscount-IntPriorityIncentive)*'Intl Priority'!M63)*(1+International_Fuel_Surcharge),2))</f>
        <v>440.95</v>
      </c>
      <c r="N66" s="231">
        <f>IF('Intl Priority'!$N$105&gt;ROUND(((1-IntPriorityDiscount-IntPriorityIncentive)*'Intl Priority'!N63),2),ROUND('Intl Priority'!$N$105*(1+International_Fuel_Surcharge),2),ROUND(((1-IntPriorityDiscount-IntPriorityIncentive)*'Intl Priority'!N63)*(1+International_Fuel_Surcharge),2))</f>
        <v>415.05</v>
      </c>
      <c r="O66" s="231">
        <f>IF('Intl Priority'!$O$105&gt;ROUND(((1-IntPriorityDiscount-IntPriorityIncentive)*'Intl Priority'!O63),2),ROUND('Intl Priority'!$O$105*(1+International_Fuel_Surcharge),2),ROUND(((1-IntPriorityDiscount-IntPriorityIncentive)*'Intl Priority'!O63)*(1+International_Fuel_Surcharge),2))</f>
        <v>331.1</v>
      </c>
      <c r="P66" s="231">
        <f>IF('Intl Priority'!$P$105&gt;ROUND(((1-IntPriorityDiscount-IntPriorityIncentive)*'Intl Priority'!P63),2),ROUND('Intl Priority'!$P$105*(1+International_Fuel_Surcharge),2),ROUND(((1-IntPriorityDiscount-IntPriorityIncentive)*'Intl Priority'!P63)*(1+International_Fuel_Surcharge),2))</f>
        <v>332.13</v>
      </c>
      <c r="Q66" s="231">
        <f>IF('Intl Priority'!$Q$105&gt;ROUND(((1-PuertoRicoDiscount)*'Intl Priority'!Q63),2),ROUND('Intl Priority'!$Q$105*(1+International_Fuel_Surcharge),2),ROUND(((1-PuertoRicoDiscount)*'Intl Priority'!Q63)*(1+International_Fuel_Surcharge),2))</f>
        <v>431.02</v>
      </c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2.75" customHeight="1">
      <c r="A67" s="217">
        <v>74</v>
      </c>
      <c r="B67" s="231">
        <f>IF('Intl Priority'!$B$105&gt;ROUND(((1-IntPriorityDiscount-IntPriorityIncentive)*'Intl Priority'!B64),2),ROUND('Intl Priority'!$B$105*(1+International_Fuel_Surcharge),2),ROUND(((1-IntPriorityDiscount-IntPriorityIncentive)*'Intl Priority'!B64)*(1+International_Fuel_Surcharge),2))</f>
        <v>149.16</v>
      </c>
      <c r="C67" s="231">
        <f>IF('Intl Priority'!$C$105&gt;ROUND(((1-IntPriorityDiscount-IntPriorityIncentive)*'Intl Priority'!C64),2),ROUND('Intl Priority'!$C$105*(1+International_Fuel_Surcharge),2),ROUND(((1-IntPriorityDiscount-IntPriorityIncentive)*'Intl Priority'!C64)*(1+International_Fuel_Surcharge),2))</f>
        <v>165.99</v>
      </c>
      <c r="D67" s="231">
        <f>IF('Intl Priority'!$D$105&gt;ROUND(((1-IntPriorityDiscount-IntPriorityIncentive)*'Intl Priority'!D64),2),ROUND('Intl Priority'!$D$105*(1+International_Fuel_Surcharge),2),ROUND(((1-IntPriorityDiscount-IntPriorityIncentive)*'Intl Priority'!D64)*(1+International_Fuel_Surcharge),2))</f>
        <v>167.71</v>
      </c>
      <c r="E67" s="231">
        <f>IF('Intl Priority'!$E$105&gt;ROUND(((1-IntPriorityDiscount-IntPriorityIncentive)*'Intl Priority'!E64),2),ROUND('Intl Priority'!$E$105*(1+International_Fuel_Surcharge),2),ROUND(((1-IntPriorityDiscount-IntPriorityIncentive)*'Intl Priority'!E64)*(1+International_Fuel_Surcharge),2))</f>
        <v>244.48</v>
      </c>
      <c r="F67" s="231">
        <f>IF('Intl Priority'!$F$105&gt;ROUND(((1-IntPriorityDiscount-IntPriorityIncentive)*'Intl Priority'!F64),2),ROUND('Intl Priority'!$F$105*(1+International_Fuel_Surcharge),2),ROUND(((1-IntPriorityDiscount-IntPriorityIncentive)*'Intl Priority'!F64)*(1+International_Fuel_Surcharge),2))</f>
        <v>459.84</v>
      </c>
      <c r="G67" s="231">
        <f>IF('Intl Priority'!$G$105&gt;ROUND(((1-IntPriorityDiscount-IntPriorityIncentive)*'Intl Priority'!G64),2),ROUND('Intl Priority'!$G$105*(1+International_Fuel_Surcharge),2),ROUND(((1-IntPriorityDiscount-IntPriorityIncentive)*'Intl Priority'!G64)*(1+International_Fuel_Surcharge),2))</f>
        <v>247.62</v>
      </c>
      <c r="H67" s="231">
        <f>IF('Intl Priority'!$H$105&gt;ROUND(((1-IntPriorityDiscount-IntPriorityIncentive)*'Intl Priority'!H64),2),ROUND('Intl Priority'!$H$105*(1+International_Fuel_Surcharge),2),ROUND(((1-IntPriorityDiscount-IntPriorityIncentive)*'Intl Priority'!H64)*(1+International_Fuel_Surcharge),2))</f>
        <v>250.25</v>
      </c>
      <c r="I67" s="231">
        <f>IF('Intl Priority'!$I$105&gt;ROUND(((1-IntPriorityDiscount-IntPriorityIncentive)*'Intl Priority'!I64),2),ROUND('Intl Priority'!$I$105*(1+International_Fuel_Surcharge),2),ROUND(((1-IntPriorityDiscount-IntPriorityIncentive)*'Intl Priority'!I64)*(1+International_Fuel_Surcharge),2))</f>
        <v>268.25</v>
      </c>
      <c r="J67" s="231">
        <f>IF('Intl Priority'!$J$105&gt;ROUND(((1-IntPriorityDiscount-IntPriorityIncentive)*'Intl Priority'!J64),2),ROUND('Intl Priority'!$J$105*(1+International_Fuel_Surcharge),2),ROUND(((1-IntPriorityDiscount-IntPriorityIncentive)*'Intl Priority'!J64)*(1+International_Fuel_Surcharge),2))</f>
        <v>191.41</v>
      </c>
      <c r="K67" s="231">
        <f>IF('Intl Priority'!$K$105&gt;ROUND(((1-IntPriorityDiscount-IntPriorityIncentive)*'Intl Priority'!K64),2),ROUND('Intl Priority'!$K$105*(1+International_Fuel_Surcharge),2),ROUND(((1-IntPriorityDiscount-IntPriorityIncentive)*'Intl Priority'!K64)*(1+International_Fuel_Surcharge),2))</f>
        <v>394.27</v>
      </c>
      <c r="L67" s="231">
        <f>IF('Intl Priority'!$L$105&gt;ROUND(((1-IntPriorityDiscount-IntPriorityIncentive)*'Intl Priority'!L64),2),ROUND('Intl Priority'!$L$105*(1+International_Fuel_Surcharge),2),ROUND(((1-IntPriorityDiscount-IntPriorityIncentive)*'Intl Priority'!L64)*(1+International_Fuel_Surcharge),2))</f>
        <v>299.88</v>
      </c>
      <c r="M67" s="231">
        <f>IF('Intl Priority'!$M$105&gt;ROUND(((1-IntPriorityDiscount-IntPriorityIncentive)*'Intl Priority'!M64),2),ROUND('Intl Priority'!$M$105*(1+International_Fuel_Surcharge),2),ROUND(((1-IntPriorityDiscount-IntPriorityIncentive)*'Intl Priority'!M64)*(1+International_Fuel_Surcharge),2))</f>
        <v>441</v>
      </c>
      <c r="N67" s="231">
        <f>IF('Intl Priority'!$N$105&gt;ROUND(((1-IntPriorityDiscount-IntPriorityIncentive)*'Intl Priority'!N64),2),ROUND('Intl Priority'!$N$105*(1+International_Fuel_Surcharge),2),ROUND(((1-IntPriorityDiscount-IntPriorityIncentive)*'Intl Priority'!N64)*(1+International_Fuel_Surcharge),2))</f>
        <v>415.14</v>
      </c>
      <c r="O67" s="231">
        <f>IF('Intl Priority'!$O$105&gt;ROUND(((1-IntPriorityDiscount-IntPriorityIncentive)*'Intl Priority'!O64),2),ROUND('Intl Priority'!$O$105*(1+International_Fuel_Surcharge),2),ROUND(((1-IntPriorityDiscount-IntPriorityIncentive)*'Intl Priority'!O64)*(1+International_Fuel_Surcharge),2))</f>
        <v>331.7</v>
      </c>
      <c r="P67" s="231">
        <f>IF('Intl Priority'!$P$105&gt;ROUND(((1-IntPriorityDiscount-IntPriorityIncentive)*'Intl Priority'!P64),2),ROUND('Intl Priority'!$P$105*(1+International_Fuel_Surcharge),2),ROUND(((1-IntPriorityDiscount-IntPriorityIncentive)*'Intl Priority'!P64)*(1+International_Fuel_Surcharge),2))</f>
        <v>332.19</v>
      </c>
      <c r="Q67" s="231">
        <f>IF('Intl Priority'!$Q$105&gt;ROUND(((1-PuertoRicoDiscount)*'Intl Priority'!Q64),2),ROUND('Intl Priority'!$Q$105*(1+International_Fuel_Surcharge),2),ROUND(((1-PuertoRicoDiscount)*'Intl Priority'!Q64)*(1+International_Fuel_Surcharge),2))</f>
        <v>437.81</v>
      </c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2.75" customHeight="1">
      <c r="A68" s="217">
        <v>76</v>
      </c>
      <c r="B68" s="231">
        <f>IF('Intl Priority'!$B$105&gt;ROUND(((1-IntPriorityDiscount-IntPriorityIncentive)*'Intl Priority'!B65),2),ROUND('Intl Priority'!$B$105*(1+International_Fuel_Surcharge),2),ROUND(((1-IntPriorityDiscount-IntPriorityIncentive)*'Intl Priority'!B65)*(1+International_Fuel_Surcharge),2))</f>
        <v>149.61000000000001</v>
      </c>
      <c r="C68" s="231">
        <f>IF('Intl Priority'!$C$105&gt;ROUND(((1-IntPriorityDiscount-IntPriorityIncentive)*'Intl Priority'!C65),2),ROUND('Intl Priority'!$C$105*(1+International_Fuel_Surcharge),2),ROUND(((1-IntPriorityDiscount-IntPriorityIncentive)*'Intl Priority'!C65)*(1+International_Fuel_Surcharge),2))</f>
        <v>166.85</v>
      </c>
      <c r="D68" s="231">
        <f>IF('Intl Priority'!$D$105&gt;ROUND(((1-IntPriorityDiscount-IntPriorityIncentive)*'Intl Priority'!D65),2),ROUND('Intl Priority'!$D$105*(1+International_Fuel_Surcharge),2),ROUND(((1-IntPriorityDiscount-IntPriorityIncentive)*'Intl Priority'!D65)*(1+International_Fuel_Surcharge),2))</f>
        <v>167.77</v>
      </c>
      <c r="E68" s="231">
        <f>IF('Intl Priority'!$E$105&gt;ROUND(((1-IntPriorityDiscount-IntPriorityIncentive)*'Intl Priority'!E65),2),ROUND('Intl Priority'!$E$105*(1+International_Fuel_Surcharge),2),ROUND(((1-IntPriorityDiscount-IntPriorityIncentive)*'Intl Priority'!E65)*(1+International_Fuel_Surcharge),2))</f>
        <v>254.98</v>
      </c>
      <c r="F68" s="231">
        <f>IF('Intl Priority'!$F$105&gt;ROUND(((1-IntPriorityDiscount-IntPriorityIncentive)*'Intl Priority'!F65),2),ROUND('Intl Priority'!$F$105*(1+International_Fuel_Surcharge),2),ROUND(((1-IntPriorityDiscount-IntPriorityIncentive)*'Intl Priority'!F65)*(1+International_Fuel_Surcharge),2))</f>
        <v>459.92</v>
      </c>
      <c r="G68" s="231">
        <f>IF('Intl Priority'!$G$105&gt;ROUND(((1-IntPriorityDiscount-IntPriorityIncentive)*'Intl Priority'!G65),2),ROUND('Intl Priority'!$G$105*(1+International_Fuel_Surcharge),2),ROUND(((1-IntPriorityDiscount-IntPriorityIncentive)*'Intl Priority'!G65)*(1+International_Fuel_Surcharge),2))</f>
        <v>248.2</v>
      </c>
      <c r="H68" s="231">
        <f>IF('Intl Priority'!$H$105&gt;ROUND(((1-IntPriorityDiscount-IntPriorityIncentive)*'Intl Priority'!H65),2),ROUND('Intl Priority'!$H$105*(1+International_Fuel_Surcharge),2),ROUND(((1-IntPriorityDiscount-IntPriorityIncentive)*'Intl Priority'!H65)*(1+International_Fuel_Surcharge),2))</f>
        <v>250.84</v>
      </c>
      <c r="I68" s="231">
        <f>IF('Intl Priority'!$I$105&gt;ROUND(((1-IntPriorityDiscount-IntPriorityIncentive)*'Intl Priority'!I65),2),ROUND('Intl Priority'!$I$105*(1+International_Fuel_Surcharge),2),ROUND(((1-IntPriorityDiscount-IntPriorityIncentive)*'Intl Priority'!I65)*(1+International_Fuel_Surcharge),2))</f>
        <v>268.31</v>
      </c>
      <c r="J68" s="231">
        <f>IF('Intl Priority'!$J$105&gt;ROUND(((1-IntPriorityDiscount-IntPriorityIncentive)*'Intl Priority'!J65),2),ROUND('Intl Priority'!$J$105*(1+International_Fuel_Surcharge),2),ROUND(((1-IntPriorityDiscount-IntPriorityIncentive)*'Intl Priority'!J65)*(1+International_Fuel_Surcharge),2))</f>
        <v>192.45</v>
      </c>
      <c r="K68" s="231">
        <f>IF('Intl Priority'!$K$105&gt;ROUND(((1-IntPriorityDiscount-IntPriorityIncentive)*'Intl Priority'!K65),2),ROUND('Intl Priority'!$K$105*(1+International_Fuel_Surcharge),2),ROUND(((1-IntPriorityDiscount-IntPriorityIncentive)*'Intl Priority'!K65)*(1+International_Fuel_Surcharge),2))</f>
        <v>395.22</v>
      </c>
      <c r="L68" s="231">
        <f>IF('Intl Priority'!$L$105&gt;ROUND(((1-IntPriorityDiscount-IntPriorityIncentive)*'Intl Priority'!L65),2),ROUND('Intl Priority'!$L$105*(1+International_Fuel_Surcharge),2),ROUND(((1-IntPriorityDiscount-IntPriorityIncentive)*'Intl Priority'!L65)*(1+International_Fuel_Surcharge),2))</f>
        <v>301.08</v>
      </c>
      <c r="M68" s="231">
        <f>IF('Intl Priority'!$M$105&gt;ROUND(((1-IntPriorityDiscount-IntPriorityIncentive)*'Intl Priority'!M65),2),ROUND('Intl Priority'!$M$105*(1+International_Fuel_Surcharge),2),ROUND(((1-IntPriorityDiscount-IntPriorityIncentive)*'Intl Priority'!M65)*(1+International_Fuel_Surcharge),2))</f>
        <v>441.06</v>
      </c>
      <c r="N68" s="231">
        <f>IF('Intl Priority'!$N$105&gt;ROUND(((1-IntPriorityDiscount-IntPriorityIncentive)*'Intl Priority'!N65),2),ROUND('Intl Priority'!$N$105*(1+International_Fuel_Surcharge),2),ROUND(((1-IntPriorityDiscount-IntPriorityIncentive)*'Intl Priority'!N65)*(1+International_Fuel_Surcharge),2))</f>
        <v>416.86</v>
      </c>
      <c r="O68" s="231">
        <f>IF('Intl Priority'!$O$105&gt;ROUND(((1-IntPriorityDiscount-IntPriorityIncentive)*'Intl Priority'!O65),2),ROUND('Intl Priority'!$O$105*(1+International_Fuel_Surcharge),2),ROUND(((1-IntPriorityDiscount-IntPriorityIncentive)*'Intl Priority'!O65)*(1+International_Fuel_Surcharge),2))</f>
        <v>332.33</v>
      </c>
      <c r="P68" s="231">
        <f>IF('Intl Priority'!$P$105&gt;ROUND(((1-IntPriorityDiscount-IntPriorityIncentive)*'Intl Priority'!P65),2),ROUND('Intl Priority'!$P$105*(1+International_Fuel_Surcharge),2),ROUND(((1-IntPriorityDiscount-IntPriorityIncentive)*'Intl Priority'!P65)*(1+International_Fuel_Surcharge),2))</f>
        <v>332.25</v>
      </c>
      <c r="Q68" s="231">
        <f>IF('Intl Priority'!$Q$105&gt;ROUND(((1-PuertoRicoDiscount)*'Intl Priority'!Q65),2),ROUND('Intl Priority'!$Q$105*(1+International_Fuel_Surcharge),2),ROUND(((1-PuertoRicoDiscount)*'Intl Priority'!Q65)*(1+International_Fuel_Surcharge),2))</f>
        <v>444.88</v>
      </c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2.75" customHeight="1">
      <c r="A69" s="217">
        <v>78</v>
      </c>
      <c r="B69" s="231">
        <f>IF('Intl Priority'!$B$105&gt;ROUND(((1-IntPriorityDiscount-IntPriorityIncentive)*'Intl Priority'!B66),2),ROUND('Intl Priority'!$B$105*(1+International_Fuel_Surcharge),2),ROUND(((1-IntPriorityDiscount-IntPriorityIncentive)*'Intl Priority'!B66)*(1+International_Fuel_Surcharge),2))</f>
        <v>149.71</v>
      </c>
      <c r="C69" s="231">
        <f>IF('Intl Priority'!$C$105&gt;ROUND(((1-IntPriorityDiscount-IntPriorityIncentive)*'Intl Priority'!C66),2),ROUND('Intl Priority'!$C$105*(1+International_Fuel_Surcharge),2),ROUND(((1-IntPriorityDiscount-IntPriorityIncentive)*'Intl Priority'!C66)*(1+International_Fuel_Surcharge),2))</f>
        <v>168.51</v>
      </c>
      <c r="D69" s="231">
        <f>IF('Intl Priority'!$D$105&gt;ROUND(((1-IntPriorityDiscount-IntPriorityIncentive)*'Intl Priority'!D66),2),ROUND('Intl Priority'!$D$105*(1+International_Fuel_Surcharge),2),ROUND(((1-IntPriorityDiscount-IntPriorityIncentive)*'Intl Priority'!D66)*(1+International_Fuel_Surcharge),2))</f>
        <v>167.84</v>
      </c>
      <c r="E69" s="231">
        <f>IF('Intl Priority'!$E$105&gt;ROUND(((1-IntPriorityDiscount-IntPriorityIncentive)*'Intl Priority'!E66),2),ROUND('Intl Priority'!$E$105*(1+International_Fuel_Surcharge),2),ROUND(((1-IntPriorityDiscount-IntPriorityIncentive)*'Intl Priority'!E66)*(1+International_Fuel_Surcharge),2))</f>
        <v>256.02999999999997</v>
      </c>
      <c r="F69" s="231">
        <f>IF('Intl Priority'!$F$105&gt;ROUND(((1-IntPriorityDiscount-IntPriorityIncentive)*'Intl Priority'!F66),2),ROUND('Intl Priority'!$F$105*(1+International_Fuel_Surcharge),2),ROUND(((1-IntPriorityDiscount-IntPriorityIncentive)*'Intl Priority'!F66)*(1+International_Fuel_Surcharge),2))</f>
        <v>459.97</v>
      </c>
      <c r="G69" s="231">
        <f>IF('Intl Priority'!$G$105&gt;ROUND(((1-IntPriorityDiscount-IntPriorityIncentive)*'Intl Priority'!G66),2),ROUND('Intl Priority'!$G$105*(1+International_Fuel_Surcharge),2),ROUND(((1-IntPriorityDiscount-IntPriorityIncentive)*'Intl Priority'!G66)*(1+International_Fuel_Surcharge),2))</f>
        <v>253.94</v>
      </c>
      <c r="H69" s="231">
        <f>IF('Intl Priority'!$H$105&gt;ROUND(((1-IntPriorityDiscount-IntPriorityIncentive)*'Intl Priority'!H66),2),ROUND('Intl Priority'!$H$105*(1+International_Fuel_Surcharge),2),ROUND(((1-IntPriorityDiscount-IntPriorityIncentive)*'Intl Priority'!H66)*(1+International_Fuel_Surcharge),2))</f>
        <v>256.39</v>
      </c>
      <c r="I69" s="231">
        <f>IF('Intl Priority'!$I$105&gt;ROUND(((1-IntPriorityDiscount-IntPriorityIncentive)*'Intl Priority'!I66),2),ROUND('Intl Priority'!$I$105*(1+International_Fuel_Surcharge),2),ROUND(((1-IntPriorityDiscount-IntPriorityIncentive)*'Intl Priority'!I66)*(1+International_Fuel_Surcharge),2))</f>
        <v>268.37</v>
      </c>
      <c r="J69" s="231">
        <f>IF('Intl Priority'!$J$105&gt;ROUND(((1-IntPriorityDiscount-IntPriorityIncentive)*'Intl Priority'!J66),2),ROUND('Intl Priority'!$J$105*(1+International_Fuel_Surcharge),2),ROUND(((1-IntPriorityDiscount-IntPriorityIncentive)*'Intl Priority'!J66)*(1+International_Fuel_Surcharge),2))</f>
        <v>202.69</v>
      </c>
      <c r="K69" s="231">
        <f>IF('Intl Priority'!$K$105&gt;ROUND(((1-IntPriorityDiscount-IntPriorityIncentive)*'Intl Priority'!K66),2),ROUND('Intl Priority'!$K$105*(1+International_Fuel_Surcharge),2),ROUND(((1-IntPriorityDiscount-IntPriorityIncentive)*'Intl Priority'!K66)*(1+International_Fuel_Surcharge),2))</f>
        <v>413.53</v>
      </c>
      <c r="L69" s="231">
        <f>IF('Intl Priority'!$L$105&gt;ROUND(((1-IntPriorityDiscount-IntPriorityIncentive)*'Intl Priority'!L66),2),ROUND('Intl Priority'!$L$105*(1+International_Fuel_Surcharge),2),ROUND(((1-IntPriorityDiscount-IntPriorityIncentive)*'Intl Priority'!L66)*(1+International_Fuel_Surcharge),2))</f>
        <v>325.01</v>
      </c>
      <c r="M69" s="231">
        <f>IF('Intl Priority'!$M$105&gt;ROUND(((1-IntPriorityDiscount-IntPriorityIncentive)*'Intl Priority'!M66),2),ROUND('Intl Priority'!$M$105*(1+International_Fuel_Surcharge),2),ROUND(((1-IntPriorityDiscount-IntPriorityIncentive)*'Intl Priority'!M66)*(1+International_Fuel_Surcharge),2))</f>
        <v>442.1</v>
      </c>
      <c r="N69" s="231">
        <f>IF('Intl Priority'!$N$105&gt;ROUND(((1-IntPriorityDiscount-IntPriorityIncentive)*'Intl Priority'!N66),2),ROUND('Intl Priority'!$N$105*(1+International_Fuel_Surcharge),2),ROUND(((1-IntPriorityDiscount-IntPriorityIncentive)*'Intl Priority'!N66)*(1+International_Fuel_Surcharge),2))</f>
        <v>444.62</v>
      </c>
      <c r="O69" s="231">
        <f>IF('Intl Priority'!$O$105&gt;ROUND(((1-IntPriorityDiscount-IntPriorityIncentive)*'Intl Priority'!O66),2),ROUND('Intl Priority'!$O$105*(1+International_Fuel_Surcharge),2),ROUND(((1-IntPriorityDiscount-IntPriorityIncentive)*'Intl Priority'!O66)*(1+International_Fuel_Surcharge),2))</f>
        <v>332.97</v>
      </c>
      <c r="P69" s="231">
        <f>IF('Intl Priority'!$P$105&gt;ROUND(((1-IntPriorityDiscount-IntPriorityIncentive)*'Intl Priority'!P66),2),ROUND('Intl Priority'!$P$105*(1+International_Fuel_Surcharge),2),ROUND(((1-IntPriorityDiscount-IntPriorityIncentive)*'Intl Priority'!P66)*(1+International_Fuel_Surcharge),2))</f>
        <v>332.31</v>
      </c>
      <c r="Q69" s="231">
        <f>IF('Intl Priority'!$Q$105&gt;ROUND(((1-PuertoRicoDiscount)*'Intl Priority'!Q66),2),ROUND('Intl Priority'!$Q$105*(1+International_Fuel_Surcharge),2),ROUND(((1-PuertoRicoDiscount)*'Intl Priority'!Q66)*(1+International_Fuel_Surcharge),2))</f>
        <v>452.02</v>
      </c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2.75" customHeight="1">
      <c r="A70" s="217">
        <v>80</v>
      </c>
      <c r="B70" s="231">
        <f>IF('Intl Priority'!$B$105&gt;ROUND(((1-IntPriorityDiscount-IntPriorityIncentive)*'Intl Priority'!B67),2),ROUND('Intl Priority'!$B$105*(1+International_Fuel_Surcharge),2),ROUND(((1-IntPriorityDiscount-IntPriorityIncentive)*'Intl Priority'!B67)*(1+International_Fuel_Surcharge),2))</f>
        <v>149.79</v>
      </c>
      <c r="C70" s="231">
        <f>IF('Intl Priority'!$C$105&gt;ROUND(((1-IntPriorityDiscount-IntPriorityIncentive)*'Intl Priority'!C67),2),ROUND('Intl Priority'!$C$105*(1+International_Fuel_Surcharge),2),ROUND(((1-IntPriorityDiscount-IntPriorityIncentive)*'Intl Priority'!C67)*(1+International_Fuel_Surcharge),2))</f>
        <v>168.67</v>
      </c>
      <c r="D70" s="231">
        <f>IF('Intl Priority'!$D$105&gt;ROUND(((1-IntPriorityDiscount-IntPriorityIncentive)*'Intl Priority'!D67),2),ROUND('Intl Priority'!$D$105*(1+International_Fuel_Surcharge),2),ROUND(((1-IntPriorityDiscount-IntPriorityIncentive)*'Intl Priority'!D67)*(1+International_Fuel_Surcharge),2))</f>
        <v>168</v>
      </c>
      <c r="E70" s="231">
        <f>IF('Intl Priority'!$E$105&gt;ROUND(((1-IntPriorityDiscount-IntPriorityIncentive)*'Intl Priority'!E67),2),ROUND('Intl Priority'!$E$105*(1+International_Fuel_Surcharge),2),ROUND(((1-IntPriorityDiscount-IntPriorityIncentive)*'Intl Priority'!E67)*(1+International_Fuel_Surcharge),2))</f>
        <v>256.64999999999998</v>
      </c>
      <c r="F70" s="231">
        <f>IF('Intl Priority'!$F$105&gt;ROUND(((1-IntPriorityDiscount-IntPriorityIncentive)*'Intl Priority'!F67),2),ROUND('Intl Priority'!$F$105*(1+International_Fuel_Surcharge),2),ROUND(((1-IntPriorityDiscount-IntPriorityIncentive)*'Intl Priority'!F67)*(1+International_Fuel_Surcharge),2))</f>
        <v>460.04</v>
      </c>
      <c r="G70" s="231">
        <f>IF('Intl Priority'!$G$105&gt;ROUND(((1-IntPriorityDiscount-IntPriorityIncentive)*'Intl Priority'!G67),2),ROUND('Intl Priority'!$G$105*(1+International_Fuel_Surcharge),2),ROUND(((1-IntPriorityDiscount-IntPriorityIncentive)*'Intl Priority'!G67)*(1+International_Fuel_Surcharge),2))</f>
        <v>254.52</v>
      </c>
      <c r="H70" s="231">
        <f>IF('Intl Priority'!$H$105&gt;ROUND(((1-IntPriorityDiscount-IntPriorityIncentive)*'Intl Priority'!H67),2),ROUND('Intl Priority'!$H$105*(1+International_Fuel_Surcharge),2),ROUND(((1-IntPriorityDiscount-IntPriorityIncentive)*'Intl Priority'!H67)*(1+International_Fuel_Surcharge),2))</f>
        <v>256.98</v>
      </c>
      <c r="I70" s="231">
        <f>IF('Intl Priority'!$I$105&gt;ROUND(((1-IntPriorityDiscount-IntPriorityIncentive)*'Intl Priority'!I67),2),ROUND('Intl Priority'!$I$105*(1+International_Fuel_Surcharge),2),ROUND(((1-IntPriorityDiscount-IntPriorityIncentive)*'Intl Priority'!I67)*(1+International_Fuel_Surcharge),2))</f>
        <v>269.01</v>
      </c>
      <c r="J70" s="231">
        <f>IF('Intl Priority'!$J$105&gt;ROUND(((1-IntPriorityDiscount-IntPriorityIncentive)*'Intl Priority'!J67),2),ROUND('Intl Priority'!$J$105*(1+International_Fuel_Surcharge),2),ROUND(((1-IntPriorityDiscount-IntPriorityIncentive)*'Intl Priority'!J67)*(1+International_Fuel_Surcharge),2))</f>
        <v>203.71</v>
      </c>
      <c r="K70" s="231">
        <f>IF('Intl Priority'!$K$105&gt;ROUND(((1-IntPriorityDiscount-IntPriorityIncentive)*'Intl Priority'!K67),2),ROUND('Intl Priority'!$K$105*(1+International_Fuel_Surcharge),2),ROUND(((1-IntPriorityDiscount-IntPriorityIncentive)*'Intl Priority'!K67)*(1+International_Fuel_Surcharge),2))</f>
        <v>416.54</v>
      </c>
      <c r="L70" s="231">
        <f>IF('Intl Priority'!$L$105&gt;ROUND(((1-IntPriorityDiscount-IntPriorityIncentive)*'Intl Priority'!L67),2),ROUND('Intl Priority'!$L$105*(1+International_Fuel_Surcharge),2),ROUND(((1-IntPriorityDiscount-IntPriorityIncentive)*'Intl Priority'!L67)*(1+International_Fuel_Surcharge),2))</f>
        <v>327.49</v>
      </c>
      <c r="M70" s="231">
        <f>IF('Intl Priority'!$M$105&gt;ROUND(((1-IntPriorityDiscount-IntPriorityIncentive)*'Intl Priority'!M67),2),ROUND('Intl Priority'!$M$105*(1+International_Fuel_Surcharge),2),ROUND(((1-IntPriorityDiscount-IntPriorityIncentive)*'Intl Priority'!M67)*(1+International_Fuel_Surcharge),2))</f>
        <v>462.38</v>
      </c>
      <c r="N70" s="231">
        <f>IF('Intl Priority'!$N$105&gt;ROUND(((1-IntPriorityDiscount-IntPriorityIncentive)*'Intl Priority'!N67),2),ROUND('Intl Priority'!$N$105*(1+International_Fuel_Surcharge),2),ROUND(((1-IntPriorityDiscount-IntPriorityIncentive)*'Intl Priority'!N67)*(1+International_Fuel_Surcharge),2))</f>
        <v>453.8</v>
      </c>
      <c r="O70" s="231">
        <f>IF('Intl Priority'!$O$105&gt;ROUND(((1-IntPriorityDiscount-IntPriorityIncentive)*'Intl Priority'!O67),2),ROUND('Intl Priority'!$O$105*(1+International_Fuel_Surcharge),2),ROUND(((1-IntPriorityDiscount-IntPriorityIncentive)*'Intl Priority'!O67)*(1+International_Fuel_Surcharge),2))</f>
        <v>345.38</v>
      </c>
      <c r="P70" s="231">
        <f>IF('Intl Priority'!$P$105&gt;ROUND(((1-IntPriorityDiscount-IntPriorityIncentive)*'Intl Priority'!P67),2),ROUND('Intl Priority'!$P$105*(1+International_Fuel_Surcharge),2),ROUND(((1-IntPriorityDiscount-IntPriorityIncentive)*'Intl Priority'!P67)*(1+International_Fuel_Surcharge),2))</f>
        <v>332.36</v>
      </c>
      <c r="Q70" s="231">
        <f>IF('Intl Priority'!$Q$105&gt;ROUND(((1-PuertoRicoDiscount)*'Intl Priority'!Q67),2),ROUND('Intl Priority'!$Q$105*(1+International_Fuel_Surcharge),2),ROUND(((1-PuertoRicoDiscount)*'Intl Priority'!Q67)*(1+International_Fuel_Surcharge),2))</f>
        <v>452.2</v>
      </c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2.75" customHeight="1">
      <c r="A71" s="217">
        <v>82</v>
      </c>
      <c r="B71" s="231">
        <f>IF('Intl Priority'!$B$105&gt;ROUND(((1-IntPriorityDiscount-IntPriorityIncentive)*'Intl Priority'!B68),2),ROUND('Intl Priority'!$B$105*(1+International_Fuel_Surcharge),2),ROUND(((1-IntPriorityDiscount-IntPriorityIncentive)*'Intl Priority'!B68)*(1+International_Fuel_Surcharge),2))</f>
        <v>149.85</v>
      </c>
      <c r="C71" s="231">
        <f>IF('Intl Priority'!$C$105&gt;ROUND(((1-IntPriorityDiscount-IntPriorityIncentive)*'Intl Priority'!C68),2),ROUND('Intl Priority'!$C$105*(1+International_Fuel_Surcharge),2),ROUND(((1-IntPriorityDiscount-IntPriorityIncentive)*'Intl Priority'!C68)*(1+International_Fuel_Surcharge),2))</f>
        <v>171.18</v>
      </c>
      <c r="D71" s="231">
        <f>IF('Intl Priority'!$D$105&gt;ROUND(((1-IntPriorityDiscount-IntPriorityIncentive)*'Intl Priority'!D68),2),ROUND('Intl Priority'!$D$105*(1+International_Fuel_Surcharge),2),ROUND(((1-IntPriorityDiscount-IntPriorityIncentive)*'Intl Priority'!D68)*(1+International_Fuel_Surcharge),2))</f>
        <v>171.2</v>
      </c>
      <c r="E71" s="231">
        <f>IF('Intl Priority'!$E$105&gt;ROUND(((1-IntPriorityDiscount-IntPriorityIncentive)*'Intl Priority'!E68),2),ROUND('Intl Priority'!$E$105*(1+International_Fuel_Surcharge),2),ROUND(((1-IntPriorityDiscount-IntPriorityIncentive)*'Intl Priority'!E68)*(1+International_Fuel_Surcharge),2))</f>
        <v>269.02999999999997</v>
      </c>
      <c r="F71" s="231">
        <f>IF('Intl Priority'!$F$105&gt;ROUND(((1-IntPriorityDiscount-IntPriorityIncentive)*'Intl Priority'!F68),2),ROUND('Intl Priority'!$F$105*(1+International_Fuel_Surcharge),2),ROUND(((1-IntPriorityDiscount-IntPriorityIncentive)*'Intl Priority'!F68)*(1+International_Fuel_Surcharge),2))</f>
        <v>461.15</v>
      </c>
      <c r="G71" s="231">
        <f>IF('Intl Priority'!$G$105&gt;ROUND(((1-IntPriorityDiscount-IntPriorityIncentive)*'Intl Priority'!G68),2),ROUND('Intl Priority'!$G$105*(1+International_Fuel_Surcharge),2),ROUND(((1-IntPriorityDiscount-IntPriorityIncentive)*'Intl Priority'!G68)*(1+International_Fuel_Surcharge),2))</f>
        <v>260.24</v>
      </c>
      <c r="H71" s="231">
        <f>IF('Intl Priority'!$H$105&gt;ROUND(((1-IntPriorityDiscount-IntPriorityIncentive)*'Intl Priority'!H68),2),ROUND('Intl Priority'!$H$105*(1+International_Fuel_Surcharge),2),ROUND(((1-IntPriorityDiscount-IntPriorityIncentive)*'Intl Priority'!H68)*(1+International_Fuel_Surcharge),2))</f>
        <v>258.12</v>
      </c>
      <c r="I71" s="231">
        <f>IF('Intl Priority'!$I$105&gt;ROUND(((1-IntPriorityDiscount-IntPriorityIncentive)*'Intl Priority'!I68),2),ROUND('Intl Priority'!$I$105*(1+International_Fuel_Surcharge),2),ROUND(((1-IntPriorityDiscount-IntPriorityIncentive)*'Intl Priority'!I68)*(1+International_Fuel_Surcharge),2))</f>
        <v>281.91000000000003</v>
      </c>
      <c r="J71" s="231">
        <f>IF('Intl Priority'!$J$105&gt;ROUND(((1-IntPriorityDiscount-IntPriorityIncentive)*'Intl Priority'!J68),2),ROUND('Intl Priority'!$J$105*(1+International_Fuel_Surcharge),2),ROUND(((1-IntPriorityDiscount-IntPriorityIncentive)*'Intl Priority'!J68)*(1+International_Fuel_Surcharge),2))</f>
        <v>203.84</v>
      </c>
      <c r="K71" s="231">
        <f>IF('Intl Priority'!$K$105&gt;ROUND(((1-IntPriorityDiscount-IntPriorityIncentive)*'Intl Priority'!K68),2),ROUND('Intl Priority'!$K$105*(1+International_Fuel_Surcharge),2),ROUND(((1-IntPriorityDiscount-IntPriorityIncentive)*'Intl Priority'!K68)*(1+International_Fuel_Surcharge),2))</f>
        <v>416.84</v>
      </c>
      <c r="L71" s="231">
        <f>IF('Intl Priority'!$L$105&gt;ROUND(((1-IntPriorityDiscount-IntPriorityIncentive)*'Intl Priority'!L68),2),ROUND('Intl Priority'!$L$105*(1+International_Fuel_Surcharge),2),ROUND(((1-IntPriorityDiscount-IntPriorityIncentive)*'Intl Priority'!L68)*(1+International_Fuel_Surcharge),2))</f>
        <v>327.75</v>
      </c>
      <c r="M71" s="231">
        <f>IF('Intl Priority'!$M$105&gt;ROUND(((1-IntPriorityDiscount-IntPriorityIncentive)*'Intl Priority'!M68),2),ROUND('Intl Priority'!$M$105*(1+International_Fuel_Surcharge),2),ROUND(((1-IntPriorityDiscount-IntPriorityIncentive)*'Intl Priority'!M68)*(1+International_Fuel_Surcharge),2))</f>
        <v>464.42</v>
      </c>
      <c r="N71" s="231">
        <f>IF('Intl Priority'!$N$105&gt;ROUND(((1-IntPriorityDiscount-IntPriorityIncentive)*'Intl Priority'!N68),2),ROUND('Intl Priority'!$N$105*(1+International_Fuel_Surcharge),2),ROUND(((1-IntPriorityDiscount-IntPriorityIncentive)*'Intl Priority'!N68)*(1+International_Fuel_Surcharge),2))</f>
        <v>454.72</v>
      </c>
      <c r="O71" s="231">
        <f>IF('Intl Priority'!$O$105&gt;ROUND(((1-IntPriorityDiscount-IntPriorityIncentive)*'Intl Priority'!O68),2),ROUND('Intl Priority'!$O$105*(1+International_Fuel_Surcharge),2),ROUND(((1-IntPriorityDiscount-IntPriorityIncentive)*'Intl Priority'!O68)*(1+International_Fuel_Surcharge),2))</f>
        <v>346.66</v>
      </c>
      <c r="P71" s="231">
        <f>IF('Intl Priority'!$P$105&gt;ROUND(((1-IntPriorityDiscount-IntPriorityIncentive)*'Intl Priority'!P68),2),ROUND('Intl Priority'!$P$105*(1+International_Fuel_Surcharge),2),ROUND(((1-IntPriorityDiscount-IntPriorityIncentive)*'Intl Priority'!P68)*(1+International_Fuel_Surcharge),2))</f>
        <v>332.46</v>
      </c>
      <c r="Q71" s="231">
        <f>IF('Intl Priority'!$Q$105&gt;ROUND(((1-PuertoRicoDiscount)*'Intl Priority'!Q68),2),ROUND('Intl Priority'!$Q$105*(1+International_Fuel_Surcharge),2),ROUND(((1-PuertoRicoDiscount)*'Intl Priority'!Q68)*(1+International_Fuel_Surcharge),2))</f>
        <v>460.21</v>
      </c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2.75" customHeight="1">
      <c r="A72" s="217">
        <v>84</v>
      </c>
      <c r="B72" s="231">
        <f>IF('Intl Priority'!$B$105&gt;ROUND(((1-IntPriorityDiscount-IntPriorityIncentive)*'Intl Priority'!B69),2),ROUND('Intl Priority'!$B$105*(1+International_Fuel_Surcharge),2),ROUND(((1-IntPriorityDiscount-IntPriorityIncentive)*'Intl Priority'!B69)*(1+International_Fuel_Surcharge),2))</f>
        <v>149.93</v>
      </c>
      <c r="C72" s="231">
        <f>IF('Intl Priority'!$C$105&gt;ROUND(((1-IntPriorityDiscount-IntPriorityIncentive)*'Intl Priority'!C69),2),ROUND('Intl Priority'!$C$105*(1+International_Fuel_Surcharge),2),ROUND(((1-IntPriorityDiscount-IntPriorityIncentive)*'Intl Priority'!C69)*(1+International_Fuel_Surcharge),2))</f>
        <v>172.92</v>
      </c>
      <c r="D72" s="231">
        <f>IF('Intl Priority'!$D$105&gt;ROUND(((1-IntPriorityDiscount-IntPriorityIncentive)*'Intl Priority'!D69),2),ROUND('Intl Priority'!$D$105*(1+International_Fuel_Surcharge),2),ROUND(((1-IntPriorityDiscount-IntPriorityIncentive)*'Intl Priority'!D69)*(1+International_Fuel_Surcharge),2))</f>
        <v>174.05</v>
      </c>
      <c r="E72" s="231">
        <f>IF('Intl Priority'!$E$105&gt;ROUND(((1-IntPriorityDiscount-IntPriorityIncentive)*'Intl Priority'!E69),2),ROUND('Intl Priority'!$E$105*(1+International_Fuel_Surcharge),2),ROUND(((1-IntPriorityDiscount-IntPriorityIncentive)*'Intl Priority'!E69)*(1+International_Fuel_Surcharge),2))</f>
        <v>270.29000000000002</v>
      </c>
      <c r="F72" s="231">
        <f>IF('Intl Priority'!$F$105&gt;ROUND(((1-IntPriorityDiscount-IntPriorityIncentive)*'Intl Priority'!F69),2),ROUND('Intl Priority'!$F$105*(1+International_Fuel_Surcharge),2),ROUND(((1-IntPriorityDiscount-IntPriorityIncentive)*'Intl Priority'!F69)*(1+International_Fuel_Surcharge),2))</f>
        <v>470.39</v>
      </c>
      <c r="G72" s="231">
        <f>IF('Intl Priority'!$G$105&gt;ROUND(((1-IntPriorityDiscount-IntPriorityIncentive)*'Intl Priority'!G69),2),ROUND('Intl Priority'!$G$105*(1+International_Fuel_Surcharge),2),ROUND(((1-IntPriorityDiscount-IntPriorityIncentive)*'Intl Priority'!G69)*(1+International_Fuel_Surcharge),2))</f>
        <v>260.83999999999997</v>
      </c>
      <c r="H72" s="231">
        <f>IF('Intl Priority'!$H$105&gt;ROUND(((1-IntPriorityDiscount-IntPriorityIncentive)*'Intl Priority'!H69),2),ROUND('Intl Priority'!$H$105*(1+International_Fuel_Surcharge),2),ROUND(((1-IntPriorityDiscount-IntPriorityIncentive)*'Intl Priority'!H69)*(1+International_Fuel_Surcharge),2))</f>
        <v>258.64999999999998</v>
      </c>
      <c r="I72" s="231">
        <f>IF('Intl Priority'!$I$105&gt;ROUND(((1-IntPriorityDiscount-IntPriorityIncentive)*'Intl Priority'!I69),2),ROUND('Intl Priority'!$I$105*(1+International_Fuel_Surcharge),2),ROUND(((1-IntPriorityDiscount-IntPriorityIncentive)*'Intl Priority'!I69)*(1+International_Fuel_Surcharge),2))</f>
        <v>287.33</v>
      </c>
      <c r="J72" s="231">
        <f>IF('Intl Priority'!$J$105&gt;ROUND(((1-IntPriorityDiscount-IntPriorityIncentive)*'Intl Priority'!J69),2),ROUND('Intl Priority'!$J$105*(1+International_Fuel_Surcharge),2),ROUND(((1-IntPriorityDiscount-IntPriorityIncentive)*'Intl Priority'!J69)*(1+International_Fuel_Surcharge),2))</f>
        <v>205.9</v>
      </c>
      <c r="K72" s="231">
        <f>IF('Intl Priority'!$K$105&gt;ROUND(((1-IntPriorityDiscount-IntPriorityIncentive)*'Intl Priority'!K69),2),ROUND('Intl Priority'!$K$105*(1+International_Fuel_Surcharge),2),ROUND(((1-IntPriorityDiscount-IntPriorityIncentive)*'Intl Priority'!K69)*(1+International_Fuel_Surcharge),2))</f>
        <v>419.54</v>
      </c>
      <c r="L72" s="231">
        <f>IF('Intl Priority'!$L$105&gt;ROUND(((1-IntPriorityDiscount-IntPriorityIncentive)*'Intl Priority'!L69),2),ROUND('Intl Priority'!$L$105*(1+International_Fuel_Surcharge),2),ROUND(((1-IntPriorityDiscount-IntPriorityIncentive)*'Intl Priority'!L69)*(1+International_Fuel_Surcharge),2))</f>
        <v>327.81</v>
      </c>
      <c r="M72" s="231">
        <f>IF('Intl Priority'!$M$105&gt;ROUND(((1-IntPriorityDiscount-IntPriorityIncentive)*'Intl Priority'!M69),2),ROUND('Intl Priority'!$M$105*(1+International_Fuel_Surcharge),2),ROUND(((1-IntPriorityDiscount-IntPriorityIncentive)*'Intl Priority'!M69)*(1+International_Fuel_Surcharge),2))</f>
        <v>470.79</v>
      </c>
      <c r="N72" s="231">
        <f>IF('Intl Priority'!$N$105&gt;ROUND(((1-IntPriorityDiscount-IntPriorityIncentive)*'Intl Priority'!N69),2),ROUND('Intl Priority'!$N$105*(1+International_Fuel_Surcharge),2),ROUND(((1-IntPriorityDiscount-IntPriorityIncentive)*'Intl Priority'!N69)*(1+International_Fuel_Surcharge),2))</f>
        <v>456.63</v>
      </c>
      <c r="O72" s="231">
        <f>IF('Intl Priority'!$O$105&gt;ROUND(((1-IntPriorityDiscount-IntPriorityIncentive)*'Intl Priority'!O69),2),ROUND('Intl Priority'!$O$105*(1+International_Fuel_Surcharge),2),ROUND(((1-IntPriorityDiscount-IntPriorityIncentive)*'Intl Priority'!O69)*(1+International_Fuel_Surcharge),2))</f>
        <v>347.15</v>
      </c>
      <c r="P72" s="231">
        <f>IF('Intl Priority'!$P$105&gt;ROUND(((1-IntPriorityDiscount-IntPriorityIncentive)*'Intl Priority'!P69),2),ROUND('Intl Priority'!$P$105*(1+International_Fuel_Surcharge),2),ROUND(((1-IntPriorityDiscount-IntPriorityIncentive)*'Intl Priority'!P69)*(1+International_Fuel_Surcharge),2))</f>
        <v>334.35</v>
      </c>
      <c r="Q72" s="231">
        <f>IF('Intl Priority'!$Q$105&gt;ROUND(((1-PuertoRicoDiscount)*'Intl Priority'!Q69),2),ROUND('Intl Priority'!$Q$105*(1+International_Fuel_Surcharge),2),ROUND(((1-PuertoRicoDiscount)*'Intl Priority'!Q69)*(1+International_Fuel_Surcharge),2))</f>
        <v>474.35</v>
      </c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2.75" customHeight="1">
      <c r="A73" s="217">
        <v>86</v>
      </c>
      <c r="B73" s="231">
        <f>IF('Intl Priority'!$B$105&gt;ROUND(((1-IntPriorityDiscount-IntPriorityIncentive)*'Intl Priority'!B70),2),ROUND('Intl Priority'!$B$105*(1+International_Fuel_Surcharge),2),ROUND(((1-IntPriorityDiscount-IntPriorityIncentive)*'Intl Priority'!B70)*(1+International_Fuel_Surcharge),2))</f>
        <v>149.99</v>
      </c>
      <c r="C73" s="231">
        <f>IF('Intl Priority'!$C$105&gt;ROUND(((1-IntPriorityDiscount-IntPriorityIncentive)*'Intl Priority'!C70),2),ROUND('Intl Priority'!$C$105*(1+International_Fuel_Surcharge),2),ROUND(((1-IntPriorityDiscount-IntPriorityIncentive)*'Intl Priority'!C70)*(1+International_Fuel_Surcharge),2))</f>
        <v>173.6</v>
      </c>
      <c r="D73" s="231">
        <f>IF('Intl Priority'!$D$105&gt;ROUND(((1-IntPriorityDiscount-IntPriorityIncentive)*'Intl Priority'!D70),2),ROUND('Intl Priority'!$D$105*(1+International_Fuel_Surcharge),2),ROUND(((1-IntPriorityDiscount-IntPriorityIncentive)*'Intl Priority'!D70)*(1+International_Fuel_Surcharge),2))</f>
        <v>179.53</v>
      </c>
      <c r="E73" s="231">
        <f>IF('Intl Priority'!$E$105&gt;ROUND(((1-IntPriorityDiscount-IntPriorityIncentive)*'Intl Priority'!E70),2),ROUND('Intl Priority'!$E$105*(1+International_Fuel_Surcharge),2),ROUND(((1-IntPriorityDiscount-IntPriorityIncentive)*'Intl Priority'!E70)*(1+International_Fuel_Surcharge),2))</f>
        <v>276.20999999999998</v>
      </c>
      <c r="F73" s="231">
        <f>IF('Intl Priority'!$F$105&gt;ROUND(((1-IntPriorityDiscount-IntPriorityIncentive)*'Intl Priority'!F70),2),ROUND('Intl Priority'!$F$105*(1+International_Fuel_Surcharge),2),ROUND(((1-IntPriorityDiscount-IntPriorityIncentive)*'Intl Priority'!F70)*(1+International_Fuel_Surcharge),2))</f>
        <v>484.72</v>
      </c>
      <c r="G73" s="231">
        <f>IF('Intl Priority'!$G$105&gt;ROUND(((1-IntPriorityDiscount-IntPriorityIncentive)*'Intl Priority'!G70),2),ROUND('Intl Priority'!$G$105*(1+International_Fuel_Surcharge),2),ROUND(((1-IntPriorityDiscount-IntPriorityIncentive)*'Intl Priority'!G70)*(1+International_Fuel_Surcharge),2))</f>
        <v>266.57</v>
      </c>
      <c r="H73" s="231">
        <f>IF('Intl Priority'!$H$105&gt;ROUND(((1-IntPriorityDiscount-IntPriorityIncentive)*'Intl Priority'!H70),2),ROUND('Intl Priority'!$H$105*(1+International_Fuel_Surcharge),2),ROUND(((1-IntPriorityDiscount-IntPriorityIncentive)*'Intl Priority'!H70)*(1+International_Fuel_Surcharge),2))</f>
        <v>268.69</v>
      </c>
      <c r="I73" s="231">
        <f>IF('Intl Priority'!$I$105&gt;ROUND(((1-IntPriorityDiscount-IntPriorityIncentive)*'Intl Priority'!I70),2),ROUND('Intl Priority'!$I$105*(1+International_Fuel_Surcharge),2),ROUND(((1-IntPriorityDiscount-IntPriorityIncentive)*'Intl Priority'!I70)*(1+International_Fuel_Surcharge),2))</f>
        <v>287.88</v>
      </c>
      <c r="J73" s="231">
        <f>IF('Intl Priority'!$J$105&gt;ROUND(((1-IntPriorityDiscount-IntPriorityIncentive)*'Intl Priority'!J70),2),ROUND('Intl Priority'!$J$105*(1+International_Fuel_Surcharge),2),ROUND(((1-IntPriorityDiscount-IntPriorityIncentive)*'Intl Priority'!J70)*(1+International_Fuel_Surcharge),2))</f>
        <v>207.18</v>
      </c>
      <c r="K73" s="231">
        <f>IF('Intl Priority'!$K$105&gt;ROUND(((1-IntPriorityDiscount-IntPriorityIncentive)*'Intl Priority'!K70),2),ROUND('Intl Priority'!$K$105*(1+International_Fuel_Surcharge),2),ROUND(((1-IntPriorityDiscount-IntPriorityIncentive)*'Intl Priority'!K70)*(1+International_Fuel_Surcharge),2))</f>
        <v>420.04</v>
      </c>
      <c r="L73" s="231">
        <f>IF('Intl Priority'!$L$105&gt;ROUND(((1-IntPriorityDiscount-IntPriorityIncentive)*'Intl Priority'!L70),2),ROUND('Intl Priority'!$L$105*(1+International_Fuel_Surcharge),2),ROUND(((1-IntPriorityDiscount-IntPriorityIncentive)*'Intl Priority'!L70)*(1+International_Fuel_Surcharge),2))</f>
        <v>327.87</v>
      </c>
      <c r="M73" s="231">
        <f>IF('Intl Priority'!$M$105&gt;ROUND(((1-IntPriorityDiscount-IntPriorityIncentive)*'Intl Priority'!M70),2),ROUND('Intl Priority'!$M$105*(1+International_Fuel_Surcharge),2),ROUND(((1-IntPriorityDiscount-IntPriorityIncentive)*'Intl Priority'!M70)*(1+International_Fuel_Surcharge),2))</f>
        <v>501.76</v>
      </c>
      <c r="N73" s="231">
        <f>IF('Intl Priority'!$N$105&gt;ROUND(((1-IntPriorityDiscount-IntPriorityIncentive)*'Intl Priority'!N70),2),ROUND('Intl Priority'!$N$105*(1+International_Fuel_Surcharge),2),ROUND(((1-IntPriorityDiscount-IntPriorityIncentive)*'Intl Priority'!N70)*(1+International_Fuel_Surcharge),2))</f>
        <v>477.57</v>
      </c>
      <c r="O73" s="231">
        <f>IF('Intl Priority'!$O$105&gt;ROUND(((1-IntPriorityDiscount-IntPriorityIncentive)*'Intl Priority'!O70),2),ROUND('Intl Priority'!$O$105*(1+International_Fuel_Surcharge),2),ROUND(((1-IntPriorityDiscount-IntPriorityIncentive)*'Intl Priority'!O70)*(1+International_Fuel_Surcharge),2))</f>
        <v>347.49</v>
      </c>
      <c r="P73" s="231">
        <f>IF('Intl Priority'!$P$105&gt;ROUND(((1-IntPriorityDiscount-IntPriorityIncentive)*'Intl Priority'!P70),2),ROUND('Intl Priority'!$P$105*(1+International_Fuel_Surcharge),2),ROUND(((1-IntPriorityDiscount-IntPriorityIncentive)*'Intl Priority'!P70)*(1+International_Fuel_Surcharge),2))</f>
        <v>372.07</v>
      </c>
      <c r="Q73" s="231">
        <f>IF('Intl Priority'!$Q$105&gt;ROUND(((1-PuertoRicoDiscount)*'Intl Priority'!Q70),2),ROUND('Intl Priority'!$Q$105*(1+International_Fuel_Surcharge),2),ROUND(((1-PuertoRicoDiscount)*'Intl Priority'!Q70)*(1+International_Fuel_Surcharge),2))</f>
        <v>475.58</v>
      </c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2.75" customHeight="1">
      <c r="A74" s="217">
        <v>88</v>
      </c>
      <c r="B74" s="231">
        <f>IF('Intl Priority'!$B$105&gt;ROUND(((1-IntPriorityDiscount-IntPriorityIncentive)*'Intl Priority'!B71),2),ROUND('Intl Priority'!$B$105*(1+International_Fuel_Surcharge),2),ROUND(((1-IntPriorityDiscount-IntPriorityIncentive)*'Intl Priority'!B71)*(1+International_Fuel_Surcharge),2))</f>
        <v>150.05000000000001</v>
      </c>
      <c r="C74" s="231">
        <f>IF('Intl Priority'!$C$105&gt;ROUND(((1-IntPriorityDiscount-IntPriorityIncentive)*'Intl Priority'!C71),2),ROUND('Intl Priority'!$C$105*(1+International_Fuel_Surcharge),2),ROUND(((1-IntPriorityDiscount-IntPriorityIncentive)*'Intl Priority'!C71)*(1+International_Fuel_Surcharge),2))</f>
        <v>173.67</v>
      </c>
      <c r="D74" s="231">
        <f>IF('Intl Priority'!$D$105&gt;ROUND(((1-IntPriorityDiscount-IntPriorityIncentive)*'Intl Priority'!D71),2),ROUND('Intl Priority'!$D$105*(1+International_Fuel_Surcharge),2),ROUND(((1-IntPriorityDiscount-IntPriorityIncentive)*'Intl Priority'!D71)*(1+International_Fuel_Surcharge),2))</f>
        <v>180.34</v>
      </c>
      <c r="E74" s="231">
        <f>IF('Intl Priority'!$E$105&gt;ROUND(((1-IntPriorityDiscount-IntPriorityIncentive)*'Intl Priority'!E71),2),ROUND('Intl Priority'!$E$105*(1+International_Fuel_Surcharge),2),ROUND(((1-IntPriorityDiscount-IntPriorityIncentive)*'Intl Priority'!E71)*(1+International_Fuel_Surcharge),2))</f>
        <v>276.8</v>
      </c>
      <c r="F74" s="231">
        <f>IF('Intl Priority'!$F$105&gt;ROUND(((1-IntPriorityDiscount-IntPriorityIncentive)*'Intl Priority'!F71),2),ROUND('Intl Priority'!$F$105*(1+International_Fuel_Surcharge),2),ROUND(((1-IntPriorityDiscount-IntPriorityIncentive)*'Intl Priority'!F71)*(1+International_Fuel_Surcharge),2))</f>
        <v>486.16</v>
      </c>
      <c r="G74" s="231">
        <f>IF('Intl Priority'!$G$105&gt;ROUND(((1-IntPriorityDiscount-IntPriorityIncentive)*'Intl Priority'!G71),2),ROUND('Intl Priority'!$G$105*(1+International_Fuel_Surcharge),2),ROUND(((1-IntPriorityDiscount-IntPriorityIncentive)*'Intl Priority'!G71)*(1+International_Fuel_Surcharge),2))</f>
        <v>267.14999999999998</v>
      </c>
      <c r="H74" s="231">
        <f>IF('Intl Priority'!$H$105&gt;ROUND(((1-IntPriorityDiscount-IntPriorityIncentive)*'Intl Priority'!H71),2),ROUND('Intl Priority'!$H$105*(1+International_Fuel_Surcharge),2),ROUND(((1-IntPriorityDiscount-IntPriorityIncentive)*'Intl Priority'!H71)*(1+International_Fuel_Surcharge),2))</f>
        <v>269.73</v>
      </c>
      <c r="I74" s="231">
        <f>IF('Intl Priority'!$I$105&gt;ROUND(((1-IntPriorityDiscount-IntPriorityIncentive)*'Intl Priority'!I71),2),ROUND('Intl Priority'!$I$105*(1+International_Fuel_Surcharge),2),ROUND(((1-IntPriorityDiscount-IntPriorityIncentive)*'Intl Priority'!I71)*(1+International_Fuel_Surcharge),2))</f>
        <v>287.93</v>
      </c>
      <c r="J74" s="231">
        <f>IF('Intl Priority'!$J$105&gt;ROUND(((1-IntPriorityDiscount-IntPriorityIncentive)*'Intl Priority'!J71),2),ROUND('Intl Priority'!$J$105*(1+International_Fuel_Surcharge),2),ROUND(((1-IntPriorityDiscount-IntPriorityIncentive)*'Intl Priority'!J71)*(1+International_Fuel_Surcharge),2))</f>
        <v>215.77</v>
      </c>
      <c r="K74" s="231">
        <f>IF('Intl Priority'!$K$105&gt;ROUND(((1-IntPriorityDiscount-IntPriorityIncentive)*'Intl Priority'!K71),2),ROUND('Intl Priority'!$K$105*(1+International_Fuel_Surcharge),2),ROUND(((1-IntPriorityDiscount-IntPriorityIncentive)*'Intl Priority'!K71)*(1+International_Fuel_Surcharge),2))</f>
        <v>430</v>
      </c>
      <c r="L74" s="231">
        <f>IF('Intl Priority'!$L$105&gt;ROUND(((1-IntPriorityDiscount-IntPriorityIncentive)*'Intl Priority'!L71),2),ROUND('Intl Priority'!$L$105*(1+International_Fuel_Surcharge),2),ROUND(((1-IntPriorityDiscount-IntPriorityIncentive)*'Intl Priority'!L71)*(1+International_Fuel_Surcharge),2))</f>
        <v>327.93</v>
      </c>
      <c r="M74" s="231">
        <f>IF('Intl Priority'!$M$105&gt;ROUND(((1-IntPriorityDiscount-IntPriorityIncentive)*'Intl Priority'!M71),2),ROUND('Intl Priority'!$M$105*(1+International_Fuel_Surcharge),2),ROUND(((1-IntPriorityDiscount-IntPriorityIncentive)*'Intl Priority'!M71)*(1+International_Fuel_Surcharge),2))</f>
        <v>504.86</v>
      </c>
      <c r="N74" s="231">
        <f>IF('Intl Priority'!$N$105&gt;ROUND(((1-IntPriorityDiscount-IntPriorityIncentive)*'Intl Priority'!N71),2),ROUND('Intl Priority'!$N$105*(1+International_Fuel_Surcharge),2),ROUND(((1-IntPriorityDiscount-IntPriorityIncentive)*'Intl Priority'!N71)*(1+International_Fuel_Surcharge),2))</f>
        <v>480.31</v>
      </c>
      <c r="O74" s="231">
        <f>IF('Intl Priority'!$O$105&gt;ROUND(((1-IntPriorityDiscount-IntPriorityIncentive)*'Intl Priority'!O71),2),ROUND('Intl Priority'!$O$105*(1+International_Fuel_Surcharge),2),ROUND(((1-IntPriorityDiscount-IntPriorityIncentive)*'Intl Priority'!O71)*(1+International_Fuel_Surcharge),2))</f>
        <v>353.85</v>
      </c>
      <c r="P74" s="231">
        <f>IF('Intl Priority'!$P$105&gt;ROUND(((1-IntPriorityDiscount-IntPriorityIncentive)*'Intl Priority'!P71),2),ROUND('Intl Priority'!$P$105*(1+International_Fuel_Surcharge),2),ROUND(((1-IntPriorityDiscount-IntPriorityIncentive)*'Intl Priority'!P71)*(1+International_Fuel_Surcharge),2))</f>
        <v>375.84</v>
      </c>
      <c r="Q74" s="231">
        <f>IF('Intl Priority'!$Q$105&gt;ROUND(((1-PuertoRicoDiscount)*'Intl Priority'!Q71),2),ROUND('Intl Priority'!$Q$105*(1+International_Fuel_Surcharge),2),ROUND(((1-PuertoRicoDiscount)*'Intl Priority'!Q71)*(1+International_Fuel_Surcharge),2))</f>
        <v>490.33</v>
      </c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2.75" customHeight="1">
      <c r="A75" s="217">
        <v>90</v>
      </c>
      <c r="B75" s="231">
        <f>IF('Intl Priority'!$B$105&gt;ROUND(((1-IntPriorityDiscount-IntPriorityIncentive)*'Intl Priority'!B72),2),ROUND('Intl Priority'!$B$105*(1+International_Fuel_Surcharge),2),ROUND(((1-IntPriorityDiscount-IntPriorityIncentive)*'Intl Priority'!B72)*(1+International_Fuel_Surcharge),2))</f>
        <v>150.11000000000001</v>
      </c>
      <c r="C75" s="231">
        <f>IF('Intl Priority'!$C$105&gt;ROUND(((1-IntPriorityDiscount-IntPriorityIncentive)*'Intl Priority'!C72),2),ROUND('Intl Priority'!$C$105*(1+International_Fuel_Surcharge),2),ROUND(((1-IntPriorityDiscount-IntPriorityIncentive)*'Intl Priority'!C72)*(1+International_Fuel_Surcharge),2))</f>
        <v>173.73</v>
      </c>
      <c r="D75" s="231">
        <f>IF('Intl Priority'!$D$105&gt;ROUND(((1-IntPriorityDiscount-IntPriorityIncentive)*'Intl Priority'!D72),2),ROUND('Intl Priority'!$D$105*(1+International_Fuel_Surcharge),2),ROUND(((1-IntPriorityDiscount-IntPriorityIncentive)*'Intl Priority'!D72)*(1+International_Fuel_Surcharge),2))</f>
        <v>182.71</v>
      </c>
      <c r="E75" s="231">
        <f>IF('Intl Priority'!$E$105&gt;ROUND(((1-IntPriorityDiscount-IntPriorityIncentive)*'Intl Priority'!E72),2),ROUND('Intl Priority'!$E$105*(1+International_Fuel_Surcharge),2),ROUND(((1-IntPriorityDiscount-IntPriorityIncentive)*'Intl Priority'!E72)*(1+International_Fuel_Surcharge),2))</f>
        <v>282.77</v>
      </c>
      <c r="F75" s="231">
        <f>IF('Intl Priority'!$F$105&gt;ROUND(((1-IntPriorityDiscount-IntPriorityIncentive)*'Intl Priority'!F72),2),ROUND('Intl Priority'!$F$105*(1+International_Fuel_Surcharge),2),ROUND(((1-IntPriorityDiscount-IntPriorityIncentive)*'Intl Priority'!F72)*(1+International_Fuel_Surcharge),2))</f>
        <v>493.42</v>
      </c>
      <c r="G75" s="231">
        <f>IF('Intl Priority'!$G$105&gt;ROUND(((1-IntPriorityDiscount-IntPriorityIncentive)*'Intl Priority'!G72),2),ROUND('Intl Priority'!$G$105*(1+International_Fuel_Surcharge),2),ROUND(((1-IntPriorityDiscount-IntPriorityIncentive)*'Intl Priority'!G72)*(1+International_Fuel_Surcharge),2))</f>
        <v>272.88</v>
      </c>
      <c r="H75" s="231">
        <f>IF('Intl Priority'!$H$105&gt;ROUND(((1-IntPriorityDiscount-IntPriorityIncentive)*'Intl Priority'!H72),2),ROUND('Intl Priority'!$H$105*(1+International_Fuel_Surcharge),2),ROUND(((1-IntPriorityDiscount-IntPriorityIncentive)*'Intl Priority'!H72)*(1+International_Fuel_Surcharge),2))</f>
        <v>275.75</v>
      </c>
      <c r="I75" s="231">
        <f>IF('Intl Priority'!$I$105&gt;ROUND(((1-IntPriorityDiscount-IntPriorityIncentive)*'Intl Priority'!I72),2),ROUND('Intl Priority'!$I$105*(1+International_Fuel_Surcharge),2),ROUND(((1-IntPriorityDiscount-IntPriorityIncentive)*'Intl Priority'!I72)*(1+International_Fuel_Surcharge),2))</f>
        <v>288.66000000000003</v>
      </c>
      <c r="J75" s="231">
        <f>IF('Intl Priority'!$J$105&gt;ROUND(((1-IntPriorityDiscount-IntPriorityIncentive)*'Intl Priority'!J72),2),ROUND('Intl Priority'!$J$105*(1+International_Fuel_Surcharge),2),ROUND(((1-IntPriorityDiscount-IntPriorityIncentive)*'Intl Priority'!J72)*(1+International_Fuel_Surcharge),2))</f>
        <v>216.64</v>
      </c>
      <c r="K75" s="231">
        <f>IF('Intl Priority'!$K$105&gt;ROUND(((1-IntPriorityDiscount-IntPriorityIncentive)*'Intl Priority'!K72),2),ROUND('Intl Priority'!$K$105*(1+International_Fuel_Surcharge),2),ROUND(((1-IntPriorityDiscount-IntPriorityIncentive)*'Intl Priority'!K72)*(1+International_Fuel_Surcharge),2))</f>
        <v>444.32</v>
      </c>
      <c r="L75" s="231">
        <f>IF('Intl Priority'!$L$105&gt;ROUND(((1-IntPriorityDiscount-IntPriorityIncentive)*'Intl Priority'!L72),2),ROUND('Intl Priority'!$L$105*(1+International_Fuel_Surcharge),2),ROUND(((1-IntPriorityDiscount-IntPriorityIncentive)*'Intl Priority'!L72)*(1+International_Fuel_Surcharge),2))</f>
        <v>328.02</v>
      </c>
      <c r="M75" s="231">
        <f>IF('Intl Priority'!$M$105&gt;ROUND(((1-IntPriorityDiscount-IntPriorityIncentive)*'Intl Priority'!M72),2),ROUND('Intl Priority'!$M$105*(1+International_Fuel_Surcharge),2),ROUND(((1-IntPriorityDiscount-IntPriorityIncentive)*'Intl Priority'!M72)*(1+International_Fuel_Surcharge),2))</f>
        <v>505.18</v>
      </c>
      <c r="N75" s="231">
        <f>IF('Intl Priority'!$N$105&gt;ROUND(((1-IntPriorityDiscount-IntPriorityIncentive)*'Intl Priority'!N72),2),ROUND('Intl Priority'!$N$105*(1+International_Fuel_Surcharge),2),ROUND(((1-IntPriorityDiscount-IntPriorityIncentive)*'Intl Priority'!N72)*(1+International_Fuel_Surcharge),2))</f>
        <v>480.59</v>
      </c>
      <c r="O75" s="231">
        <f>IF('Intl Priority'!$O$105&gt;ROUND(((1-IntPriorityDiscount-IntPriorityIncentive)*'Intl Priority'!O72),2),ROUND('Intl Priority'!$O$105*(1+International_Fuel_Surcharge),2),ROUND(((1-IntPriorityDiscount-IntPriorityIncentive)*'Intl Priority'!O72)*(1+International_Fuel_Surcharge),2))</f>
        <v>360.11</v>
      </c>
      <c r="P75" s="231">
        <f>IF('Intl Priority'!$P$105&gt;ROUND(((1-IntPriorityDiscount-IntPriorityIncentive)*'Intl Priority'!P72),2),ROUND('Intl Priority'!$P$105*(1+International_Fuel_Surcharge),2),ROUND(((1-IntPriorityDiscount-IntPriorityIncentive)*'Intl Priority'!P72)*(1+International_Fuel_Surcharge),2))</f>
        <v>381.85</v>
      </c>
      <c r="Q75" s="231">
        <f>IF('Intl Priority'!$Q$105&gt;ROUND(((1-PuertoRicoDiscount)*'Intl Priority'!Q72),2),ROUND('Intl Priority'!$Q$105*(1+International_Fuel_Surcharge),2),ROUND(((1-PuertoRicoDiscount)*'Intl Priority'!Q72)*(1+International_Fuel_Surcharge),2))</f>
        <v>496.9</v>
      </c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2.75" customHeight="1">
      <c r="A76" s="217">
        <v>92</v>
      </c>
      <c r="B76" s="231">
        <f>IF('Intl Priority'!$B$105&gt;ROUND(((1-IntPriorityDiscount-IntPriorityIncentive)*'Intl Priority'!B73),2),ROUND('Intl Priority'!$B$105*(1+International_Fuel_Surcharge),2),ROUND(((1-IntPriorityDiscount-IntPriorityIncentive)*'Intl Priority'!B73)*(1+International_Fuel_Surcharge),2))</f>
        <v>151.37</v>
      </c>
      <c r="C76" s="231">
        <f>IF('Intl Priority'!$C$105&gt;ROUND(((1-IntPriorityDiscount-IntPriorityIncentive)*'Intl Priority'!C73),2),ROUND('Intl Priority'!$C$105*(1+International_Fuel_Surcharge),2),ROUND(((1-IntPriorityDiscount-IntPriorityIncentive)*'Intl Priority'!C73)*(1+International_Fuel_Surcharge),2))</f>
        <v>173.95</v>
      </c>
      <c r="D76" s="231">
        <f>IF('Intl Priority'!$D$105&gt;ROUND(((1-IntPriorityDiscount-IntPriorityIncentive)*'Intl Priority'!D73),2),ROUND('Intl Priority'!$D$105*(1+International_Fuel_Surcharge),2),ROUND(((1-IntPriorityDiscount-IntPriorityIncentive)*'Intl Priority'!D73)*(1+International_Fuel_Surcharge),2))</f>
        <v>182.95</v>
      </c>
      <c r="E76" s="231">
        <f>IF('Intl Priority'!$E$105&gt;ROUND(((1-IntPriorityDiscount-IntPriorityIncentive)*'Intl Priority'!E73),2),ROUND('Intl Priority'!$E$105*(1+International_Fuel_Surcharge),2),ROUND(((1-IntPriorityDiscount-IntPriorityIncentive)*'Intl Priority'!E73)*(1+International_Fuel_Surcharge),2))</f>
        <v>283.36</v>
      </c>
      <c r="F76" s="231">
        <f>IF('Intl Priority'!$F$105&gt;ROUND(((1-IntPriorityDiscount-IntPriorityIncentive)*'Intl Priority'!F73),2),ROUND('Intl Priority'!$F$105*(1+International_Fuel_Surcharge),2),ROUND(((1-IntPriorityDiscount-IntPriorityIncentive)*'Intl Priority'!F73)*(1+International_Fuel_Surcharge),2))</f>
        <v>494.2</v>
      </c>
      <c r="G76" s="231">
        <f>IF('Intl Priority'!$G$105&gt;ROUND(((1-IntPriorityDiscount-IntPriorityIncentive)*'Intl Priority'!G73),2),ROUND('Intl Priority'!$G$105*(1+International_Fuel_Surcharge),2),ROUND(((1-IntPriorityDiscount-IntPriorityIncentive)*'Intl Priority'!G73)*(1+International_Fuel_Surcharge),2))</f>
        <v>273.45</v>
      </c>
      <c r="H76" s="231">
        <f>IF('Intl Priority'!$H$105&gt;ROUND(((1-IntPriorityDiscount-IntPriorityIncentive)*'Intl Priority'!H73),2),ROUND('Intl Priority'!$H$105*(1+International_Fuel_Surcharge),2),ROUND(((1-IntPriorityDiscount-IntPriorityIncentive)*'Intl Priority'!H73)*(1+International_Fuel_Surcharge),2))</f>
        <v>276.36</v>
      </c>
      <c r="I76" s="231">
        <f>IF('Intl Priority'!$I$105&gt;ROUND(((1-IntPriorityDiscount-IntPriorityIncentive)*'Intl Priority'!I73),2),ROUND('Intl Priority'!$I$105*(1+International_Fuel_Surcharge),2),ROUND(((1-IntPriorityDiscount-IntPriorityIncentive)*'Intl Priority'!I73)*(1+International_Fuel_Surcharge),2))</f>
        <v>303.14999999999998</v>
      </c>
      <c r="J76" s="231">
        <f>IF('Intl Priority'!$J$105&gt;ROUND(((1-IntPriorityDiscount-IntPriorityIncentive)*'Intl Priority'!J73),2),ROUND('Intl Priority'!$J$105*(1+International_Fuel_Surcharge),2),ROUND(((1-IntPriorityDiscount-IntPriorityIncentive)*'Intl Priority'!J73)*(1+International_Fuel_Surcharge),2))</f>
        <v>216.73</v>
      </c>
      <c r="K76" s="231">
        <f>IF('Intl Priority'!$K$105&gt;ROUND(((1-IntPriorityDiscount-IntPriorityIncentive)*'Intl Priority'!K73),2),ROUND('Intl Priority'!$K$105*(1+International_Fuel_Surcharge),2),ROUND(((1-IntPriorityDiscount-IntPriorityIncentive)*'Intl Priority'!K73)*(1+International_Fuel_Surcharge),2))</f>
        <v>448.62</v>
      </c>
      <c r="L76" s="231">
        <f>IF('Intl Priority'!$L$105&gt;ROUND(((1-IntPriorityDiscount-IntPriorityIncentive)*'Intl Priority'!L73),2),ROUND('Intl Priority'!$L$105*(1+International_Fuel_Surcharge),2),ROUND(((1-IntPriorityDiscount-IntPriorityIncentive)*'Intl Priority'!L73)*(1+International_Fuel_Surcharge),2))</f>
        <v>329.91</v>
      </c>
      <c r="M76" s="231">
        <f>IF('Intl Priority'!$M$105&gt;ROUND(((1-IntPriorityDiscount-IntPriorityIncentive)*'Intl Priority'!M73),2),ROUND('Intl Priority'!$M$105*(1+International_Fuel_Surcharge),2),ROUND(((1-IntPriorityDiscount-IntPriorityIncentive)*'Intl Priority'!M73)*(1+International_Fuel_Surcharge),2))</f>
        <v>505.24</v>
      </c>
      <c r="N76" s="231">
        <f>IF('Intl Priority'!$N$105&gt;ROUND(((1-IntPriorityDiscount-IntPriorityIncentive)*'Intl Priority'!N73),2),ROUND('Intl Priority'!$N$105*(1+International_Fuel_Surcharge),2),ROUND(((1-IntPriorityDiscount-IntPriorityIncentive)*'Intl Priority'!N73)*(1+International_Fuel_Surcharge),2))</f>
        <v>480.65</v>
      </c>
      <c r="O76" s="231">
        <f>IF('Intl Priority'!$O$105&gt;ROUND(((1-IntPriorityDiscount-IntPriorityIncentive)*'Intl Priority'!O73),2),ROUND('Intl Priority'!$O$105*(1+International_Fuel_Surcharge),2),ROUND(((1-IntPriorityDiscount-IntPriorityIncentive)*'Intl Priority'!O73)*(1+International_Fuel_Surcharge),2))</f>
        <v>360.74</v>
      </c>
      <c r="P76" s="231">
        <f>IF('Intl Priority'!$P$105&gt;ROUND(((1-IntPriorityDiscount-IntPriorityIncentive)*'Intl Priority'!P73),2),ROUND('Intl Priority'!$P$105*(1+International_Fuel_Surcharge),2),ROUND(((1-IntPriorityDiscount-IntPriorityIncentive)*'Intl Priority'!P73)*(1+International_Fuel_Surcharge),2))</f>
        <v>382.45</v>
      </c>
      <c r="Q76" s="231">
        <f>IF('Intl Priority'!$Q$105&gt;ROUND(((1-PuertoRicoDiscount)*'Intl Priority'!Q73),2),ROUND('Intl Priority'!$Q$105*(1+International_Fuel_Surcharge),2),ROUND(((1-PuertoRicoDiscount)*'Intl Priority'!Q73)*(1+International_Fuel_Surcharge),2))</f>
        <v>506.02</v>
      </c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2.75" customHeight="1">
      <c r="A77" s="217">
        <v>94</v>
      </c>
      <c r="B77" s="231">
        <f>IF('Intl Priority'!$B$105&gt;ROUND(((1-IntPriorityDiscount-IntPriorityIncentive)*'Intl Priority'!B74),2),ROUND('Intl Priority'!$B$105*(1+International_Fuel_Surcharge),2),ROUND(((1-IntPriorityDiscount-IntPriorityIncentive)*'Intl Priority'!B74)*(1+International_Fuel_Surcharge),2))</f>
        <v>151.69999999999999</v>
      </c>
      <c r="C77" s="231">
        <f>IF('Intl Priority'!$C$105&gt;ROUND(((1-IntPriorityDiscount-IntPriorityIncentive)*'Intl Priority'!C74),2),ROUND('Intl Priority'!$C$105*(1+International_Fuel_Surcharge),2),ROUND(((1-IntPriorityDiscount-IntPriorityIncentive)*'Intl Priority'!C74)*(1+International_Fuel_Surcharge),2))</f>
        <v>178.26</v>
      </c>
      <c r="D77" s="231">
        <f>IF('Intl Priority'!$D$105&gt;ROUND(((1-IntPriorityDiscount-IntPriorityIncentive)*'Intl Priority'!D74),2),ROUND('Intl Priority'!$D$105*(1+International_Fuel_Surcharge),2),ROUND(((1-IntPriorityDiscount-IntPriorityIncentive)*'Intl Priority'!D74)*(1+International_Fuel_Surcharge),2))</f>
        <v>183.03</v>
      </c>
      <c r="E77" s="231">
        <f>IF('Intl Priority'!$E$105&gt;ROUND(((1-IntPriorityDiscount-IntPriorityIncentive)*'Intl Priority'!E74),2),ROUND('Intl Priority'!$E$105*(1+International_Fuel_Surcharge),2),ROUND(((1-IntPriorityDiscount-IntPriorityIncentive)*'Intl Priority'!E74)*(1+International_Fuel_Surcharge),2))</f>
        <v>288.81</v>
      </c>
      <c r="F77" s="231">
        <f>IF('Intl Priority'!$F$105&gt;ROUND(((1-IntPriorityDiscount-IntPriorityIncentive)*'Intl Priority'!F74),2),ROUND('Intl Priority'!$F$105*(1+International_Fuel_Surcharge),2),ROUND(((1-IntPriorityDiscount-IntPriorityIncentive)*'Intl Priority'!F74)*(1+International_Fuel_Surcharge),2))</f>
        <v>495.58</v>
      </c>
      <c r="G77" s="231">
        <f>IF('Intl Priority'!$G$105&gt;ROUND(((1-IntPriorityDiscount-IntPriorityIncentive)*'Intl Priority'!G74),2),ROUND('Intl Priority'!$G$105*(1+International_Fuel_Surcharge),2),ROUND(((1-IntPriorityDiscount-IntPriorityIncentive)*'Intl Priority'!G74)*(1+International_Fuel_Surcharge),2))</f>
        <v>274.85000000000002</v>
      </c>
      <c r="H77" s="231">
        <f>IF('Intl Priority'!$H$105&gt;ROUND(((1-IntPriorityDiscount-IntPriorityIncentive)*'Intl Priority'!H74),2),ROUND('Intl Priority'!$H$105*(1+International_Fuel_Surcharge),2),ROUND(((1-IntPriorityDiscount-IntPriorityIncentive)*'Intl Priority'!H74)*(1+International_Fuel_Surcharge),2))</f>
        <v>276.97000000000003</v>
      </c>
      <c r="I77" s="231">
        <f>IF('Intl Priority'!$I$105&gt;ROUND(((1-IntPriorityDiscount-IntPriorityIncentive)*'Intl Priority'!I74),2),ROUND('Intl Priority'!$I$105*(1+International_Fuel_Surcharge),2),ROUND(((1-IntPriorityDiscount-IntPriorityIncentive)*'Intl Priority'!I74)*(1+International_Fuel_Surcharge),2))</f>
        <v>304.68</v>
      </c>
      <c r="J77" s="231">
        <f>IF('Intl Priority'!$J$105&gt;ROUND(((1-IntPriorityDiscount-IntPriorityIncentive)*'Intl Priority'!J74),2),ROUND('Intl Priority'!$J$105*(1+International_Fuel_Surcharge),2),ROUND(((1-IntPriorityDiscount-IntPriorityIncentive)*'Intl Priority'!J74)*(1+International_Fuel_Surcharge),2))</f>
        <v>216.79</v>
      </c>
      <c r="K77" s="231">
        <f>IF('Intl Priority'!$K$105&gt;ROUND(((1-IntPriorityDiscount-IntPriorityIncentive)*'Intl Priority'!K74),2),ROUND('Intl Priority'!$K$105*(1+International_Fuel_Surcharge),2),ROUND(((1-IntPriorityDiscount-IntPriorityIncentive)*'Intl Priority'!K74)*(1+International_Fuel_Surcharge),2))</f>
        <v>452.79</v>
      </c>
      <c r="L77" s="231">
        <f>IF('Intl Priority'!$L$105&gt;ROUND(((1-IntPriorityDiscount-IntPriorityIncentive)*'Intl Priority'!L74),2),ROUND('Intl Priority'!$L$105*(1+International_Fuel_Surcharge),2),ROUND(((1-IntPriorityDiscount-IntPriorityIncentive)*'Intl Priority'!L74)*(1+International_Fuel_Surcharge),2))</f>
        <v>367.63</v>
      </c>
      <c r="M77" s="231">
        <f>IF('Intl Priority'!$M$105&gt;ROUND(((1-IntPriorityDiscount-IntPriorityIncentive)*'Intl Priority'!M74),2),ROUND('Intl Priority'!$M$105*(1+International_Fuel_Surcharge),2),ROUND(((1-IntPriorityDiscount-IntPriorityIncentive)*'Intl Priority'!M74)*(1+International_Fuel_Surcharge),2))</f>
        <v>505.29</v>
      </c>
      <c r="N77" s="231">
        <f>IF('Intl Priority'!$N$105&gt;ROUND(((1-IntPriorityDiscount-IntPriorityIncentive)*'Intl Priority'!N74),2),ROUND('Intl Priority'!$N$105*(1+International_Fuel_Surcharge),2),ROUND(((1-IntPriorityDiscount-IntPriorityIncentive)*'Intl Priority'!N74)*(1+International_Fuel_Surcharge),2))</f>
        <v>480.7</v>
      </c>
      <c r="O77" s="231">
        <f>IF('Intl Priority'!$O$105&gt;ROUND(((1-IntPriorityDiscount-IntPriorityIncentive)*'Intl Priority'!O74),2),ROUND('Intl Priority'!$O$105*(1+International_Fuel_Surcharge),2),ROUND(((1-IntPriorityDiscount-IntPriorityIncentive)*'Intl Priority'!O74)*(1+International_Fuel_Surcharge),2))</f>
        <v>361.65</v>
      </c>
      <c r="P77" s="231">
        <f>IF('Intl Priority'!$P$105&gt;ROUND(((1-IntPriorityDiscount-IntPriorityIncentive)*'Intl Priority'!P74),2),ROUND('Intl Priority'!$P$105*(1+International_Fuel_Surcharge),2),ROUND(((1-IntPriorityDiscount-IntPriorityIncentive)*'Intl Priority'!P74)*(1+International_Fuel_Surcharge),2))</f>
        <v>382.51</v>
      </c>
      <c r="Q77" s="231">
        <f>IF('Intl Priority'!$Q$105&gt;ROUND(((1-PuertoRicoDiscount)*'Intl Priority'!Q74),2),ROUND('Intl Priority'!$Q$105*(1+International_Fuel_Surcharge),2),ROUND(((1-PuertoRicoDiscount)*'Intl Priority'!Q74)*(1+International_Fuel_Surcharge),2))</f>
        <v>506.13</v>
      </c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2.75" customHeight="1">
      <c r="A78" s="217">
        <v>96</v>
      </c>
      <c r="B78" s="231">
        <f>IF('Intl Priority'!$B$105&gt;ROUND(((1-IntPriorityDiscount-IntPriorityIncentive)*'Intl Priority'!B75),2),ROUND('Intl Priority'!$B$105*(1+International_Fuel_Surcharge),2),ROUND(((1-IntPriorityDiscount-IntPriorityIncentive)*'Intl Priority'!B75)*(1+International_Fuel_Surcharge),2))</f>
        <v>155.69</v>
      </c>
      <c r="C78" s="231">
        <f>IF('Intl Priority'!$C$105&gt;ROUND(((1-IntPriorityDiscount-IntPriorityIncentive)*'Intl Priority'!C75),2),ROUND('Intl Priority'!$C$105*(1+International_Fuel_Surcharge),2),ROUND(((1-IntPriorityDiscount-IntPriorityIncentive)*'Intl Priority'!C75)*(1+International_Fuel_Surcharge),2))</f>
        <v>181.57</v>
      </c>
      <c r="D78" s="231">
        <f>IF('Intl Priority'!$D$105&gt;ROUND(((1-IntPriorityDiscount-IntPriorityIncentive)*'Intl Priority'!D75),2),ROUND('Intl Priority'!$D$105*(1+International_Fuel_Surcharge),2),ROUND(((1-IntPriorityDiscount-IntPriorityIncentive)*'Intl Priority'!D75)*(1+International_Fuel_Surcharge),2))</f>
        <v>183.12</v>
      </c>
      <c r="E78" s="231">
        <f>IF('Intl Priority'!$E$105&gt;ROUND(((1-IntPriorityDiscount-IntPriorityIncentive)*'Intl Priority'!E75),2),ROUND('Intl Priority'!$E$105*(1+International_Fuel_Surcharge),2),ROUND(((1-IntPriorityDiscount-IntPriorityIncentive)*'Intl Priority'!E75)*(1+International_Fuel_Surcharge),2))</f>
        <v>289.36</v>
      </c>
      <c r="F78" s="231">
        <f>IF('Intl Priority'!$F$105&gt;ROUND(((1-IntPriorityDiscount-IntPriorityIncentive)*'Intl Priority'!F75),2),ROUND('Intl Priority'!$F$105*(1+International_Fuel_Surcharge),2),ROUND(((1-IntPriorityDiscount-IntPriorityIncentive)*'Intl Priority'!F75)*(1+International_Fuel_Surcharge),2))</f>
        <v>500.06</v>
      </c>
      <c r="G78" s="231">
        <f>IF('Intl Priority'!$G$105&gt;ROUND(((1-IntPriorityDiscount-IntPriorityIncentive)*'Intl Priority'!G75),2),ROUND('Intl Priority'!$G$105*(1+International_Fuel_Surcharge),2),ROUND(((1-IntPriorityDiscount-IntPriorityIncentive)*'Intl Priority'!G75)*(1+International_Fuel_Surcharge),2))</f>
        <v>280.61</v>
      </c>
      <c r="H78" s="231">
        <f>IF('Intl Priority'!$H$105&gt;ROUND(((1-IntPriorityDiscount-IntPriorityIncentive)*'Intl Priority'!H75),2),ROUND('Intl Priority'!$H$105*(1+International_Fuel_Surcharge),2),ROUND(((1-IntPriorityDiscount-IntPriorityIncentive)*'Intl Priority'!H75)*(1+International_Fuel_Surcharge),2))</f>
        <v>277.10000000000002</v>
      </c>
      <c r="I78" s="231">
        <f>IF('Intl Priority'!$I$105&gt;ROUND(((1-IntPriorityDiscount-IntPriorityIncentive)*'Intl Priority'!I75),2),ROUND('Intl Priority'!$I$105*(1+International_Fuel_Surcharge),2),ROUND(((1-IntPriorityDiscount-IntPriorityIncentive)*'Intl Priority'!I75)*(1+International_Fuel_Surcharge),2))</f>
        <v>326.22000000000003</v>
      </c>
      <c r="J78" s="231">
        <f>IF('Intl Priority'!$J$105&gt;ROUND(((1-IntPriorityDiscount-IntPriorityIncentive)*'Intl Priority'!J75),2),ROUND('Intl Priority'!$J$105*(1+International_Fuel_Surcharge),2),ROUND(((1-IntPriorityDiscount-IntPriorityIncentive)*'Intl Priority'!J75)*(1+International_Fuel_Surcharge),2))</f>
        <v>216.85</v>
      </c>
      <c r="K78" s="231">
        <f>IF('Intl Priority'!$K$105&gt;ROUND(((1-IntPriorityDiscount-IntPriorityIncentive)*'Intl Priority'!K75),2),ROUND('Intl Priority'!$K$105*(1+International_Fuel_Surcharge),2),ROUND(((1-IntPriorityDiscount-IntPriorityIncentive)*'Intl Priority'!K75)*(1+International_Fuel_Surcharge),2))</f>
        <v>459.3</v>
      </c>
      <c r="L78" s="231">
        <f>IF('Intl Priority'!$L$105&gt;ROUND(((1-IntPriorityDiscount-IntPriorityIncentive)*'Intl Priority'!L75),2),ROUND('Intl Priority'!$L$105*(1+International_Fuel_Surcharge),2),ROUND(((1-IntPriorityDiscount-IntPriorityIncentive)*'Intl Priority'!L75)*(1+International_Fuel_Surcharge),2))</f>
        <v>372.54</v>
      </c>
      <c r="M78" s="231">
        <f>IF('Intl Priority'!$M$105&gt;ROUND(((1-IntPriorityDiscount-IntPriorityIncentive)*'Intl Priority'!M75),2),ROUND('Intl Priority'!$M$105*(1+International_Fuel_Surcharge),2),ROUND(((1-IntPriorityDiscount-IntPriorityIncentive)*'Intl Priority'!M75)*(1+International_Fuel_Surcharge),2))</f>
        <v>506.08</v>
      </c>
      <c r="N78" s="231">
        <f>IF('Intl Priority'!$N$105&gt;ROUND(((1-IntPriorityDiscount-IntPriorityIncentive)*'Intl Priority'!N75),2),ROUND('Intl Priority'!$N$105*(1+International_Fuel_Surcharge),2),ROUND(((1-IntPriorityDiscount-IntPriorityIncentive)*'Intl Priority'!N75)*(1+International_Fuel_Surcharge),2))</f>
        <v>481.77</v>
      </c>
      <c r="O78" s="231">
        <f>IF('Intl Priority'!$O$105&gt;ROUND(((1-IntPriorityDiscount-IntPriorityIncentive)*'Intl Priority'!O75),2),ROUND('Intl Priority'!$O$105*(1+International_Fuel_Surcharge),2),ROUND(((1-IntPriorityDiscount-IntPriorityIncentive)*'Intl Priority'!O75)*(1+International_Fuel_Surcharge),2))</f>
        <v>368.89</v>
      </c>
      <c r="P78" s="231">
        <f>IF('Intl Priority'!$P$105&gt;ROUND(((1-IntPriorityDiscount-IntPriorityIncentive)*'Intl Priority'!P75),2),ROUND('Intl Priority'!$P$105*(1+International_Fuel_Surcharge),2),ROUND(((1-IntPriorityDiscount-IntPriorityIncentive)*'Intl Priority'!P75)*(1+International_Fuel_Surcharge),2))</f>
        <v>382.56</v>
      </c>
      <c r="Q78" s="231">
        <f>IF('Intl Priority'!$Q$105&gt;ROUND(((1-PuertoRicoDiscount)*'Intl Priority'!Q75),2),ROUND('Intl Priority'!$Q$105*(1+International_Fuel_Surcharge),2),ROUND(((1-PuertoRicoDiscount)*'Intl Priority'!Q75)*(1+International_Fuel_Surcharge),2))</f>
        <v>514.72</v>
      </c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>
      <c r="A79" s="217">
        <v>98</v>
      </c>
      <c r="B79" s="231">
        <f>IF('Intl Priority'!$B$105&gt;ROUND(((1-IntPriorityDiscount-IntPriorityIncentive)*'Intl Priority'!B76),2),ROUND('Intl Priority'!$B$105*(1+International_Fuel_Surcharge),2),ROUND(((1-IntPriorityDiscount-IntPriorityIncentive)*'Intl Priority'!B76)*(1+International_Fuel_Surcharge),2))</f>
        <v>156.09</v>
      </c>
      <c r="C79" s="231">
        <f>IF('Intl Priority'!$C$105&gt;ROUND(((1-IntPriorityDiscount-IntPriorityIncentive)*'Intl Priority'!C76),2),ROUND('Intl Priority'!$C$105*(1+International_Fuel_Surcharge),2),ROUND(((1-IntPriorityDiscount-IntPriorityIncentive)*'Intl Priority'!C76)*(1+International_Fuel_Surcharge),2))</f>
        <v>182.66</v>
      </c>
      <c r="D79" s="231">
        <f>IF('Intl Priority'!$D$105&gt;ROUND(((1-IntPriorityDiscount-IntPriorityIncentive)*'Intl Priority'!D76),2),ROUND('Intl Priority'!$D$105*(1+International_Fuel_Surcharge),2),ROUND(((1-IntPriorityDiscount-IntPriorityIncentive)*'Intl Priority'!D76)*(1+International_Fuel_Surcharge),2))</f>
        <v>183.17</v>
      </c>
      <c r="E79" s="231">
        <f>IF('Intl Priority'!$E$105&gt;ROUND(((1-IntPriorityDiscount-IntPriorityIncentive)*'Intl Priority'!E76),2),ROUND('Intl Priority'!$E$105*(1+International_Fuel_Surcharge),2),ROUND(((1-IntPriorityDiscount-IntPriorityIncentive)*'Intl Priority'!E76)*(1+International_Fuel_Surcharge),2))</f>
        <v>295.32</v>
      </c>
      <c r="F79" s="231">
        <f>IF('Intl Priority'!$F$105&gt;ROUND(((1-IntPriorityDiscount-IntPriorityIncentive)*'Intl Priority'!F76),2),ROUND('Intl Priority'!$F$105*(1+International_Fuel_Surcharge),2),ROUND(((1-IntPriorityDiscount-IntPriorityIncentive)*'Intl Priority'!F76)*(1+International_Fuel_Surcharge),2))</f>
        <v>501.84</v>
      </c>
      <c r="G79" s="231">
        <f>IF('Intl Priority'!$G$105&gt;ROUND(((1-IntPriorityDiscount-IntPriorityIncentive)*'Intl Priority'!G76),2),ROUND('Intl Priority'!$G$105*(1+International_Fuel_Surcharge),2),ROUND(((1-IntPriorityDiscount-IntPriorityIncentive)*'Intl Priority'!G76)*(1+International_Fuel_Surcharge),2))</f>
        <v>285.01</v>
      </c>
      <c r="H79" s="231">
        <f>IF('Intl Priority'!$H$105&gt;ROUND(((1-IntPriorityDiscount-IntPriorityIncentive)*'Intl Priority'!H76),2),ROUND('Intl Priority'!$H$105*(1+International_Fuel_Surcharge),2),ROUND(((1-IntPriorityDiscount-IntPriorityIncentive)*'Intl Priority'!H76)*(1+International_Fuel_Surcharge),2))</f>
        <v>277.64999999999998</v>
      </c>
      <c r="I79" s="231">
        <f>IF('Intl Priority'!$I$105&gt;ROUND(((1-IntPriorityDiscount-IntPriorityIncentive)*'Intl Priority'!I76),2),ROUND('Intl Priority'!$I$105*(1+International_Fuel_Surcharge),2),ROUND(((1-IntPriorityDiscount-IntPriorityIncentive)*'Intl Priority'!I76)*(1+International_Fuel_Surcharge),2))</f>
        <v>328.37</v>
      </c>
      <c r="J79" s="231">
        <f>IF('Intl Priority'!$J$105&gt;ROUND(((1-IntPriorityDiscount-IntPriorityIncentive)*'Intl Priority'!J76),2),ROUND('Intl Priority'!$J$105*(1+International_Fuel_Surcharge),2),ROUND(((1-IntPriorityDiscount-IntPriorityIncentive)*'Intl Priority'!J76)*(1+International_Fuel_Surcharge),2))</f>
        <v>217.5</v>
      </c>
      <c r="K79" s="231">
        <f>IF('Intl Priority'!$K$105&gt;ROUND(((1-IntPriorityDiscount-IntPriorityIncentive)*'Intl Priority'!K76),2),ROUND('Intl Priority'!$K$105*(1+International_Fuel_Surcharge),2),ROUND(((1-IntPriorityDiscount-IntPriorityIncentive)*'Intl Priority'!K76)*(1+International_Fuel_Surcharge),2))</f>
        <v>461.45</v>
      </c>
      <c r="L79" s="231">
        <f>IF('Intl Priority'!$L$105&gt;ROUND(((1-IntPriorityDiscount-IntPriorityIncentive)*'Intl Priority'!L76),2),ROUND('Intl Priority'!$L$105*(1+International_Fuel_Surcharge),2),ROUND(((1-IntPriorityDiscount-IntPriorityIncentive)*'Intl Priority'!L76)*(1+International_Fuel_Surcharge),2))</f>
        <v>373.03</v>
      </c>
      <c r="M79" s="231">
        <f>IF('Intl Priority'!$M$105&gt;ROUND(((1-IntPriorityDiscount-IntPriorityIncentive)*'Intl Priority'!M76),2),ROUND('Intl Priority'!$M$105*(1+International_Fuel_Surcharge),2),ROUND(((1-IntPriorityDiscount-IntPriorityIncentive)*'Intl Priority'!M76)*(1+International_Fuel_Surcharge),2))</f>
        <v>507.73</v>
      </c>
      <c r="N79" s="231">
        <f>IF('Intl Priority'!$N$105&gt;ROUND(((1-IntPriorityDiscount-IntPriorityIncentive)*'Intl Priority'!N76),2),ROUND('Intl Priority'!$N$105*(1+International_Fuel_Surcharge),2),ROUND(((1-IntPriorityDiscount-IntPriorityIncentive)*'Intl Priority'!N76)*(1+International_Fuel_Surcharge),2))</f>
        <v>481.88</v>
      </c>
      <c r="O79" s="231">
        <f>IF('Intl Priority'!$O$105&gt;ROUND(((1-IntPriorityDiscount-IntPriorityIncentive)*'Intl Priority'!O76),2),ROUND('Intl Priority'!$O$105*(1+International_Fuel_Surcharge),2),ROUND(((1-IntPriorityDiscount-IntPriorityIncentive)*'Intl Priority'!O76)*(1+International_Fuel_Surcharge),2))</f>
        <v>371.41</v>
      </c>
      <c r="P79" s="231">
        <f>IF('Intl Priority'!$P$105&gt;ROUND(((1-IntPriorityDiscount-IntPriorityIncentive)*'Intl Priority'!P76),2),ROUND('Intl Priority'!$P$105*(1+International_Fuel_Surcharge),2),ROUND(((1-IntPriorityDiscount-IntPriorityIncentive)*'Intl Priority'!P76)*(1+International_Fuel_Surcharge),2))</f>
        <v>382.62</v>
      </c>
      <c r="Q79" s="231">
        <f>IF('Intl Priority'!$Q$105&gt;ROUND(((1-PuertoRicoDiscount)*'Intl Priority'!Q76),2),ROUND('Intl Priority'!$Q$105*(1+International_Fuel_Surcharge),2),ROUND(((1-PuertoRicoDiscount)*'Intl Priority'!Q76)*(1+International_Fuel_Surcharge),2))</f>
        <v>515.04</v>
      </c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2.75" customHeight="1">
      <c r="A80" s="217">
        <v>100</v>
      </c>
      <c r="B80" s="231">
        <f>IF('Intl Priority'!$B$105&gt;ROUND(((1-IntPriorityDiscount-IntPriorityIncentive)*'Intl Priority'!B77),2),ROUND('Intl Priority'!$B$105*(1+International_Fuel_Surcharge),2),ROUND(((1-IntPriorityDiscount-IntPriorityIncentive)*'Intl Priority'!B77)*(1+International_Fuel_Surcharge),2))</f>
        <v>159.65</v>
      </c>
      <c r="C80" s="231">
        <f>IF('Intl Priority'!$C$105&gt;ROUND(((1-IntPriorityDiscount-IntPriorityIncentive)*'Intl Priority'!C77),2),ROUND('Intl Priority'!$C$105*(1+International_Fuel_Surcharge),2),ROUND(((1-IntPriorityDiscount-IntPriorityIncentive)*'Intl Priority'!C77)*(1+International_Fuel_Surcharge),2))</f>
        <v>184.32</v>
      </c>
      <c r="D80" s="231">
        <f>IF('Intl Priority'!$D$105&gt;ROUND(((1-IntPriorityDiscount-IntPriorityIncentive)*'Intl Priority'!D77),2),ROUND('Intl Priority'!$D$105*(1+International_Fuel_Surcharge),2),ROUND(((1-IntPriorityDiscount-IntPriorityIncentive)*'Intl Priority'!D77)*(1+International_Fuel_Surcharge),2))</f>
        <v>183.24</v>
      </c>
      <c r="E80" s="231">
        <f>IF('Intl Priority'!$E$105&gt;ROUND(((1-IntPriorityDiscount-IntPriorityIncentive)*'Intl Priority'!E77),2),ROUND('Intl Priority'!$E$105*(1+International_Fuel_Surcharge),2),ROUND(((1-IntPriorityDiscount-IntPriorityIncentive)*'Intl Priority'!E77)*(1+International_Fuel_Surcharge),2))</f>
        <v>301.66000000000003</v>
      </c>
      <c r="F80" s="231">
        <f>IF('Intl Priority'!$F$105&gt;ROUND(((1-IntPriorityDiscount-IntPriorityIncentive)*'Intl Priority'!F77),2),ROUND('Intl Priority'!$F$105*(1+International_Fuel_Surcharge),2),ROUND(((1-IntPriorityDiscount-IntPriorityIncentive)*'Intl Priority'!F77)*(1+International_Fuel_Surcharge),2))</f>
        <v>502.02</v>
      </c>
      <c r="G80" s="231">
        <f>IF('Intl Priority'!$G$105&gt;ROUND(((1-IntPriorityDiscount-IntPriorityIncentive)*'Intl Priority'!G77),2),ROUND('Intl Priority'!$G$105*(1+International_Fuel_Surcharge),2),ROUND(((1-IntPriorityDiscount-IntPriorityIncentive)*'Intl Priority'!G77)*(1+International_Fuel_Surcharge),2))</f>
        <v>285.58</v>
      </c>
      <c r="H80" s="231">
        <f>IF('Intl Priority'!$H$105&gt;ROUND(((1-IntPriorityDiscount-IntPriorityIncentive)*'Intl Priority'!H77),2),ROUND('Intl Priority'!$H$105*(1+International_Fuel_Surcharge),2),ROUND(((1-IntPriorityDiscount-IntPriorityIncentive)*'Intl Priority'!H77)*(1+International_Fuel_Surcharge),2))</f>
        <v>288.58999999999997</v>
      </c>
      <c r="I80" s="231">
        <f>IF('Intl Priority'!$I$105&gt;ROUND(((1-IntPriorityDiscount-IntPriorityIncentive)*'Intl Priority'!I77),2),ROUND('Intl Priority'!$I$105*(1+International_Fuel_Surcharge),2),ROUND(((1-IntPriorityDiscount-IntPriorityIncentive)*'Intl Priority'!I77)*(1+International_Fuel_Surcharge),2))</f>
        <v>328.59</v>
      </c>
      <c r="J80" s="231">
        <f>IF('Intl Priority'!$J$105&gt;ROUND(((1-IntPriorityDiscount-IntPriorityIncentive)*'Intl Priority'!J77),2),ROUND('Intl Priority'!$J$105*(1+International_Fuel_Surcharge),2),ROUND(((1-IntPriorityDiscount-IntPriorityIncentive)*'Intl Priority'!J77)*(1+International_Fuel_Surcharge),2))</f>
        <v>230.44</v>
      </c>
      <c r="K80" s="231">
        <f>IF('Intl Priority'!$K$105&gt;ROUND(((1-IntPriorityDiscount-IntPriorityIncentive)*'Intl Priority'!K77),2),ROUND('Intl Priority'!$K$105*(1+International_Fuel_Surcharge),2),ROUND(((1-IntPriorityDiscount-IntPriorityIncentive)*'Intl Priority'!K77)*(1+International_Fuel_Surcharge),2))</f>
        <v>461.67</v>
      </c>
      <c r="L80" s="231">
        <f>IF('Intl Priority'!$L$105&gt;ROUND(((1-IntPriorityDiscount-IntPriorityIncentive)*'Intl Priority'!L77),2),ROUND('Intl Priority'!$L$105*(1+International_Fuel_Surcharge),2),ROUND(((1-IntPriorityDiscount-IntPriorityIncentive)*'Intl Priority'!L77)*(1+International_Fuel_Surcharge),2))</f>
        <v>373.35</v>
      </c>
      <c r="M80" s="231">
        <f>IF('Intl Priority'!$M$105&gt;ROUND(((1-IntPriorityDiscount-IntPriorityIncentive)*'Intl Priority'!M77),2),ROUND('Intl Priority'!$M$105*(1+International_Fuel_Surcharge),2),ROUND(((1-IntPriorityDiscount-IntPriorityIncentive)*'Intl Priority'!M77)*(1+International_Fuel_Surcharge),2))</f>
        <v>528.14</v>
      </c>
      <c r="N80" s="231">
        <f>IF('Intl Priority'!$N$105&gt;ROUND(((1-IntPriorityDiscount-IntPriorityIncentive)*'Intl Priority'!N77),2),ROUND('Intl Priority'!$N$105*(1+International_Fuel_Surcharge),2),ROUND(((1-IntPriorityDiscount-IntPriorityIncentive)*'Intl Priority'!N77)*(1+International_Fuel_Surcharge),2))</f>
        <v>481.93</v>
      </c>
      <c r="O80" s="231">
        <f>IF('Intl Priority'!$O$105&gt;ROUND(((1-IntPriorityDiscount-IntPriorityIncentive)*'Intl Priority'!O77),2),ROUND('Intl Priority'!$O$105*(1+International_Fuel_Surcharge),2),ROUND(((1-IntPriorityDiscount-IntPriorityIncentive)*'Intl Priority'!O77)*(1+International_Fuel_Surcharge),2))</f>
        <v>373.47</v>
      </c>
      <c r="P80" s="231">
        <f>IF('Intl Priority'!$P$105&gt;ROUND(((1-IntPriorityDiscount-IntPriorityIncentive)*'Intl Priority'!P77),2),ROUND('Intl Priority'!$P$105*(1+International_Fuel_Surcharge),2),ROUND(((1-IntPriorityDiscount-IntPriorityIncentive)*'Intl Priority'!P77)*(1+International_Fuel_Surcharge),2))</f>
        <v>383.71</v>
      </c>
      <c r="Q80" s="231">
        <f>IF('Intl Priority'!$Q$105&gt;ROUND(((1-PuertoRicoDiscount)*'Intl Priority'!Q77),2),ROUND('Intl Priority'!$Q$105*(1+International_Fuel_Surcharge),2),ROUND(((1-PuertoRicoDiscount)*'Intl Priority'!Q77)*(1+International_Fuel_Surcharge),2))</f>
        <v>515.15</v>
      </c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2.75" customHeight="1">
      <c r="A81" s="217">
        <v>105</v>
      </c>
      <c r="B81" s="231">
        <f>IF('Intl Priority'!$B$105&gt;ROUND(((1-IntPriorityDiscount-IntPriorityIncentive)*'Intl Priority'!B78),2),ROUND('Intl Priority'!$B$105*(1+International_Fuel_Surcharge),2),ROUND(((1-IntPriorityDiscount-IntPriorityIncentive)*'Intl Priority'!B78)*(1+International_Fuel_Surcharge),2))</f>
        <v>168.06</v>
      </c>
      <c r="C81" s="231">
        <f>IF('Intl Priority'!$C$105&gt;ROUND(((1-IntPriorityDiscount-IntPriorityIncentive)*'Intl Priority'!C78),2),ROUND('Intl Priority'!$C$105*(1+International_Fuel_Surcharge),2),ROUND(((1-IntPriorityDiscount-IntPriorityIncentive)*'Intl Priority'!C78)*(1+International_Fuel_Surcharge),2))</f>
        <v>184.51</v>
      </c>
      <c r="D81" s="231">
        <f>IF('Intl Priority'!$D$105&gt;ROUND(((1-IntPriorityDiscount-IntPriorityIncentive)*'Intl Priority'!D78),2),ROUND('Intl Priority'!$D$105*(1+International_Fuel_Surcharge),2),ROUND(((1-IntPriorityDiscount-IntPriorityIncentive)*'Intl Priority'!D78)*(1+International_Fuel_Surcharge),2))</f>
        <v>183.51</v>
      </c>
      <c r="E81" s="231">
        <f>IF('Intl Priority'!$E$105&gt;ROUND(((1-IntPriorityDiscount-IntPriorityIncentive)*'Intl Priority'!E78),2),ROUND('Intl Priority'!$E$105*(1+International_Fuel_Surcharge),2),ROUND(((1-IntPriorityDiscount-IntPriorityIncentive)*'Intl Priority'!E78)*(1+International_Fuel_Surcharge),2))</f>
        <v>302.29000000000002</v>
      </c>
      <c r="F81" s="231">
        <f>IF('Intl Priority'!$F$105&gt;ROUND(((1-IntPriorityDiscount-IntPriorityIncentive)*'Intl Priority'!F78),2),ROUND('Intl Priority'!$F$105*(1+International_Fuel_Surcharge),2),ROUND(((1-IntPriorityDiscount-IntPriorityIncentive)*'Intl Priority'!F78)*(1+International_Fuel_Surcharge),2))</f>
        <v>505.1</v>
      </c>
      <c r="G81" s="231">
        <f>IF('Intl Priority'!$G$105&gt;ROUND(((1-IntPriorityDiscount-IntPriorityIncentive)*'Intl Priority'!G78),2),ROUND('Intl Priority'!$G$105*(1+International_Fuel_Surcharge),2),ROUND(((1-IntPriorityDiscount-IntPriorityIncentive)*'Intl Priority'!G78)*(1+International_Fuel_Surcharge),2))</f>
        <v>291.31</v>
      </c>
      <c r="H81" s="231">
        <f>IF('Intl Priority'!$H$105&gt;ROUND(((1-IntPriorityDiscount-IntPriorityIncentive)*'Intl Priority'!H78),2),ROUND('Intl Priority'!$H$105*(1+International_Fuel_Surcharge),2),ROUND(((1-IntPriorityDiscount-IntPriorityIncentive)*'Intl Priority'!H78)*(1+International_Fuel_Surcharge),2))</f>
        <v>294.12</v>
      </c>
      <c r="I81" s="231">
        <f>IF('Intl Priority'!$I$105&gt;ROUND(((1-IntPriorityDiscount-IntPriorityIncentive)*'Intl Priority'!I78),2),ROUND('Intl Priority'!$I$105*(1+International_Fuel_Surcharge),2),ROUND(((1-IntPriorityDiscount-IntPriorityIncentive)*'Intl Priority'!I78)*(1+International_Fuel_Surcharge),2))</f>
        <v>328.66</v>
      </c>
      <c r="J81" s="231">
        <f>IF('Intl Priority'!$J$105&gt;ROUND(((1-IntPriorityDiscount-IntPriorityIncentive)*'Intl Priority'!J78),2),ROUND('Intl Priority'!$J$105*(1+International_Fuel_Surcharge),2),ROUND(((1-IntPriorityDiscount-IntPriorityIncentive)*'Intl Priority'!J78)*(1+International_Fuel_Surcharge),2))</f>
        <v>232.81</v>
      </c>
      <c r="K81" s="231">
        <f>IF('Intl Priority'!$K$105&gt;ROUND(((1-IntPriorityDiscount-IntPriorityIncentive)*'Intl Priority'!K78),2),ROUND('Intl Priority'!$K$105*(1+International_Fuel_Surcharge),2),ROUND(((1-IntPriorityDiscount-IntPriorityIncentive)*'Intl Priority'!K78)*(1+International_Fuel_Surcharge),2))</f>
        <v>462.15</v>
      </c>
      <c r="L81" s="231">
        <f>IF('Intl Priority'!$L$105&gt;ROUND(((1-IntPriorityDiscount-IntPriorityIncentive)*'Intl Priority'!L78),2),ROUND('Intl Priority'!$L$105*(1+International_Fuel_Surcharge),2),ROUND(((1-IntPriorityDiscount-IntPriorityIncentive)*'Intl Priority'!L78)*(1+International_Fuel_Surcharge),2))</f>
        <v>379.79</v>
      </c>
      <c r="M81" s="231">
        <f>IF('Intl Priority'!$M$105&gt;ROUND(((1-IntPriorityDiscount-IntPriorityIncentive)*'Intl Priority'!M78),2),ROUND('Intl Priority'!$M$105*(1+International_Fuel_Surcharge),2),ROUND(((1-IntPriorityDiscount-IntPriorityIncentive)*'Intl Priority'!M78)*(1+International_Fuel_Surcharge),2))</f>
        <v>543.65</v>
      </c>
      <c r="N81" s="231">
        <f>IF('Intl Priority'!$N$105&gt;ROUND(((1-IntPriorityDiscount-IntPriorityIncentive)*'Intl Priority'!N78),2),ROUND('Intl Priority'!$N$105*(1+International_Fuel_Surcharge),2),ROUND(((1-IntPriorityDiscount-IntPriorityIncentive)*'Intl Priority'!N78)*(1+International_Fuel_Surcharge),2))</f>
        <v>482</v>
      </c>
      <c r="O81" s="231">
        <f>IF('Intl Priority'!$O$105&gt;ROUND(((1-IntPriorityDiscount-IntPriorityIncentive)*'Intl Priority'!O78),2),ROUND('Intl Priority'!$O$105*(1+International_Fuel_Surcharge),2),ROUND(((1-IntPriorityDiscount-IntPriorityIncentive)*'Intl Priority'!O78)*(1+International_Fuel_Surcharge),2))</f>
        <v>377.8</v>
      </c>
      <c r="P81" s="231">
        <f>IF('Intl Priority'!$P$105&gt;ROUND(((1-IntPriorityDiscount-IntPriorityIncentive)*'Intl Priority'!P78),2),ROUND('Intl Priority'!$P$105*(1+International_Fuel_Surcharge),2),ROUND(((1-IntPriorityDiscount-IntPriorityIncentive)*'Intl Priority'!P78)*(1+International_Fuel_Surcharge),2))</f>
        <v>405.47</v>
      </c>
      <c r="Q81" s="231">
        <f>IF('Intl Priority'!$Q$105&gt;ROUND(((1-PuertoRicoDiscount)*'Intl Priority'!Q78),2),ROUND('Intl Priority'!$Q$105*(1+International_Fuel_Surcharge),2),ROUND(((1-PuertoRicoDiscount)*'Intl Priority'!Q78)*(1+International_Fuel_Surcharge),2))</f>
        <v>536.36</v>
      </c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2.75" customHeight="1">
      <c r="A82" s="217">
        <v>110</v>
      </c>
      <c r="B82" s="231">
        <f>IF('Intl Priority'!$B$105&gt;ROUND(((1-IntPriorityDiscount-IntPriorityIncentive)*'Intl Priority'!B79),2),ROUND('Intl Priority'!$B$105*(1+International_Fuel_Surcharge),2),ROUND(((1-IntPriorityDiscount-IntPriorityIncentive)*'Intl Priority'!B79)*(1+International_Fuel_Surcharge),2))</f>
        <v>169.26</v>
      </c>
      <c r="C82" s="231">
        <f>IF('Intl Priority'!$C$105&gt;ROUND(((1-IntPriorityDiscount-IntPriorityIncentive)*'Intl Priority'!C79),2),ROUND('Intl Priority'!$C$105*(1+International_Fuel_Surcharge),2),ROUND(((1-IntPriorityDiscount-IntPriorityIncentive)*'Intl Priority'!C79)*(1+International_Fuel_Surcharge),2))</f>
        <v>186.72</v>
      </c>
      <c r="D82" s="231">
        <f>IF('Intl Priority'!$D$105&gt;ROUND(((1-IntPriorityDiscount-IntPriorityIncentive)*'Intl Priority'!D79),2),ROUND('Intl Priority'!$D$105*(1+International_Fuel_Surcharge),2),ROUND(((1-IntPriorityDiscount-IntPriorityIncentive)*'Intl Priority'!D79)*(1+International_Fuel_Surcharge),2))</f>
        <v>188.93</v>
      </c>
      <c r="E82" s="231">
        <f>IF('Intl Priority'!$E$105&gt;ROUND(((1-IntPriorityDiscount-IntPriorityIncentive)*'Intl Priority'!E79),2),ROUND('Intl Priority'!$E$105*(1+International_Fuel_Surcharge),2),ROUND(((1-IntPriorityDiscount-IntPriorityIncentive)*'Intl Priority'!E79)*(1+International_Fuel_Surcharge),2))</f>
        <v>302.45999999999998</v>
      </c>
      <c r="F82" s="231">
        <f>IF('Intl Priority'!$F$105&gt;ROUND(((1-IntPriorityDiscount-IntPriorityIncentive)*'Intl Priority'!F79),2),ROUND('Intl Priority'!$F$105*(1+International_Fuel_Surcharge),2),ROUND(((1-IntPriorityDiscount-IntPriorityIncentive)*'Intl Priority'!F79)*(1+International_Fuel_Surcharge),2))</f>
        <v>514.75</v>
      </c>
      <c r="G82" s="231">
        <f>IF('Intl Priority'!$G$105&gt;ROUND(((1-IntPriorityDiscount-IntPriorityIncentive)*'Intl Priority'!G79),2),ROUND('Intl Priority'!$G$105*(1+International_Fuel_Surcharge),2),ROUND(((1-IntPriorityDiscount-IntPriorityIncentive)*'Intl Priority'!G79)*(1+International_Fuel_Surcharge),2))</f>
        <v>291.88</v>
      </c>
      <c r="H82" s="231">
        <f>IF('Intl Priority'!$H$105&gt;ROUND(((1-IntPriorityDiscount-IntPriorityIncentive)*'Intl Priority'!H79),2),ROUND('Intl Priority'!$H$105*(1+International_Fuel_Surcharge),2),ROUND(((1-IntPriorityDiscount-IntPriorityIncentive)*'Intl Priority'!H79)*(1+International_Fuel_Surcharge),2))</f>
        <v>294.7</v>
      </c>
      <c r="I82" s="231">
        <f>IF('Intl Priority'!$I$105&gt;ROUND(((1-IntPriorityDiscount-IntPriorityIncentive)*'Intl Priority'!I79),2),ROUND('Intl Priority'!$I$105*(1+International_Fuel_Surcharge),2),ROUND(((1-IntPriorityDiscount-IntPriorityIncentive)*'Intl Priority'!I79)*(1+International_Fuel_Surcharge),2))</f>
        <v>330.02</v>
      </c>
      <c r="J82" s="231">
        <f>IF('Intl Priority'!$J$105&gt;ROUND(((1-IntPriorityDiscount-IntPriorityIncentive)*'Intl Priority'!J79),2),ROUND('Intl Priority'!$J$105*(1+International_Fuel_Surcharge),2),ROUND(((1-IntPriorityDiscount-IntPriorityIncentive)*'Intl Priority'!J79)*(1+International_Fuel_Surcharge),2))</f>
        <v>234.33</v>
      </c>
      <c r="K82" s="231">
        <f>IF('Intl Priority'!$K$105&gt;ROUND(((1-IntPriorityDiscount-IntPriorityIncentive)*'Intl Priority'!K79),2),ROUND('Intl Priority'!$K$105*(1+International_Fuel_Surcharge),2),ROUND(((1-IntPriorityDiscount-IntPriorityIncentive)*'Intl Priority'!K79)*(1+International_Fuel_Surcharge),2))</f>
        <v>471.76</v>
      </c>
      <c r="L82" s="231">
        <f>IF('Intl Priority'!$L$105&gt;ROUND(((1-IntPriorityDiscount-IntPriorityIncentive)*'Intl Priority'!L79),2),ROUND('Intl Priority'!$L$105*(1+International_Fuel_Surcharge),2),ROUND(((1-IntPriorityDiscount-IntPriorityIncentive)*'Intl Priority'!L79)*(1+International_Fuel_Surcharge),2))</f>
        <v>380.43</v>
      </c>
      <c r="M82" s="231">
        <f>IF('Intl Priority'!$M$105&gt;ROUND(((1-IntPriorityDiscount-IntPriorityIncentive)*'Intl Priority'!M79),2),ROUND('Intl Priority'!$M$105*(1+International_Fuel_Surcharge),2),ROUND(((1-IntPriorityDiscount-IntPriorityIncentive)*'Intl Priority'!M79)*(1+International_Fuel_Surcharge),2))</f>
        <v>545.20000000000005</v>
      </c>
      <c r="N82" s="231">
        <f>IF('Intl Priority'!$N$105&gt;ROUND(((1-IntPriorityDiscount-IntPriorityIncentive)*'Intl Priority'!N79),2),ROUND('Intl Priority'!$N$105*(1+International_Fuel_Surcharge),2),ROUND(((1-IntPriorityDiscount-IntPriorityIncentive)*'Intl Priority'!N79)*(1+International_Fuel_Surcharge),2))</f>
        <v>482.05</v>
      </c>
      <c r="O82" s="231">
        <f>IF('Intl Priority'!$O$105&gt;ROUND(((1-IntPriorityDiscount-IntPriorityIncentive)*'Intl Priority'!O79),2),ROUND('Intl Priority'!$O$105*(1+International_Fuel_Surcharge),2),ROUND(((1-IntPriorityDiscount-IntPriorityIncentive)*'Intl Priority'!O79)*(1+International_Fuel_Surcharge),2))</f>
        <v>380.08</v>
      </c>
      <c r="P82" s="231">
        <f>IF('Intl Priority'!$P$105&gt;ROUND(((1-IntPriorityDiscount-IntPriorityIncentive)*'Intl Priority'!P79),2),ROUND('Intl Priority'!$P$105*(1+International_Fuel_Surcharge),2),ROUND(((1-IntPriorityDiscount-IntPriorityIncentive)*'Intl Priority'!P79)*(1+International_Fuel_Surcharge),2))</f>
        <v>409.13</v>
      </c>
      <c r="Q82" s="231">
        <f>IF('Intl Priority'!$Q$105&gt;ROUND(((1-PuertoRicoDiscount)*'Intl Priority'!Q79),2),ROUND('Intl Priority'!$Q$105*(1+International_Fuel_Surcharge),2),ROUND(((1-PuertoRicoDiscount)*'Intl Priority'!Q79)*(1+International_Fuel_Surcharge),2))</f>
        <v>548.45000000000005</v>
      </c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2.75" customHeight="1">
      <c r="A83" s="217">
        <v>115</v>
      </c>
      <c r="B83" s="231">
        <f>IF('Intl Priority'!$B$105&gt;ROUND(((1-IntPriorityDiscount-IntPriorityIncentive)*'Intl Priority'!B80),2),ROUND('Intl Priority'!$B$105*(1+International_Fuel_Surcharge),2),ROUND(((1-IntPriorityDiscount-IntPriorityIncentive)*'Intl Priority'!B80)*(1+International_Fuel_Surcharge),2))</f>
        <v>169.39</v>
      </c>
      <c r="C83" s="231">
        <f>IF('Intl Priority'!$C$105&gt;ROUND(((1-IntPriorityDiscount-IntPriorityIncentive)*'Intl Priority'!C80),2),ROUND('Intl Priority'!$C$105*(1+International_Fuel_Surcharge),2),ROUND(((1-IntPriorityDiscount-IntPriorityIncentive)*'Intl Priority'!C80)*(1+International_Fuel_Surcharge),2))</f>
        <v>186.95</v>
      </c>
      <c r="D83" s="231">
        <f>IF('Intl Priority'!$D$105&gt;ROUND(((1-IntPriorityDiscount-IntPriorityIncentive)*'Intl Priority'!D80),2),ROUND('Intl Priority'!$D$105*(1+International_Fuel_Surcharge),2),ROUND(((1-IntPriorityDiscount-IntPriorityIncentive)*'Intl Priority'!D80)*(1+International_Fuel_Surcharge),2))</f>
        <v>190.09</v>
      </c>
      <c r="E83" s="231">
        <f>IF('Intl Priority'!$E$105&gt;ROUND(((1-IntPriorityDiscount-IntPriorityIncentive)*'Intl Priority'!E80),2),ROUND('Intl Priority'!$E$105*(1+International_Fuel_Surcharge),2),ROUND(((1-IntPriorityDiscount-IntPriorityIncentive)*'Intl Priority'!E80)*(1+International_Fuel_Surcharge),2))</f>
        <v>305.63</v>
      </c>
      <c r="F83" s="231">
        <f>IF('Intl Priority'!$F$105&gt;ROUND(((1-IntPriorityDiscount-IntPriorityIncentive)*'Intl Priority'!F80),2),ROUND('Intl Priority'!$F$105*(1+International_Fuel_Surcharge),2),ROUND(((1-IntPriorityDiscount-IntPriorityIncentive)*'Intl Priority'!F80)*(1+International_Fuel_Surcharge),2))</f>
        <v>515.71</v>
      </c>
      <c r="G83" s="231">
        <f>IF('Intl Priority'!$G$105&gt;ROUND(((1-IntPriorityDiscount-IntPriorityIncentive)*'Intl Priority'!G80),2),ROUND('Intl Priority'!$G$105*(1+International_Fuel_Surcharge),2),ROUND(((1-IntPriorityDiscount-IntPriorityIncentive)*'Intl Priority'!G80)*(1+International_Fuel_Surcharge),2))</f>
        <v>292.35000000000002</v>
      </c>
      <c r="H83" s="231">
        <f>IF('Intl Priority'!$H$105&gt;ROUND(((1-IntPriorityDiscount-IntPriorityIncentive)*'Intl Priority'!H80),2),ROUND('Intl Priority'!$H$105*(1+International_Fuel_Surcharge),2),ROUND(((1-IntPriorityDiscount-IntPriorityIncentive)*'Intl Priority'!H80)*(1+International_Fuel_Surcharge),2))</f>
        <v>300.49</v>
      </c>
      <c r="I83" s="231">
        <f>IF('Intl Priority'!$I$105&gt;ROUND(((1-IntPriorityDiscount-IntPriorityIncentive)*'Intl Priority'!I80),2),ROUND('Intl Priority'!$I$105*(1+International_Fuel_Surcharge),2),ROUND(((1-IntPriorityDiscount-IntPriorityIncentive)*'Intl Priority'!I80)*(1+International_Fuel_Surcharge),2))</f>
        <v>330.16</v>
      </c>
      <c r="J83" s="231">
        <f>IF('Intl Priority'!$J$105&gt;ROUND(((1-IntPriorityDiscount-IntPriorityIncentive)*'Intl Priority'!J80),2),ROUND('Intl Priority'!$J$105*(1+International_Fuel_Surcharge),2),ROUND(((1-IntPriorityDiscount-IntPriorityIncentive)*'Intl Priority'!J80)*(1+International_Fuel_Surcharge),2))</f>
        <v>235.29</v>
      </c>
      <c r="K83" s="231">
        <f>IF('Intl Priority'!$K$105&gt;ROUND(((1-IntPriorityDiscount-IntPriorityIncentive)*'Intl Priority'!K80),2),ROUND('Intl Priority'!$K$105*(1+International_Fuel_Surcharge),2),ROUND(((1-IntPriorityDiscount-IntPriorityIncentive)*'Intl Priority'!K80)*(1+International_Fuel_Surcharge),2))</f>
        <v>472.72</v>
      </c>
      <c r="L83" s="231">
        <f>IF('Intl Priority'!$L$105&gt;ROUND(((1-IntPriorityDiscount-IntPriorityIncentive)*'Intl Priority'!L80),2),ROUND('Intl Priority'!$L$105*(1+International_Fuel_Surcharge),2),ROUND(((1-IntPriorityDiscount-IntPriorityIncentive)*'Intl Priority'!L80)*(1+International_Fuel_Surcharge),2))</f>
        <v>380.49</v>
      </c>
      <c r="M83" s="231">
        <f>IF('Intl Priority'!$M$105&gt;ROUND(((1-IntPriorityDiscount-IntPriorityIncentive)*'Intl Priority'!M80),2),ROUND('Intl Priority'!$M$105*(1+International_Fuel_Surcharge),2),ROUND(((1-IntPriorityDiscount-IntPriorityIncentive)*'Intl Priority'!M80)*(1+International_Fuel_Surcharge),2))</f>
        <v>545.36</v>
      </c>
      <c r="N83" s="231">
        <f>IF('Intl Priority'!$N$105&gt;ROUND(((1-IntPriorityDiscount-IntPriorityIncentive)*'Intl Priority'!N80),2),ROUND('Intl Priority'!$N$105*(1+International_Fuel_Surcharge),2),ROUND(((1-IntPriorityDiscount-IntPriorityIncentive)*'Intl Priority'!N80)*(1+International_Fuel_Surcharge),2))</f>
        <v>482.11</v>
      </c>
      <c r="O83" s="231">
        <f>IF('Intl Priority'!$O$105&gt;ROUND(((1-IntPriorityDiscount-IntPriorityIncentive)*'Intl Priority'!O80),2),ROUND('Intl Priority'!$O$105*(1+International_Fuel_Surcharge),2),ROUND(((1-IntPriorityDiscount-IntPriorityIncentive)*'Intl Priority'!O80)*(1+International_Fuel_Surcharge),2))</f>
        <v>380.78</v>
      </c>
      <c r="P83" s="231">
        <f>IF('Intl Priority'!$P$105&gt;ROUND(((1-IntPriorityDiscount-IntPriorityIncentive)*'Intl Priority'!P80),2),ROUND('Intl Priority'!$P$105*(1+International_Fuel_Surcharge),2),ROUND(((1-IntPriorityDiscount-IntPriorityIncentive)*'Intl Priority'!P80)*(1+International_Fuel_Surcharge),2))</f>
        <v>409.5</v>
      </c>
      <c r="Q83" s="231">
        <f>IF('Intl Priority'!$Q$105&gt;ROUND(((1-PuertoRicoDiscount)*'Intl Priority'!Q80),2),ROUND('Intl Priority'!$Q$105*(1+International_Fuel_Surcharge),2),ROUND(((1-PuertoRicoDiscount)*'Intl Priority'!Q80)*(1+International_Fuel_Surcharge),2))</f>
        <v>555.70000000000005</v>
      </c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2.75" customHeight="1">
      <c r="A84" s="217">
        <v>120</v>
      </c>
      <c r="B84" s="231">
        <f>IF('Intl Priority'!$B$105&gt;ROUND(((1-IntPriorityDiscount-IntPriorityIncentive)*'Intl Priority'!B81),2),ROUND('Intl Priority'!$B$105*(1+International_Fuel_Surcharge),2),ROUND(((1-IntPriorityDiscount-IntPriorityIncentive)*'Intl Priority'!B81)*(1+International_Fuel_Surcharge),2))</f>
        <v>169.58</v>
      </c>
      <c r="C84" s="231">
        <f>IF('Intl Priority'!$C$105&gt;ROUND(((1-IntPriorityDiscount-IntPriorityIncentive)*'Intl Priority'!C81),2),ROUND('Intl Priority'!$C$105*(1+International_Fuel_Surcharge),2),ROUND(((1-IntPriorityDiscount-IntPriorityIncentive)*'Intl Priority'!C81)*(1+International_Fuel_Surcharge),2))</f>
        <v>188.53</v>
      </c>
      <c r="D84" s="231">
        <f>IF('Intl Priority'!$D$105&gt;ROUND(((1-IntPriorityDiscount-IntPriorityIncentive)*'Intl Priority'!D81),2),ROUND('Intl Priority'!$D$105*(1+International_Fuel_Surcharge),2),ROUND(((1-IntPriorityDiscount-IntPriorityIncentive)*'Intl Priority'!D81)*(1+International_Fuel_Surcharge),2))</f>
        <v>190.2</v>
      </c>
      <c r="E84" s="231">
        <f>IF('Intl Priority'!$E$105&gt;ROUND(((1-IntPriorityDiscount-IntPriorityIncentive)*'Intl Priority'!E81),2),ROUND('Intl Priority'!$E$105*(1+International_Fuel_Surcharge),2),ROUND(((1-IntPriorityDiscount-IntPriorityIncentive)*'Intl Priority'!E81)*(1+International_Fuel_Surcharge),2))</f>
        <v>306.49</v>
      </c>
      <c r="F84" s="231">
        <f>IF('Intl Priority'!$F$105&gt;ROUND(((1-IntPriorityDiscount-IntPriorityIncentive)*'Intl Priority'!F81),2),ROUND('Intl Priority'!$F$105*(1+International_Fuel_Surcharge),2),ROUND(((1-IntPriorityDiscount-IntPriorityIncentive)*'Intl Priority'!F81)*(1+International_Fuel_Surcharge),2))</f>
        <v>516.34</v>
      </c>
      <c r="G84" s="231">
        <f>IF('Intl Priority'!$G$105&gt;ROUND(((1-IntPriorityDiscount-IntPriorityIncentive)*'Intl Priority'!G81),2),ROUND('Intl Priority'!$G$105*(1+International_Fuel_Surcharge),2),ROUND(((1-IntPriorityDiscount-IntPriorityIncentive)*'Intl Priority'!G81)*(1+International_Fuel_Surcharge),2))</f>
        <v>298.20999999999998</v>
      </c>
      <c r="H84" s="231">
        <f>IF('Intl Priority'!$H$105&gt;ROUND(((1-IntPriorityDiscount-IntPriorityIncentive)*'Intl Priority'!H81),2),ROUND('Intl Priority'!$H$105*(1+International_Fuel_Surcharge),2),ROUND(((1-IntPriorityDiscount-IntPriorityIncentive)*'Intl Priority'!H81)*(1+International_Fuel_Surcharge),2))</f>
        <v>301.36</v>
      </c>
      <c r="I84" s="231">
        <f>IF('Intl Priority'!$I$105&gt;ROUND(((1-IntPriorityDiscount-IntPriorityIncentive)*'Intl Priority'!I81),2),ROUND('Intl Priority'!$I$105*(1+International_Fuel_Surcharge),2),ROUND(((1-IntPriorityDiscount-IntPriorityIncentive)*'Intl Priority'!I81)*(1+International_Fuel_Surcharge),2))</f>
        <v>330.23</v>
      </c>
      <c r="J84" s="231">
        <f>IF('Intl Priority'!$J$105&gt;ROUND(((1-IntPriorityDiscount-IntPriorityIncentive)*'Intl Priority'!J81),2),ROUND('Intl Priority'!$J$105*(1+International_Fuel_Surcharge),2),ROUND(((1-IntPriorityDiscount-IntPriorityIncentive)*'Intl Priority'!J81)*(1+International_Fuel_Surcharge),2))</f>
        <v>250.61</v>
      </c>
      <c r="K84" s="231">
        <f>IF('Intl Priority'!$K$105&gt;ROUND(((1-IntPriorityDiscount-IntPriorityIncentive)*'Intl Priority'!K81),2),ROUND('Intl Priority'!$K$105*(1+International_Fuel_Surcharge),2),ROUND(((1-IntPriorityDiscount-IntPriorityIncentive)*'Intl Priority'!K81)*(1+International_Fuel_Surcharge),2))</f>
        <v>472.82</v>
      </c>
      <c r="L84" s="231">
        <f>IF('Intl Priority'!$L$105&gt;ROUND(((1-IntPriorityDiscount-IntPriorityIncentive)*'Intl Priority'!L81),2),ROUND('Intl Priority'!$L$105*(1+International_Fuel_Surcharge),2),ROUND(((1-IntPriorityDiscount-IntPriorityIncentive)*'Intl Priority'!L81)*(1+International_Fuel_Surcharge),2))</f>
        <v>380.55</v>
      </c>
      <c r="M84" s="231">
        <f>IF('Intl Priority'!$M$105&gt;ROUND(((1-IntPriorityDiscount-IntPriorityIncentive)*'Intl Priority'!M81),2),ROUND('Intl Priority'!$M$105*(1+International_Fuel_Surcharge),2),ROUND(((1-IntPriorityDiscount-IntPriorityIncentive)*'Intl Priority'!M81)*(1+International_Fuel_Surcharge),2))</f>
        <v>545.41999999999996</v>
      </c>
      <c r="N84" s="231">
        <f>IF('Intl Priority'!$N$105&gt;ROUND(((1-IntPriorityDiscount-IntPriorityIncentive)*'Intl Priority'!N81),2),ROUND('Intl Priority'!$N$105*(1+International_Fuel_Surcharge),2),ROUND(((1-IntPriorityDiscount-IntPriorityIncentive)*'Intl Priority'!N81)*(1+International_Fuel_Surcharge),2))</f>
        <v>482.89</v>
      </c>
      <c r="O84" s="231">
        <f>IF('Intl Priority'!$O$105&gt;ROUND(((1-IntPriorityDiscount-IntPriorityIncentive)*'Intl Priority'!O81),2),ROUND('Intl Priority'!$O$105*(1+International_Fuel_Surcharge),2),ROUND(((1-IntPriorityDiscount-IntPriorityIncentive)*'Intl Priority'!O81)*(1+International_Fuel_Surcharge),2))</f>
        <v>381.85</v>
      </c>
      <c r="P84" s="231">
        <f>IF('Intl Priority'!$P$105&gt;ROUND(((1-IntPriorityDiscount-IntPriorityIncentive)*'Intl Priority'!P81),2),ROUND('Intl Priority'!$P$105*(1+International_Fuel_Surcharge),2),ROUND(((1-IntPriorityDiscount-IntPriorityIncentive)*'Intl Priority'!P81)*(1+International_Fuel_Surcharge),2))</f>
        <v>409.55</v>
      </c>
      <c r="Q84" s="231">
        <f>IF('Intl Priority'!$Q$105&gt;ROUND(((1-PuertoRicoDiscount)*'Intl Priority'!Q81),2),ROUND('Intl Priority'!$Q$105*(1+International_Fuel_Surcharge),2),ROUND(((1-PuertoRicoDiscount)*'Intl Priority'!Q81)*(1+International_Fuel_Surcharge),2))</f>
        <v>557.39</v>
      </c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2.75" customHeight="1">
      <c r="A85" s="217">
        <v>125</v>
      </c>
      <c r="B85" s="231">
        <f>IF('Intl Priority'!$B$105&gt;ROUND(((1-IntPriorityDiscount-IntPriorityIncentive)*'Intl Priority'!B82),2),ROUND('Intl Priority'!$B$105*(1+International_Fuel_Surcharge),2),ROUND(((1-IntPriorityDiscount-IntPriorityIncentive)*'Intl Priority'!B82)*(1+International_Fuel_Surcharge),2))</f>
        <v>173.36</v>
      </c>
      <c r="C85" s="231">
        <f>IF('Intl Priority'!$C$105&gt;ROUND(((1-IntPriorityDiscount-IntPriorityIncentive)*'Intl Priority'!C82),2),ROUND('Intl Priority'!$C$105*(1+International_Fuel_Surcharge),2),ROUND(((1-IntPriorityDiscount-IntPriorityIncentive)*'Intl Priority'!C82)*(1+International_Fuel_Surcharge),2))</f>
        <v>190.23</v>
      </c>
      <c r="D85" s="231">
        <f>IF('Intl Priority'!$D$105&gt;ROUND(((1-IntPriorityDiscount-IntPriorityIncentive)*'Intl Priority'!D82),2),ROUND('Intl Priority'!$D$105*(1+International_Fuel_Surcharge),2),ROUND(((1-IntPriorityDiscount-IntPriorityIncentive)*'Intl Priority'!D82)*(1+International_Fuel_Surcharge),2))</f>
        <v>190.58</v>
      </c>
      <c r="E85" s="231">
        <f>IF('Intl Priority'!$E$105&gt;ROUND(((1-IntPriorityDiscount-IntPriorityIncentive)*'Intl Priority'!E82),2),ROUND('Intl Priority'!$E$105*(1+International_Fuel_Surcharge),2),ROUND(((1-IntPriorityDiscount-IntPriorityIncentive)*'Intl Priority'!E82)*(1+International_Fuel_Surcharge),2))</f>
        <v>306.58</v>
      </c>
      <c r="F85" s="231">
        <f>IF('Intl Priority'!$F$105&gt;ROUND(((1-IntPriorityDiscount-IntPriorityIncentive)*'Intl Priority'!F82),2),ROUND('Intl Priority'!$F$105*(1+International_Fuel_Surcharge),2),ROUND(((1-IntPriorityDiscount-IntPriorityIncentive)*'Intl Priority'!F82)*(1+International_Fuel_Surcharge),2))</f>
        <v>516.69000000000005</v>
      </c>
      <c r="G85" s="231">
        <f>IF('Intl Priority'!$G$105&gt;ROUND(((1-IntPriorityDiscount-IntPriorityIncentive)*'Intl Priority'!G82),2),ROUND('Intl Priority'!$G$105*(1+International_Fuel_Surcharge),2),ROUND(((1-IntPriorityDiscount-IntPriorityIncentive)*'Intl Priority'!G82)*(1+International_Fuel_Surcharge),2))</f>
        <v>303.94</v>
      </c>
      <c r="H85" s="231">
        <f>IF('Intl Priority'!$H$105&gt;ROUND(((1-IntPriorityDiscount-IntPriorityIncentive)*'Intl Priority'!H82),2),ROUND('Intl Priority'!$H$105*(1+International_Fuel_Surcharge),2),ROUND(((1-IntPriorityDiscount-IntPriorityIncentive)*'Intl Priority'!H82)*(1+International_Fuel_Surcharge),2))</f>
        <v>304.20999999999998</v>
      </c>
      <c r="I85" s="231">
        <f>IF('Intl Priority'!$I$105&gt;ROUND(((1-IntPriorityDiscount-IntPriorityIncentive)*'Intl Priority'!I82),2),ROUND('Intl Priority'!$I$105*(1+International_Fuel_Surcharge),2),ROUND(((1-IntPriorityDiscount-IntPriorityIncentive)*'Intl Priority'!I82)*(1+International_Fuel_Surcharge),2))</f>
        <v>331.64</v>
      </c>
      <c r="J85" s="231">
        <f>IF('Intl Priority'!$J$105&gt;ROUND(((1-IntPriorityDiscount-IntPriorityIncentive)*'Intl Priority'!J82),2),ROUND('Intl Priority'!$J$105*(1+International_Fuel_Surcharge),2),ROUND(((1-IntPriorityDiscount-IntPriorityIncentive)*'Intl Priority'!J82)*(1+International_Fuel_Surcharge),2))</f>
        <v>252.14</v>
      </c>
      <c r="K85" s="231">
        <f>IF('Intl Priority'!$K$105&gt;ROUND(((1-IntPriorityDiscount-IntPriorityIncentive)*'Intl Priority'!K82),2),ROUND('Intl Priority'!$K$105*(1+International_Fuel_Surcharge),2),ROUND(((1-IntPriorityDiscount-IntPriorityIncentive)*'Intl Priority'!K82)*(1+International_Fuel_Surcharge),2))</f>
        <v>472.91</v>
      </c>
      <c r="L85" s="231">
        <f>IF('Intl Priority'!$L$105&gt;ROUND(((1-IntPriorityDiscount-IntPriorityIncentive)*'Intl Priority'!L82),2),ROUND('Intl Priority'!$L$105*(1+International_Fuel_Surcharge),2),ROUND(((1-IntPriorityDiscount-IntPriorityIncentive)*'Intl Priority'!L82)*(1+International_Fuel_Surcharge),2))</f>
        <v>381.25</v>
      </c>
      <c r="M85" s="231">
        <f>IF('Intl Priority'!$M$105&gt;ROUND(((1-IntPriorityDiscount-IntPriorityIncentive)*'Intl Priority'!M82),2),ROUND('Intl Priority'!$M$105*(1+International_Fuel_Surcharge),2),ROUND(((1-IntPriorityDiscount-IntPriorityIncentive)*'Intl Priority'!M82)*(1+International_Fuel_Surcharge),2))</f>
        <v>545.65</v>
      </c>
      <c r="N85" s="231">
        <f>IF('Intl Priority'!$N$105&gt;ROUND(((1-IntPriorityDiscount-IntPriorityIncentive)*'Intl Priority'!N82),2),ROUND('Intl Priority'!$N$105*(1+International_Fuel_Surcharge),2),ROUND(((1-IntPriorityDiscount-IntPriorityIncentive)*'Intl Priority'!N82)*(1+International_Fuel_Surcharge),2))</f>
        <v>497.78</v>
      </c>
      <c r="O85" s="231">
        <f>IF('Intl Priority'!$O$105&gt;ROUND(((1-IntPriorityDiscount-IntPriorityIncentive)*'Intl Priority'!O82),2),ROUND('Intl Priority'!$O$105*(1+International_Fuel_Surcharge),2),ROUND(((1-IntPriorityDiscount-IntPriorityIncentive)*'Intl Priority'!O82)*(1+International_Fuel_Surcharge),2))</f>
        <v>390.45</v>
      </c>
      <c r="P85" s="231">
        <f>IF('Intl Priority'!$P$105&gt;ROUND(((1-IntPriorityDiscount-IntPriorityIncentive)*'Intl Priority'!P82),2),ROUND('Intl Priority'!$P$105*(1+International_Fuel_Surcharge),2),ROUND(((1-IntPriorityDiscount-IntPriorityIncentive)*'Intl Priority'!P82)*(1+International_Fuel_Surcharge),2))</f>
        <v>409.61</v>
      </c>
      <c r="Q85" s="231">
        <f>IF('Intl Priority'!$Q$105&gt;ROUND(((1-PuertoRicoDiscount)*'Intl Priority'!Q82),2),ROUND('Intl Priority'!$Q$105*(1+International_Fuel_Surcharge),2),ROUND(((1-PuertoRicoDiscount)*'Intl Priority'!Q82)*(1+International_Fuel_Surcharge),2))</f>
        <v>570.05999999999995</v>
      </c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2.75" customHeight="1">
      <c r="A86" s="217">
        <v>130</v>
      </c>
      <c r="B86" s="231">
        <f>IF('Intl Priority'!$B$105&gt;ROUND(((1-IntPriorityDiscount-IntPriorityIncentive)*'Intl Priority'!B83),2),ROUND('Intl Priority'!$B$105*(1+International_Fuel_Surcharge),2),ROUND(((1-IntPriorityDiscount-IntPriorityIncentive)*'Intl Priority'!B83)*(1+International_Fuel_Surcharge),2))</f>
        <v>173.73</v>
      </c>
      <c r="C86" s="231">
        <f>IF('Intl Priority'!$C$105&gt;ROUND(((1-IntPriorityDiscount-IntPriorityIncentive)*'Intl Priority'!C83),2),ROUND('Intl Priority'!$C$105*(1+International_Fuel_Surcharge),2),ROUND(((1-IntPriorityDiscount-IntPriorityIncentive)*'Intl Priority'!C83)*(1+International_Fuel_Surcharge),2))</f>
        <v>191.4</v>
      </c>
      <c r="D86" s="231">
        <f>IF('Intl Priority'!$D$105&gt;ROUND(((1-IntPriorityDiscount-IntPriorityIncentive)*'Intl Priority'!D83),2),ROUND('Intl Priority'!$D$105*(1+International_Fuel_Surcharge),2),ROUND(((1-IntPriorityDiscount-IntPriorityIncentive)*'Intl Priority'!D83)*(1+International_Fuel_Surcharge),2))</f>
        <v>198.05</v>
      </c>
      <c r="E86" s="231">
        <f>IF('Intl Priority'!$E$105&gt;ROUND(((1-IntPriorityDiscount-IntPriorityIncentive)*'Intl Priority'!E83),2),ROUND('Intl Priority'!$E$105*(1+International_Fuel_Surcharge),2),ROUND(((1-IntPriorityDiscount-IntPriorityIncentive)*'Intl Priority'!E83)*(1+International_Fuel_Surcharge),2))</f>
        <v>307.01</v>
      </c>
      <c r="F86" s="231">
        <f>IF('Intl Priority'!$F$105&gt;ROUND(((1-IntPriorityDiscount-IntPriorityIncentive)*'Intl Priority'!F83),2),ROUND('Intl Priority'!$F$105*(1+International_Fuel_Surcharge),2),ROUND(((1-IntPriorityDiscount-IntPriorityIncentive)*'Intl Priority'!F83)*(1+International_Fuel_Surcharge),2))</f>
        <v>523.45000000000005</v>
      </c>
      <c r="G86" s="231">
        <f>IF('Intl Priority'!$G$105&gt;ROUND(((1-IntPriorityDiscount-IntPriorityIncentive)*'Intl Priority'!G83),2),ROUND('Intl Priority'!$G$105*(1+International_Fuel_Surcharge),2),ROUND(((1-IntPriorityDiscount-IntPriorityIncentive)*'Intl Priority'!G83)*(1+International_Fuel_Surcharge),2))</f>
        <v>304.58999999999997</v>
      </c>
      <c r="H86" s="231">
        <f>IF('Intl Priority'!$H$105&gt;ROUND(((1-IntPriorityDiscount-IntPriorityIncentive)*'Intl Priority'!H83),2),ROUND('Intl Priority'!$H$105*(1+International_Fuel_Surcharge),2),ROUND(((1-IntPriorityDiscount-IntPriorityIncentive)*'Intl Priority'!H83)*(1+International_Fuel_Surcharge),2))</f>
        <v>304.5</v>
      </c>
      <c r="I86" s="231">
        <f>IF('Intl Priority'!$I$105&gt;ROUND(((1-IntPriorityDiscount-IntPriorityIncentive)*'Intl Priority'!I83),2),ROUND('Intl Priority'!$I$105*(1+International_Fuel_Surcharge),2),ROUND(((1-IntPriorityDiscount-IntPriorityIncentive)*'Intl Priority'!I83)*(1+International_Fuel_Surcharge),2))</f>
        <v>341.58</v>
      </c>
      <c r="J86" s="231">
        <f>IF('Intl Priority'!$J$105&gt;ROUND(((1-IntPriorityDiscount-IntPriorityIncentive)*'Intl Priority'!J83),2),ROUND('Intl Priority'!$J$105*(1+International_Fuel_Surcharge),2),ROUND(((1-IntPriorityDiscount-IntPriorityIncentive)*'Intl Priority'!J83)*(1+International_Fuel_Surcharge),2))</f>
        <v>252.3</v>
      </c>
      <c r="K86" s="231">
        <f>IF('Intl Priority'!$K$105&gt;ROUND(((1-IntPriorityDiscount-IntPriorityIncentive)*'Intl Priority'!K83),2),ROUND('Intl Priority'!$K$105*(1+International_Fuel_Surcharge),2),ROUND(((1-IntPriorityDiscount-IntPriorityIncentive)*'Intl Priority'!K83)*(1+International_Fuel_Surcharge),2))</f>
        <v>472.99</v>
      </c>
      <c r="L86" s="231">
        <f>IF('Intl Priority'!$L$105&gt;ROUND(((1-IntPriorityDiscount-IntPriorityIncentive)*'Intl Priority'!L83),2),ROUND('Intl Priority'!$L$105*(1+International_Fuel_Surcharge),2),ROUND(((1-IntPriorityDiscount-IntPriorityIncentive)*'Intl Priority'!L83)*(1+International_Fuel_Surcharge),2))</f>
        <v>381.96</v>
      </c>
      <c r="M86" s="231">
        <f>IF('Intl Priority'!$M$105&gt;ROUND(((1-IntPriorityDiscount-IntPriorityIncentive)*'Intl Priority'!M83),2),ROUND('Intl Priority'!$M$105*(1+International_Fuel_Surcharge),2),ROUND(((1-IntPriorityDiscount-IntPriorityIncentive)*'Intl Priority'!M83)*(1+International_Fuel_Surcharge),2))</f>
        <v>550.36</v>
      </c>
      <c r="N86" s="231">
        <f>IF('Intl Priority'!$N$105&gt;ROUND(((1-IntPriorityDiscount-IntPriorityIncentive)*'Intl Priority'!N83),2),ROUND('Intl Priority'!$N$105*(1+International_Fuel_Surcharge),2),ROUND(((1-IntPriorityDiscount-IntPriorityIncentive)*'Intl Priority'!N83)*(1+International_Fuel_Surcharge),2))</f>
        <v>505.75</v>
      </c>
      <c r="O86" s="231">
        <f>IF('Intl Priority'!$O$105&gt;ROUND(((1-IntPriorityDiscount-IntPriorityIncentive)*'Intl Priority'!O83),2),ROUND('Intl Priority'!$O$105*(1+International_Fuel_Surcharge),2),ROUND(((1-IntPriorityDiscount-IntPriorityIncentive)*'Intl Priority'!O83)*(1+International_Fuel_Surcharge),2))</f>
        <v>391.45</v>
      </c>
      <c r="P86" s="231">
        <f>IF('Intl Priority'!$P$105&gt;ROUND(((1-IntPriorityDiscount-IntPriorityIncentive)*'Intl Priority'!P83),2),ROUND('Intl Priority'!$P$105*(1+International_Fuel_Surcharge),2),ROUND(((1-IntPriorityDiscount-IntPriorityIncentive)*'Intl Priority'!P83)*(1+International_Fuel_Surcharge),2))</f>
        <v>410.3</v>
      </c>
      <c r="Q86" s="231">
        <f>IF('Intl Priority'!$Q$105&gt;ROUND(((1-PuertoRicoDiscount)*'Intl Priority'!Q83),2),ROUND('Intl Priority'!$Q$105*(1+International_Fuel_Surcharge),2),ROUND(((1-PuertoRicoDiscount)*'Intl Priority'!Q83)*(1+International_Fuel_Surcharge),2))</f>
        <v>570.13</v>
      </c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2.75" customHeight="1">
      <c r="A87" s="217">
        <v>135</v>
      </c>
      <c r="B87" s="231">
        <f>IF('Intl Priority'!$B$105&gt;ROUND(((1-IntPriorityDiscount-IntPriorityIncentive)*'Intl Priority'!B84),2),ROUND('Intl Priority'!$B$105*(1+International_Fuel_Surcharge),2),ROUND(((1-IntPriorityDiscount-IntPriorityIncentive)*'Intl Priority'!B84)*(1+International_Fuel_Surcharge),2))</f>
        <v>173.8</v>
      </c>
      <c r="C87" s="231">
        <f>IF('Intl Priority'!$C$105&gt;ROUND(((1-IntPriorityDiscount-IntPriorityIncentive)*'Intl Priority'!C84),2),ROUND('Intl Priority'!$C$105*(1+International_Fuel_Surcharge),2),ROUND(((1-IntPriorityDiscount-IntPriorityIncentive)*'Intl Priority'!C84)*(1+International_Fuel_Surcharge),2))</f>
        <v>192.56</v>
      </c>
      <c r="D87" s="231">
        <f>IF('Intl Priority'!$D$105&gt;ROUND(((1-IntPriorityDiscount-IntPriorityIncentive)*'Intl Priority'!D84),2),ROUND('Intl Priority'!$D$105*(1+International_Fuel_Surcharge),2),ROUND(((1-IntPriorityDiscount-IntPriorityIncentive)*'Intl Priority'!D84)*(1+International_Fuel_Surcharge),2))</f>
        <v>199.23</v>
      </c>
      <c r="E87" s="231">
        <f>IF('Intl Priority'!$E$105&gt;ROUND(((1-IntPriorityDiscount-IntPriorityIncentive)*'Intl Priority'!E84),2),ROUND('Intl Priority'!$E$105*(1+International_Fuel_Surcharge),2),ROUND(((1-IntPriorityDiscount-IntPriorityIncentive)*'Intl Priority'!E84)*(1+International_Fuel_Surcharge),2))</f>
        <v>315.45999999999998</v>
      </c>
      <c r="F87" s="231">
        <f>IF('Intl Priority'!$F$105&gt;ROUND(((1-IntPriorityDiscount-IntPriorityIncentive)*'Intl Priority'!F84),2),ROUND('Intl Priority'!$F$105*(1+International_Fuel_Surcharge),2),ROUND(((1-IntPriorityDiscount-IntPriorityIncentive)*'Intl Priority'!F84)*(1+International_Fuel_Surcharge),2))</f>
        <v>524.13</v>
      </c>
      <c r="G87" s="231">
        <f>IF('Intl Priority'!$G$105&gt;ROUND(((1-IntPriorityDiscount-IntPriorityIncentive)*'Intl Priority'!G84),2),ROUND('Intl Priority'!$G$105*(1+International_Fuel_Surcharge),2),ROUND(((1-IntPriorityDiscount-IntPriorityIncentive)*'Intl Priority'!G84)*(1+International_Fuel_Surcharge),2))</f>
        <v>304.67</v>
      </c>
      <c r="H87" s="231">
        <f>IF('Intl Priority'!$H$105&gt;ROUND(((1-IntPriorityDiscount-IntPriorityIncentive)*'Intl Priority'!H84),2),ROUND('Intl Priority'!$H$105*(1+International_Fuel_Surcharge),2),ROUND(((1-IntPriorityDiscount-IntPriorityIncentive)*'Intl Priority'!H84)*(1+International_Fuel_Surcharge),2))</f>
        <v>305.63</v>
      </c>
      <c r="I87" s="231">
        <f>IF('Intl Priority'!$I$105&gt;ROUND(((1-IntPriorityDiscount-IntPriorityIncentive)*'Intl Priority'!I84),2),ROUND('Intl Priority'!$I$105*(1+International_Fuel_Surcharge),2),ROUND(((1-IntPriorityDiscount-IntPriorityIncentive)*'Intl Priority'!I84)*(1+International_Fuel_Surcharge),2))</f>
        <v>348.64</v>
      </c>
      <c r="J87" s="231">
        <f>IF('Intl Priority'!$J$105&gt;ROUND(((1-IntPriorityDiscount-IntPriorityIncentive)*'Intl Priority'!J84),2),ROUND('Intl Priority'!$J$105*(1+International_Fuel_Surcharge),2),ROUND(((1-IntPriorityDiscount-IntPriorityIncentive)*'Intl Priority'!J84)*(1+International_Fuel_Surcharge),2))</f>
        <v>252.36</v>
      </c>
      <c r="K87" s="231">
        <f>IF('Intl Priority'!$K$105&gt;ROUND(((1-IntPriorityDiscount-IntPriorityIncentive)*'Intl Priority'!K84),2),ROUND('Intl Priority'!$K$105*(1+International_Fuel_Surcharge),2),ROUND(((1-IntPriorityDiscount-IntPriorityIncentive)*'Intl Priority'!K84)*(1+International_Fuel_Surcharge),2))</f>
        <v>474.36</v>
      </c>
      <c r="L87" s="231">
        <f>IF('Intl Priority'!$L$105&gt;ROUND(((1-IntPriorityDiscount-IntPriorityIncentive)*'Intl Priority'!L84),2),ROUND('Intl Priority'!$L$105*(1+International_Fuel_Surcharge),2),ROUND(((1-IntPriorityDiscount-IntPriorityIncentive)*'Intl Priority'!L84)*(1+International_Fuel_Surcharge),2))</f>
        <v>382.04</v>
      </c>
      <c r="M87" s="231">
        <f>IF('Intl Priority'!$M$105&gt;ROUND(((1-IntPriorityDiscount-IntPriorityIncentive)*'Intl Priority'!M84),2),ROUND('Intl Priority'!$M$105*(1+International_Fuel_Surcharge),2),ROUND(((1-IntPriorityDiscount-IntPriorityIncentive)*'Intl Priority'!M84)*(1+International_Fuel_Surcharge),2))</f>
        <v>550.85</v>
      </c>
      <c r="N87" s="231">
        <f>IF('Intl Priority'!$N$105&gt;ROUND(((1-IntPriorityDiscount-IntPriorityIncentive)*'Intl Priority'!N84),2),ROUND('Intl Priority'!$N$105*(1+International_Fuel_Surcharge),2),ROUND(((1-IntPriorityDiscount-IntPriorityIncentive)*'Intl Priority'!N84)*(1+International_Fuel_Surcharge),2))</f>
        <v>506.55</v>
      </c>
      <c r="O87" s="231">
        <f>IF('Intl Priority'!$O$105&gt;ROUND(((1-IntPriorityDiscount-IntPriorityIncentive)*'Intl Priority'!O84),2),ROUND('Intl Priority'!$O$105*(1+International_Fuel_Surcharge),2),ROUND(((1-IntPriorityDiscount-IntPriorityIncentive)*'Intl Priority'!O84)*(1+International_Fuel_Surcharge),2))</f>
        <v>410.77</v>
      </c>
      <c r="P87" s="231">
        <f>IF('Intl Priority'!$P$105&gt;ROUND(((1-IntPriorityDiscount-IntPriorityIncentive)*'Intl Priority'!P84),2),ROUND('Intl Priority'!$P$105*(1+International_Fuel_Surcharge),2),ROUND(((1-IntPriorityDiscount-IntPriorityIncentive)*'Intl Priority'!P84)*(1+International_Fuel_Surcharge),2))</f>
        <v>410.37</v>
      </c>
      <c r="Q87" s="231">
        <f>IF('Intl Priority'!$Q$105&gt;ROUND(((1-PuertoRicoDiscount)*'Intl Priority'!Q84),2),ROUND('Intl Priority'!$Q$105*(1+International_Fuel_Surcharge),2),ROUND(((1-PuertoRicoDiscount)*'Intl Priority'!Q84)*(1+International_Fuel_Surcharge),2))</f>
        <v>579.73</v>
      </c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2.75" customHeight="1">
      <c r="A88" s="217">
        <v>140</v>
      </c>
      <c r="B88" s="231">
        <f>IF('Intl Priority'!$B$105&gt;ROUND(((1-IntPriorityDiscount-IntPriorityIncentive)*'Intl Priority'!B85),2),ROUND('Intl Priority'!$B$105*(1+International_Fuel_Surcharge),2),ROUND(((1-IntPriorityDiscount-IntPriorityIncentive)*'Intl Priority'!B85)*(1+International_Fuel_Surcharge),2))</f>
        <v>174.38</v>
      </c>
      <c r="C88" s="231">
        <f>IF('Intl Priority'!$C$105&gt;ROUND(((1-IntPriorityDiscount-IntPriorityIncentive)*'Intl Priority'!C85),2),ROUND('Intl Priority'!$C$105*(1+International_Fuel_Surcharge),2),ROUND(((1-IntPriorityDiscount-IntPriorityIncentive)*'Intl Priority'!C85)*(1+International_Fuel_Surcharge),2))</f>
        <v>193.18</v>
      </c>
      <c r="D88" s="231">
        <f>IF('Intl Priority'!$D$105&gt;ROUND(((1-IntPriorityDiscount-IntPriorityIncentive)*'Intl Priority'!D85),2),ROUND('Intl Priority'!$D$105*(1+International_Fuel_Surcharge),2),ROUND(((1-IntPriorityDiscount-IntPriorityIncentive)*'Intl Priority'!D85)*(1+International_Fuel_Surcharge),2))</f>
        <v>199.35</v>
      </c>
      <c r="E88" s="231">
        <f>IF('Intl Priority'!$E$105&gt;ROUND(((1-IntPriorityDiscount-IntPriorityIncentive)*'Intl Priority'!E85),2),ROUND('Intl Priority'!$E$105*(1+International_Fuel_Surcharge),2),ROUND(((1-IntPriorityDiscount-IntPriorityIncentive)*'Intl Priority'!E85)*(1+International_Fuel_Surcharge),2))</f>
        <v>316.31</v>
      </c>
      <c r="F88" s="231">
        <f>IF('Intl Priority'!$F$105&gt;ROUND(((1-IntPriorityDiscount-IntPriorityIncentive)*'Intl Priority'!F85),2),ROUND('Intl Priority'!$F$105*(1+International_Fuel_Surcharge),2),ROUND(((1-IntPriorityDiscount-IntPriorityIncentive)*'Intl Priority'!F85)*(1+International_Fuel_Surcharge),2))</f>
        <v>524.20000000000005</v>
      </c>
      <c r="G88" s="231">
        <f>IF('Intl Priority'!$G$105&gt;ROUND(((1-IntPriorityDiscount-IntPriorityIncentive)*'Intl Priority'!G85),2),ROUND('Intl Priority'!$G$105*(1+International_Fuel_Surcharge),2),ROUND(((1-IntPriorityDiscount-IntPriorityIncentive)*'Intl Priority'!G85)*(1+International_Fuel_Surcharge),2))</f>
        <v>304.74</v>
      </c>
      <c r="H88" s="231">
        <f>IF('Intl Priority'!$H$105&gt;ROUND(((1-IntPriorityDiscount-IntPriorityIncentive)*'Intl Priority'!H85),2),ROUND('Intl Priority'!$H$105*(1+International_Fuel_Surcharge),2),ROUND(((1-IntPriorityDiscount-IntPriorityIncentive)*'Intl Priority'!H85)*(1+International_Fuel_Surcharge),2))</f>
        <v>312.58999999999997</v>
      </c>
      <c r="I88" s="231">
        <f>IF('Intl Priority'!$I$105&gt;ROUND(((1-IntPriorityDiscount-IntPriorityIncentive)*'Intl Priority'!I85),2),ROUND('Intl Priority'!$I$105*(1+International_Fuel_Surcharge),2),ROUND(((1-IntPriorityDiscount-IntPriorityIncentive)*'Intl Priority'!I85)*(1+International_Fuel_Surcharge),2))</f>
        <v>349.35</v>
      </c>
      <c r="J88" s="231">
        <f>IF('Intl Priority'!$J$105&gt;ROUND(((1-IntPriorityDiscount-IntPriorityIncentive)*'Intl Priority'!J85),2),ROUND('Intl Priority'!$J$105*(1+International_Fuel_Surcharge),2),ROUND(((1-IntPriorityDiscount-IntPriorityIncentive)*'Intl Priority'!J85)*(1+International_Fuel_Surcharge),2))</f>
        <v>253.29</v>
      </c>
      <c r="K88" s="231">
        <f>IF('Intl Priority'!$K$105&gt;ROUND(((1-IntPriorityDiscount-IntPriorityIncentive)*'Intl Priority'!K85),2),ROUND('Intl Priority'!$K$105*(1+International_Fuel_Surcharge),2),ROUND(((1-IntPriorityDiscount-IntPriorityIncentive)*'Intl Priority'!K85)*(1+International_Fuel_Surcharge),2))</f>
        <v>476.13</v>
      </c>
      <c r="L88" s="231">
        <f>IF('Intl Priority'!$L$105&gt;ROUND(((1-IntPriorityDiscount-IntPriorityIncentive)*'Intl Priority'!L85),2),ROUND('Intl Priority'!$L$105*(1+International_Fuel_Surcharge),2),ROUND(((1-IntPriorityDiscount-IntPriorityIncentive)*'Intl Priority'!L85)*(1+International_Fuel_Surcharge),2))</f>
        <v>382.11</v>
      </c>
      <c r="M88" s="231">
        <f>IF('Intl Priority'!$M$105&gt;ROUND(((1-IntPriorityDiscount-IntPriorityIncentive)*'Intl Priority'!M85),2),ROUND('Intl Priority'!$M$105*(1+International_Fuel_Surcharge),2),ROUND(((1-IntPriorityDiscount-IntPriorityIncentive)*'Intl Priority'!M85)*(1+International_Fuel_Surcharge),2))</f>
        <v>550.91999999999996</v>
      </c>
      <c r="N88" s="231">
        <f>IF('Intl Priority'!$N$105&gt;ROUND(((1-IntPriorityDiscount-IntPriorityIncentive)*'Intl Priority'!N85),2),ROUND('Intl Priority'!$N$105*(1+International_Fuel_Surcharge),2),ROUND(((1-IntPriorityDiscount-IntPriorityIncentive)*'Intl Priority'!N85)*(1+International_Fuel_Surcharge),2))</f>
        <v>506.64</v>
      </c>
      <c r="O88" s="231">
        <f>IF('Intl Priority'!$O$105&gt;ROUND(((1-IntPriorityDiscount-IntPriorityIncentive)*'Intl Priority'!O85),2),ROUND('Intl Priority'!$O$105*(1+International_Fuel_Surcharge),2),ROUND(((1-IntPriorityDiscount-IntPriorityIncentive)*'Intl Priority'!O85)*(1+International_Fuel_Surcharge),2))</f>
        <v>412.74</v>
      </c>
      <c r="P88" s="231">
        <f>IF('Intl Priority'!$P$105&gt;ROUND(((1-IntPriorityDiscount-IntPriorityIncentive)*'Intl Priority'!P85),2),ROUND('Intl Priority'!$P$105*(1+International_Fuel_Surcharge),2),ROUND(((1-IntPriorityDiscount-IntPriorityIncentive)*'Intl Priority'!P85)*(1+International_Fuel_Surcharge),2))</f>
        <v>410.44</v>
      </c>
      <c r="Q88" s="231">
        <f>IF('Intl Priority'!$Q$105&gt;ROUND(((1-PuertoRicoDiscount)*'Intl Priority'!Q85),2),ROUND('Intl Priority'!$Q$105*(1+International_Fuel_Surcharge),2),ROUND(((1-PuertoRicoDiscount)*'Intl Priority'!Q85)*(1+International_Fuel_Surcharge),2))</f>
        <v>579.87</v>
      </c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2.75" customHeight="1">
      <c r="A89" s="217">
        <v>145</v>
      </c>
      <c r="B89" s="231">
        <f>IF('Intl Priority'!$B$105&gt;ROUND(((1-IntPriorityDiscount-IntPriorityIncentive)*'Intl Priority'!B86),2),ROUND('Intl Priority'!$B$105*(1+International_Fuel_Surcharge),2),ROUND(((1-IntPriorityDiscount-IntPriorityIncentive)*'Intl Priority'!B86)*(1+International_Fuel_Surcharge),2))</f>
        <v>175.34</v>
      </c>
      <c r="C89" s="231">
        <f>IF('Intl Priority'!$C$105&gt;ROUND(((1-IntPriorityDiscount-IntPriorityIncentive)*'Intl Priority'!C86),2),ROUND('Intl Priority'!$C$105*(1+International_Fuel_Surcharge),2),ROUND(((1-IntPriorityDiscount-IntPriorityIncentive)*'Intl Priority'!C86)*(1+International_Fuel_Surcharge),2))</f>
        <v>194.34</v>
      </c>
      <c r="D89" s="231">
        <f>IF('Intl Priority'!$D$105&gt;ROUND(((1-IntPriorityDiscount-IntPriorityIncentive)*'Intl Priority'!D86),2),ROUND('Intl Priority'!$D$105*(1+International_Fuel_Surcharge),2),ROUND(((1-IntPriorityDiscount-IntPriorityIncentive)*'Intl Priority'!D86)*(1+International_Fuel_Surcharge),2))</f>
        <v>201.2</v>
      </c>
      <c r="E89" s="231">
        <f>IF('Intl Priority'!$E$105&gt;ROUND(((1-IntPriorityDiscount-IntPriorityIncentive)*'Intl Priority'!E86),2),ROUND('Intl Priority'!$E$105*(1+International_Fuel_Surcharge),2),ROUND(((1-IntPriorityDiscount-IntPriorityIncentive)*'Intl Priority'!E86)*(1+International_Fuel_Surcharge),2))</f>
        <v>316.39999999999998</v>
      </c>
      <c r="F89" s="231">
        <f>IF('Intl Priority'!$F$105&gt;ROUND(((1-IntPriorityDiscount-IntPriorityIncentive)*'Intl Priority'!F86),2),ROUND('Intl Priority'!$F$105*(1+International_Fuel_Surcharge),2),ROUND(((1-IntPriorityDiscount-IntPriorityIncentive)*'Intl Priority'!F86)*(1+International_Fuel_Surcharge),2))</f>
        <v>525.42999999999995</v>
      </c>
      <c r="G89" s="231">
        <f>IF('Intl Priority'!$G$105&gt;ROUND(((1-IntPriorityDiscount-IntPriorityIncentive)*'Intl Priority'!G86),2),ROUND('Intl Priority'!$G$105*(1+International_Fuel_Surcharge),2),ROUND(((1-IntPriorityDiscount-IntPriorityIncentive)*'Intl Priority'!G86)*(1+International_Fuel_Surcharge),2))</f>
        <v>305.27</v>
      </c>
      <c r="H89" s="231">
        <f>IF('Intl Priority'!$H$105&gt;ROUND(((1-IntPriorityDiscount-IntPriorityIncentive)*'Intl Priority'!H86),2),ROUND('Intl Priority'!$H$105*(1+International_Fuel_Surcharge),2),ROUND(((1-IntPriorityDiscount-IntPriorityIncentive)*'Intl Priority'!H86)*(1+International_Fuel_Surcharge),2))</f>
        <v>315.75</v>
      </c>
      <c r="I89" s="231">
        <f>IF('Intl Priority'!$I$105&gt;ROUND(((1-IntPriorityDiscount-IntPriorityIncentive)*'Intl Priority'!I86),2),ROUND('Intl Priority'!$I$105*(1+International_Fuel_Surcharge),2),ROUND(((1-IntPriorityDiscount-IntPriorityIncentive)*'Intl Priority'!I86)*(1+International_Fuel_Surcharge),2))</f>
        <v>349.42</v>
      </c>
      <c r="J89" s="231">
        <f>IF('Intl Priority'!$J$105&gt;ROUND(((1-IntPriorityDiscount-IntPriorityIncentive)*'Intl Priority'!J86),2),ROUND('Intl Priority'!$J$105*(1+International_Fuel_Surcharge),2),ROUND(((1-IntPriorityDiscount-IntPriorityIncentive)*'Intl Priority'!J86)*(1+International_Fuel_Surcharge),2))</f>
        <v>270.42</v>
      </c>
      <c r="K89" s="231">
        <f>IF('Intl Priority'!$K$105&gt;ROUND(((1-IntPriorityDiscount-IntPriorityIncentive)*'Intl Priority'!K86),2),ROUND('Intl Priority'!$K$105*(1+International_Fuel_Surcharge),2),ROUND(((1-IntPriorityDiscount-IntPriorityIncentive)*'Intl Priority'!K86)*(1+International_Fuel_Surcharge),2))</f>
        <v>503.79</v>
      </c>
      <c r="L89" s="231">
        <f>IF('Intl Priority'!$L$105&gt;ROUND(((1-IntPriorityDiscount-IntPriorityIncentive)*'Intl Priority'!L86),2),ROUND('Intl Priority'!$L$105*(1+International_Fuel_Surcharge),2),ROUND(((1-IntPriorityDiscount-IntPriorityIncentive)*'Intl Priority'!L86)*(1+International_Fuel_Surcharge),2))</f>
        <v>382.21</v>
      </c>
      <c r="M89" s="231">
        <f>IF('Intl Priority'!$M$105&gt;ROUND(((1-IntPriorityDiscount-IntPriorityIncentive)*'Intl Priority'!M86),2),ROUND('Intl Priority'!$M$105*(1+International_Fuel_Surcharge),2),ROUND(((1-IntPriorityDiscount-IntPriorityIncentive)*'Intl Priority'!M86)*(1+International_Fuel_Surcharge),2))</f>
        <v>550.99</v>
      </c>
      <c r="N89" s="231">
        <f>IF('Intl Priority'!$N$105&gt;ROUND(((1-IntPriorityDiscount-IntPriorityIncentive)*'Intl Priority'!N86),2),ROUND('Intl Priority'!$N$105*(1+International_Fuel_Surcharge),2),ROUND(((1-IntPriorityDiscount-IntPriorityIncentive)*'Intl Priority'!N86)*(1+International_Fuel_Surcharge),2))</f>
        <v>508.28</v>
      </c>
      <c r="O89" s="231">
        <f>IF('Intl Priority'!$O$105&gt;ROUND(((1-IntPriorityDiscount-IntPriorityIncentive)*'Intl Priority'!O86),2),ROUND('Intl Priority'!$O$105*(1+International_Fuel_Surcharge),2),ROUND(((1-IntPriorityDiscount-IntPriorityIncentive)*'Intl Priority'!O86)*(1+International_Fuel_Surcharge),2))</f>
        <v>413.33</v>
      </c>
      <c r="P89" s="231">
        <f>IF('Intl Priority'!$P$105&gt;ROUND(((1-IntPriorityDiscount-IntPriorityIncentive)*'Intl Priority'!P86),2),ROUND('Intl Priority'!$P$105*(1+International_Fuel_Surcharge),2),ROUND(((1-IntPriorityDiscount-IntPriorityIncentive)*'Intl Priority'!P86)*(1+International_Fuel_Surcharge),2))</f>
        <v>410.5</v>
      </c>
      <c r="Q89" s="231">
        <f>IF('Intl Priority'!$Q$105&gt;ROUND(((1-PuertoRicoDiscount)*'Intl Priority'!Q86),2),ROUND('Intl Priority'!$Q$105*(1+International_Fuel_Surcharge),2),ROUND(((1-PuertoRicoDiscount)*'Intl Priority'!Q86)*(1+International_Fuel_Surcharge),2))</f>
        <v>585.53</v>
      </c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2.75" customHeight="1">
      <c r="A90" s="217">
        <v>150</v>
      </c>
      <c r="B90" s="231">
        <f>IF('Intl Priority'!$B$105&gt;ROUND(((1-IntPriorityDiscount-IntPriorityIncentive)*'Intl Priority'!B87),2),ROUND('Intl Priority'!$B$105*(1+International_Fuel_Surcharge),2),ROUND(((1-IntPriorityDiscount-IntPriorityIncentive)*'Intl Priority'!B87)*(1+International_Fuel_Surcharge),2))</f>
        <v>176.35</v>
      </c>
      <c r="C90" s="231">
        <f>IF('Intl Priority'!$C$105&gt;ROUND(((1-IntPriorityDiscount-IntPriorityIncentive)*'Intl Priority'!C87),2),ROUND('Intl Priority'!$C$105*(1+International_Fuel_Surcharge),2),ROUND(((1-IntPriorityDiscount-IntPriorityIncentive)*'Intl Priority'!C87)*(1+International_Fuel_Surcharge),2))</f>
        <v>195.51</v>
      </c>
      <c r="D90" s="231">
        <f>IF('Intl Priority'!$D$105&gt;ROUND(((1-IntPriorityDiscount-IntPriorityIncentive)*'Intl Priority'!D87),2),ROUND('Intl Priority'!$D$105*(1+International_Fuel_Surcharge),2),ROUND(((1-IntPriorityDiscount-IntPriorityIncentive)*'Intl Priority'!D87)*(1+International_Fuel_Surcharge),2))</f>
        <v>201.39</v>
      </c>
      <c r="E90" s="231">
        <f>IF('Intl Priority'!$E$105&gt;ROUND(((1-IntPriorityDiscount-IntPriorityIncentive)*'Intl Priority'!E87),2),ROUND('Intl Priority'!$E$105*(1+International_Fuel_Surcharge),2),ROUND(((1-IntPriorityDiscount-IntPriorityIncentive)*'Intl Priority'!E87)*(1+International_Fuel_Surcharge),2))</f>
        <v>316.88</v>
      </c>
      <c r="F90" s="231">
        <f>IF('Intl Priority'!$F$105&gt;ROUND(((1-IntPriorityDiscount-IntPriorityIncentive)*'Intl Priority'!F87),2),ROUND('Intl Priority'!$F$105*(1+International_Fuel_Surcharge),2),ROUND(((1-IntPriorityDiscount-IntPriorityIncentive)*'Intl Priority'!F87)*(1+International_Fuel_Surcharge),2))</f>
        <v>526.91</v>
      </c>
      <c r="G90" s="231">
        <f>IF('Intl Priority'!$G$105&gt;ROUND(((1-IntPriorityDiscount-IntPriorityIncentive)*'Intl Priority'!G87),2),ROUND('Intl Priority'!$G$105*(1+International_Fuel_Surcharge),2),ROUND(((1-IntPriorityDiscount-IntPriorityIncentive)*'Intl Priority'!G87)*(1+International_Fuel_Surcharge),2))</f>
        <v>315.76</v>
      </c>
      <c r="H90" s="231">
        <f>IF('Intl Priority'!$H$105&gt;ROUND(((1-IntPriorityDiscount-IntPriorityIncentive)*'Intl Priority'!H87),2),ROUND('Intl Priority'!$H$105*(1+International_Fuel_Surcharge),2),ROUND(((1-IntPriorityDiscount-IntPriorityIncentive)*'Intl Priority'!H87)*(1+International_Fuel_Surcharge),2))</f>
        <v>316.07</v>
      </c>
      <c r="I90" s="231">
        <f>IF('Intl Priority'!$I$105&gt;ROUND(((1-IntPriorityDiscount-IntPriorityIncentive)*'Intl Priority'!I87),2),ROUND('Intl Priority'!$I$105*(1+International_Fuel_Surcharge),2),ROUND(((1-IntPriorityDiscount-IntPriorityIncentive)*'Intl Priority'!I87)*(1+International_Fuel_Surcharge),2))</f>
        <v>349.48</v>
      </c>
      <c r="J90" s="231">
        <f>IF('Intl Priority'!$J$105&gt;ROUND(((1-IntPriorityDiscount-IntPriorityIncentive)*'Intl Priority'!J87),2),ROUND('Intl Priority'!$J$105*(1+International_Fuel_Surcharge),2),ROUND(((1-IntPriorityDiscount-IntPriorityIncentive)*'Intl Priority'!J87)*(1+International_Fuel_Surcharge),2))</f>
        <v>272.13</v>
      </c>
      <c r="K90" s="231">
        <f>IF('Intl Priority'!$K$105&gt;ROUND(((1-IntPriorityDiscount-IntPriorityIncentive)*'Intl Priority'!K87),2),ROUND('Intl Priority'!$K$105*(1+International_Fuel_Surcharge),2),ROUND(((1-IntPriorityDiscount-IntPriorityIncentive)*'Intl Priority'!K87)*(1+International_Fuel_Surcharge),2))</f>
        <v>508.1</v>
      </c>
      <c r="L90" s="231">
        <f>IF('Intl Priority'!$L$105&gt;ROUND(((1-IntPriorityDiscount-IntPriorityIncentive)*'Intl Priority'!L87),2),ROUND('Intl Priority'!$L$105*(1+International_Fuel_Surcharge),2),ROUND(((1-IntPriorityDiscount-IntPriorityIncentive)*'Intl Priority'!L87)*(1+International_Fuel_Surcharge),2))</f>
        <v>384.04</v>
      </c>
      <c r="M90" s="231">
        <f>IF('Intl Priority'!$M$105&gt;ROUND(((1-IntPriorityDiscount-IntPriorityIncentive)*'Intl Priority'!M87),2),ROUND('Intl Priority'!$M$105*(1+International_Fuel_Surcharge),2),ROUND(((1-IntPriorityDiscount-IntPriorityIncentive)*'Intl Priority'!M87)*(1+International_Fuel_Surcharge),2))</f>
        <v>551.04999999999995</v>
      </c>
      <c r="N90" s="231">
        <f>IF('Intl Priority'!$N$105&gt;ROUND(((1-IntPriorityDiscount-IntPriorityIncentive)*'Intl Priority'!N87),2),ROUND('Intl Priority'!$N$105*(1+International_Fuel_Surcharge),2),ROUND(((1-IntPriorityDiscount-IntPriorityIncentive)*'Intl Priority'!N87)*(1+International_Fuel_Surcharge),2))</f>
        <v>533.66</v>
      </c>
      <c r="O90" s="231">
        <f>IF('Intl Priority'!$O$105&gt;ROUND(((1-IntPriorityDiscount-IntPriorityIncentive)*'Intl Priority'!O87),2),ROUND('Intl Priority'!$O$105*(1+International_Fuel_Surcharge),2),ROUND(((1-IntPriorityDiscount-IntPriorityIncentive)*'Intl Priority'!O87)*(1+International_Fuel_Surcharge),2))</f>
        <v>413.39</v>
      </c>
      <c r="P90" s="231">
        <f>IF('Intl Priority'!$P$105&gt;ROUND(((1-IntPriorityDiscount-IntPriorityIncentive)*'Intl Priority'!P87),2),ROUND('Intl Priority'!$P$105*(1+International_Fuel_Surcharge),2),ROUND(((1-IntPriorityDiscount-IntPriorityIncentive)*'Intl Priority'!P87)*(1+International_Fuel_Surcharge),2))</f>
        <v>411.11</v>
      </c>
      <c r="Q90" s="231">
        <f>IF('Intl Priority'!$Q$105&gt;ROUND(((1-PuertoRicoDiscount)*'Intl Priority'!Q87),2),ROUND('Intl Priority'!$Q$105*(1+International_Fuel_Surcharge),2),ROUND(((1-PuertoRicoDiscount)*'Intl Priority'!Q87)*(1+International_Fuel_Surcharge),2))</f>
        <v>585.71</v>
      </c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2.75" customHeight="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2.75" customHeight="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2.75" customHeight="1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2.75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2.75" customHeight="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2.7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2.75" customHeight="1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2.7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2.75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2.7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2.75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2.75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2.75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2.7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2.75" customHeight="1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2.7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2.7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2.7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2.7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2.7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2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2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2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2.7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2.7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2.7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2.7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2.7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2.7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2.7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2.7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2.7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2.7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2.7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2.7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2.7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2.7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2.7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2.7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2.7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2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2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2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2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2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2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2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2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2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2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2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2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2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2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2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2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2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2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2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2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2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2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2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2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2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2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2.7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2.7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2.7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2.7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2.7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2.7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2.7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2.7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2.7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2.7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2.7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2.7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2.7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2.7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2.7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2.7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2.7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2.7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2.7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2.7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2.7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2.7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2.7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2.7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2.7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2.7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2.7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2.7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2.7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2.7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2.7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2.7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2.7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2.7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2.7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2.7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2.7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2.7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2.7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2.7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2.7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2.7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2.7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2.7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2.7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2.7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2.7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2.7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2.7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2.7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2.7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2.7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2.7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2.7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2.7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2.7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2.7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2.7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2.7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2.7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2.7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2.7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2.7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2.7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2.7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2.7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2.7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2.7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2.7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2.7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2.7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2.7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2.7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2.7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2.7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2.7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2.7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2.7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2.7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2.7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2.7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2.7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2.7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2.7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2.7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2.7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2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2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2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2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2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2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2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2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2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2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2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2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2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2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2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2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2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2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2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2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2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2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2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2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2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2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2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2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2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2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2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2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2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2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2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2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2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2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2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2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2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2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2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2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2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2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2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2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2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2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2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2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2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2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2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2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2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2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2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2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2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2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2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2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2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2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2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2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2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2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2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2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2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2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2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2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2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2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2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2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2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2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2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2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2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2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2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2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2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2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2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2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2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2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2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2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2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2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2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2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2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2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2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2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2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2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2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2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2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2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2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2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2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2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2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2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2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2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2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2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2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2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2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2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2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2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2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2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2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2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2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2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2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2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2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2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2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2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2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2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2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2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2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2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2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2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2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2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2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2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2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2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2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2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2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2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2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2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2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2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2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2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2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2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2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2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2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2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2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2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2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2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2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2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2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2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2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2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2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2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2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2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2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2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2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2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2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2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2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2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2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2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2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2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2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2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2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2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2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2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2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2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2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2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2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2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2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2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2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2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2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2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2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2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2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2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2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2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2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2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2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2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2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2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2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2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2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2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2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2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2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2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2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2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2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2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2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2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2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2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2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2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2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2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2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2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2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2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2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2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2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2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2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2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2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2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2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2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2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2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2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2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2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2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2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2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2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2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2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2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2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2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2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2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2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2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2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2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2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2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2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2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2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2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2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2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2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2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2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2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2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2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2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2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2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2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2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2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2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2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2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2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2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2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2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2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2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2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2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2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2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2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2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2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2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2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2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2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2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2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2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2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2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2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2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2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2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2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2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2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2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2.7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2.7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2.7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2.7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2.7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2.7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2.7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2.7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2.7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2.7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2.7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2.7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2.7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2.7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2.7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2.7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2.7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2.7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2.7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2.7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2.7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2.7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2.7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2.7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2.7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2.7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2.7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2.7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2.7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2.7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2.7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2.7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2.7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2.7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2.7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2.7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2.7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2.7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2.7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2.7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2.7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2.7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2.7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2.7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2.7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2.7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2.7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2.7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2.7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2.7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2.7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2.7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2.7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2.7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2.7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2.7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2.7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2.7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2.7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2.7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2.7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2.7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2.7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2.7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2.7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2.7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2.7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2.7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2.7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2.7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2.7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2.7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2.7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2.7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2.7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2.7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2.7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2.7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2.7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2.7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2.7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2.7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2.7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2.7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2.7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2.7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2.7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2.7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2.7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2.7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2.7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2.7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2.7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2.7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2.7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2.7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2.7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2.7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2.7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2.7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2.7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2.7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2.7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2.7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2.7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2.7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2.7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2.7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2.7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2.7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2.7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2.7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2.7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2.7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2.7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2.7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2.7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2.7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2.7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2.7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2.7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2.7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2.7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2.7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2.7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2.7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2.7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2.7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2.7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2.7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2.7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2.7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2.7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2.7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2.7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2.7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2.7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2.7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2.7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2.7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2.7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2.7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2.7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2.7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2.7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2.7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2.7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2.7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2.7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2.7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2.7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2.7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2.7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2.7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2.7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2.7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2.7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2.7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2.7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2.7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2.7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2.7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2.7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2.7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2.7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2.7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2.7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2.7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2.7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2.7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2.7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2.7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2.7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2.7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2.7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2.7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2.7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2.7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2.7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2.7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2.7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2.7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2.7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2.7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2.7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2.7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2.7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2.7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2.7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2.7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2.7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2.7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2.7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2.7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2.7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2.7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2.7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2.7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2.7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2.7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2.7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2.7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2.7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2.7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2.7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2.7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2.7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2.7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2.7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2.7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2.7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2.7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2.7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2.7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2.7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2.7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2.7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2.7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2.7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2.7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2.7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2.7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2.7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2.7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2.7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2.7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2.7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2.7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2.7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2.7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2.7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2.7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2.7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2.7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2.7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2.7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2.7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2.7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2.7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2.7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2.7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2.7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2.7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2.7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2.7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2.7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2.7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2.7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2.7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2.7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2.7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2.7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2.7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2.7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2.7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2.7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2.7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2.7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2.7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2.7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2.7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2.7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2.7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2.7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2.7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2.7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2.7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2.7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2.7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2.7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2.7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2.7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2.7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2.7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2.7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2.7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2.7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2.7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2.7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2.7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2.7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2.7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2.7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2.7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2.7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2.7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2.7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2.7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2.7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2.7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2.7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2.7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2.7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2.7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2.7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2.7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2.7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2.7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2.7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2.7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2.7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2.7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2.7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2.7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2.7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2.7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2.7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2.7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2.7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2.7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2.7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2.7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2.7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2.7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2.7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2.7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2.7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2.7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2.7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2.7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2.7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2.7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2.7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2.7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2.7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2.7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2.7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2.7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2.7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2.7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2.7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2.7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2.7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2.7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2.7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2.7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2.7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2.7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2.7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2.7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2.7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2.75" customHeight="1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2.75" customHeight="1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2.75" customHeight="1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2.75" customHeight="1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2.75" customHeight="1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2.75" customHeight="1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2.75" customHeight="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2.75" customHeight="1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2.75" customHeight="1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2.75" customHeight="1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2.75" customHeight="1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2.75" customHeight="1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2.75" customHeight="1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2.75" customHeight="1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2.75" customHeight="1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2.75" customHeight="1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2.75" customHeight="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2.75" customHeight="1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2.75" customHeight="1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2.75" customHeight="1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2.75" customHeight="1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2.75" customHeight="1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2.75" customHeight="1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2.75" customHeight="1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2.75" customHeight="1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2.75" customHeight="1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2.75" customHeight="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2.75" customHeight="1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2.75" customHeight="1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2.75" customHeight="1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2.75" customHeight="1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2.75" customHeight="1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2.75" customHeight="1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2.75" customHeight="1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2.75" customHeight="1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2.75" customHeight="1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2.75" customHeight="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2.75" customHeight="1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2.75" customHeight="1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2.75" customHeight="1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2.75" customHeight="1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2.75" customHeight="1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2.75" customHeight="1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2.75" customHeight="1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2.75" customHeight="1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2.75" customHeight="1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 spans="1:26" ht="12.75" customHeight="1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 spans="1:26" ht="12.75" customHeight="1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 spans="1:26" ht="12.75" customHeight="1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 spans="1:26" ht="12.75" customHeight="1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 spans="1:26" ht="12.75" customHeight="1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 spans="1:26" ht="12.75" customHeight="1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 spans="1:26" ht="12.75" customHeight="1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 spans="1:26" ht="12.75" customHeight="1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 spans="1:26" ht="12.75" customHeight="1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 spans="1:26" ht="12.75" customHeight="1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 spans="1:26" ht="12.75" customHeight="1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 spans="1:26" ht="12.75" customHeight="1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 spans="1:26" ht="12.75" customHeight="1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 spans="1:26" ht="12.75" customHeight="1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 spans="1:26" ht="12.75" customHeight="1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 spans="1:26" ht="12.75" customHeight="1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 spans="1:26" ht="12.75" customHeight="1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 spans="1:26" ht="12.75" customHeight="1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 spans="1:26" ht="12.75" customHeight="1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 spans="1:26" ht="12.75" customHeight="1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 spans="1:26" ht="12.75" customHeight="1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 spans="1:26" ht="12.75" customHeight="1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 spans="1:26" ht="12.75" customHeight="1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 spans="1:26" ht="12.75" customHeight="1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 spans="1:26" ht="12.75" customHeight="1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 spans="1:26" ht="12.75" customHeight="1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 spans="1:26" ht="12.75" customHeight="1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 spans="1:26" ht="12.75" customHeight="1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</row>
    <row r="989" spans="1:26" ht="12.75" customHeight="1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</row>
    <row r="990" spans="1:26" ht="12.75" customHeight="1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</row>
    <row r="991" spans="1:26" ht="12.75" customHeight="1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</row>
    <row r="992" spans="1:26" ht="12.75" customHeight="1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</row>
    <row r="993" spans="1:26" ht="12.75" customHeight="1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</row>
    <row r="994" spans="1:26" ht="12.75" customHeight="1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</row>
    <row r="995" spans="1:26" ht="12.75" customHeight="1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</row>
    <row r="996" spans="1:26" ht="12.75" customHeight="1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</row>
    <row r="997" spans="1:26" ht="12.75" customHeight="1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</row>
    <row r="998" spans="1:26" ht="12.75" customHeight="1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</row>
    <row r="999" spans="1:26" ht="12.75" customHeight="1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</row>
    <row r="1000" spans="1:26" ht="12.75" customHeight="1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</row>
  </sheetData>
  <conditionalFormatting sqref="A6:Q90">
    <cfRule type="expression" dxfId="4" priority="1">
      <formula>MOD(ROW(),2)=0</formula>
    </cfRule>
  </conditionalFormatting>
  <pageMargins left="0.75" right="0.75" top="0.51" bottom="0.56999999999999995" header="0" footer="0"/>
  <pageSetup scale="66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A5A5A5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6" width="8.5703125" customWidth="1"/>
    <col min="7" max="7" width="9.28515625" customWidth="1"/>
    <col min="8" max="8" width="10.28515625" customWidth="1"/>
    <col min="9" max="12" width="8.5703125" customWidth="1"/>
    <col min="13" max="13" width="10" customWidth="1"/>
    <col min="14" max="16" width="8.5703125" customWidth="1"/>
    <col min="17" max="17" width="8.42578125" customWidth="1"/>
    <col min="18" max="26" width="9.42578125" customWidth="1"/>
  </cols>
  <sheetData>
    <row r="1" spans="1:26" ht="12.75" customHeight="1">
      <c r="A1" s="60"/>
      <c r="B1" s="220" t="s">
        <v>83</v>
      </c>
      <c r="C1" s="209"/>
      <c r="D1" s="209"/>
      <c r="E1" s="221">
        <f>ExpressIntResFeeWithFS</f>
        <v>4.83</v>
      </c>
      <c r="F1" s="60"/>
      <c r="G1" s="212" t="s">
        <v>84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2.75" customHeight="1">
      <c r="A2" s="60"/>
      <c r="B2" s="213" t="s">
        <v>85</v>
      </c>
      <c r="C2" s="60"/>
      <c r="D2" s="60"/>
      <c r="E2" s="60"/>
      <c r="F2" s="60"/>
      <c r="G2" s="212" t="s">
        <v>123</v>
      </c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2.75" customHeight="1">
      <c r="A3" s="60"/>
      <c r="B3" s="213" t="s">
        <v>160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33.75" customHeight="1">
      <c r="A4" s="222"/>
      <c r="B4" s="223" t="s">
        <v>16</v>
      </c>
      <c r="C4" s="223" t="s">
        <v>16</v>
      </c>
      <c r="D4" s="223" t="s">
        <v>19</v>
      </c>
      <c r="E4" s="223" t="s">
        <v>20</v>
      </c>
      <c r="F4" s="223" t="s">
        <v>21</v>
      </c>
      <c r="G4" s="223" t="s">
        <v>22</v>
      </c>
      <c r="H4" s="223" t="s">
        <v>23</v>
      </c>
      <c r="I4" s="223" t="s">
        <v>24</v>
      </c>
      <c r="J4" s="223" t="s">
        <v>25</v>
      </c>
      <c r="K4" s="223" t="s">
        <v>26</v>
      </c>
      <c r="L4" s="223" t="s">
        <v>27</v>
      </c>
      <c r="M4" s="223" t="s">
        <v>28</v>
      </c>
      <c r="N4" s="223" t="s">
        <v>29</v>
      </c>
      <c r="O4" s="223" t="s">
        <v>30</v>
      </c>
      <c r="P4" s="223" t="s">
        <v>31</v>
      </c>
      <c r="Q4" s="223" t="s">
        <v>81</v>
      </c>
      <c r="R4" s="60"/>
      <c r="S4" s="60"/>
      <c r="T4" s="60"/>
      <c r="U4" s="60"/>
      <c r="V4" s="60"/>
      <c r="W4" s="60"/>
      <c r="X4" s="60"/>
      <c r="Y4" s="60"/>
      <c r="Z4" s="60"/>
    </row>
    <row r="5" spans="1:26" ht="12.75" customHeight="1">
      <c r="A5" s="215" t="s">
        <v>5</v>
      </c>
      <c r="B5" s="214" t="s">
        <v>32</v>
      </c>
      <c r="C5" s="214" t="s">
        <v>33</v>
      </c>
      <c r="D5" s="214" t="s">
        <v>34</v>
      </c>
      <c r="E5" s="214" t="s">
        <v>35</v>
      </c>
      <c r="F5" s="214" t="s">
        <v>36</v>
      </c>
      <c r="G5" s="214" t="s">
        <v>37</v>
      </c>
      <c r="H5" s="214" t="s">
        <v>38</v>
      </c>
      <c r="I5" s="214" t="s">
        <v>39</v>
      </c>
      <c r="J5" s="214" t="s">
        <v>40</v>
      </c>
      <c r="K5" s="214" t="s">
        <v>41</v>
      </c>
      <c r="L5" s="214" t="s">
        <v>42</v>
      </c>
      <c r="M5" s="214" t="s">
        <v>43</v>
      </c>
      <c r="N5" s="214" t="s">
        <v>44</v>
      </c>
      <c r="O5" s="214" t="s">
        <v>45</v>
      </c>
      <c r="P5" s="214" t="s">
        <v>46</v>
      </c>
      <c r="Q5" s="214" t="s">
        <v>12</v>
      </c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306" t="s">
        <v>96</v>
      </c>
      <c r="B6" s="307">
        <f>ROUND((IF('Intl Economy Base'!$B$105&gt;ROUND(((1-IntEconomyDiscount-IntEoncomyIncentive)*'Intl Economy Base'!B3),2),ROUND('Intl Economy Base'!$B$105*(1+International_Fuel_Surcharge),2),ROUND(((1-IntEconomyDiscount-IntEoncomyIncentive)*'Intl Economy Base'!B3)*(1+International_Fuel_Surcharge),2)))*(1+FedEx_Markup),2)</f>
        <v>42.86</v>
      </c>
      <c r="C6" s="307">
        <f>ROUND((IF('Intl Economy Base'!$C$105&gt;ROUND(((1-IntEconomyDiscount-IntEoncomyIncentive)*'Intl Economy Base'!C3),2),ROUND('Intl Economy Base'!$C$105*(1+International_Fuel_Surcharge),2),ROUND(((1-IntEconomyDiscount-IntEoncomyIncentive)*'Intl Economy Base'!C3)*(1+International_Fuel_Surcharge),2)))*(1+FedEx_Markup),2)</f>
        <v>46.07</v>
      </c>
      <c r="D6" s="307">
        <f>ROUND((IF('Intl Economy Base'!$D$105&gt;ROUND(((1-IntEconomyDiscount-IntEoncomyIncentive)*'Intl Economy Base'!D3),2),ROUND('Intl Economy Base'!$D$105*(1+International_Fuel_Surcharge),2),ROUND(((1-IntEconomyDiscount-IntEoncomyIncentive)*'Intl Economy Base'!D3)*(1+International_Fuel_Surcharge),2)))*(1+FedEx_Markup),2)</f>
        <v>40.57</v>
      </c>
      <c r="E6" s="307">
        <f>ROUND((IF('Intl Economy Base'!$E$105&gt;ROUND(((1-IntEconomyDiscount-IntEoncomyIncentive)*'Intl Economy Base'!E3),2),ROUND('Intl Economy Base'!$E$105*(1+International_Fuel_Surcharge),2),ROUND(((1-IntEconomyDiscount-IntEoncomyIncentive)*'Intl Economy Base'!E3)*(1+International_Fuel_Surcharge),2)))*(1+FedEx_Markup),2)</f>
        <v>52.3</v>
      </c>
      <c r="F6" s="307">
        <f>ROUND((IF('Intl Economy Base'!$F$105&gt;ROUND(((1-IntEconomyDiscount-IntEoncomyIncentive)*'Intl Economy Base'!F3),2),ROUND('Intl Economy Base'!$F$105*(1+International_Fuel_Surcharge),2),ROUND(((1-IntEconomyDiscount-IntEoncomyIncentive)*'Intl Economy Base'!F3)*(1+International_Fuel_Surcharge),2)))*(1+FedEx_Markup),2)</f>
        <v>52.33</v>
      </c>
      <c r="G6" s="307">
        <f>ROUND((IF('Intl Economy Base'!$G$105&gt;ROUND(((1-IntEconomyDiscount-IntEoncomyIncentive)*'Intl Economy Base'!G3),2),ROUND('Intl Economy Base'!$G$105*(1+International_Fuel_Surcharge),2),ROUND(((1-IntEconomyDiscount-IntEoncomyIncentive)*'Intl Economy Base'!G3)*(1+International_Fuel_Surcharge),2)))*(1+FedEx_Markup),2)</f>
        <v>51.96</v>
      </c>
      <c r="H6" s="307">
        <f>ROUND((IF('Intl Economy Base'!$H$105&gt;ROUND(((1-IntEconomyDiscount-IntEoncomyIncentive)*'Intl Economy Base'!H3),2),ROUND('Intl Economy Base'!$H$105*(1+International_Fuel_Surcharge),2),ROUND(((1-IntEconomyDiscount-IntEoncomyIncentive)*'Intl Economy Base'!H3)*(1+International_Fuel_Surcharge),2)))*(1+FedEx_Markup),2)</f>
        <v>48.51</v>
      </c>
      <c r="I6" s="307">
        <f>ROUND((IF('Intl Economy Base'!$I$105&gt;ROUND(((1-IntEconomyDiscount-IntEoncomyIncentive)*'Intl Economy Base'!I3),2),ROUND('Intl Economy Base'!$I$105*(1+International_Fuel_Surcharge),2),ROUND(((1-IntEconomyDiscount-IntEoncomyIncentive)*'Intl Economy Base'!I3)*(1+International_Fuel_Surcharge),2)))*(1+FedEx_Markup),2)</f>
        <v>49</v>
      </c>
      <c r="J6" s="307">
        <f>ROUND((IF('Intl Economy Base'!$J$105&gt;ROUND(((1-IntEconomyDiscount-IntEoncomyIncentive)*'Intl Economy Base'!J3),2),ROUND('Intl Economy Base'!$J$105*(1+International_Fuel_Surcharge),2),ROUND(((1-IntEconomyDiscount-IntEoncomyIncentive)*'Intl Economy Base'!J3)*(1+International_Fuel_Surcharge),2)))*(1+FedEx_Markup),2)</f>
        <v>41.23</v>
      </c>
      <c r="K6" s="307">
        <f>ROUND((IF('Intl Economy Base'!$K$105&gt;ROUND(((1-IntEconomyDiscount-IntEoncomyIncentive)*'Intl Economy Base'!K3),2),ROUND('Intl Economy Base'!$K$105*(1+International_Fuel_Surcharge),2),ROUND(((1-IntEconomyDiscount-IntEoncomyIncentive)*'Intl Economy Base'!K3)*(1+International_Fuel_Surcharge),2)))*(1+FedEx_Markup),2)</f>
        <v>61.51</v>
      </c>
      <c r="L6" s="307">
        <f>ROUND((IF('Intl Economy Base'!$L$105&gt;ROUND(((1-IntEconomyDiscount-IntEoncomyIncentive)*'Intl Economy Base'!L3),2),ROUND('Intl Economy Base'!$L$105*(1+International_Fuel_Surcharge),2),ROUND(((1-IntEconomyDiscount-IntEoncomyIncentive)*'Intl Economy Base'!L3)*(1+International_Fuel_Surcharge),2)))*(1+FedEx_Markup),2)</f>
        <v>53.49</v>
      </c>
      <c r="M6" s="307">
        <f>ROUND((IF('Intl Economy Base'!$M$105&gt;ROUND(((1-IntEconomyDiscount-IntEoncomyIncentive)*'Intl Economy Base'!M3),2),ROUND('Intl Economy Base'!$M$105*(1+International_Fuel_Surcharge),2),ROUND(((1-IntEconomyDiscount-IntEoncomyIncentive)*'Intl Economy Base'!M3)*(1+International_Fuel_Surcharge),2)))*(1+FedEx_Markup),2)</f>
        <v>71</v>
      </c>
      <c r="N6" s="307">
        <f>ROUND((IF('Intl Economy Base'!$N$105&gt;ROUND(((1-IntEconomyDiscount-IntEoncomyIncentive)*'Intl Economy Base'!N3),2),ROUND('Intl Economy Base'!$N$105*(1+International_Fuel_Surcharge),2),ROUND(((1-IntEconomyDiscount-IntEoncomyIncentive)*'Intl Economy Base'!N3)*(1+International_Fuel_Surcharge),2)))*(1+FedEx_Markup),2)</f>
        <v>50.15</v>
      </c>
      <c r="O6" s="307">
        <f>ROUND((IF('Intl Economy Base'!$O$105&gt;ROUND(((1-IntEconomyDiscount-IntEoncomyIncentive)*'Intl Economy Base'!O3),2),ROUND('Intl Economy Base'!$O$105*(1+International_Fuel_Surcharge),2),ROUND(((1-IntEconomyDiscount-IntEoncomyIncentive)*'Intl Economy Base'!O3)*(1+International_Fuel_Surcharge),2)))*(1+FedEx_Markup),2)</f>
        <v>55.68</v>
      </c>
      <c r="P6" s="307">
        <f>ROUND((IF('Intl Economy Base'!$P$105&gt;ROUND(((1-IntEconomyDiscount-IntEoncomyIncentive)*'Intl Economy Base'!P3),2),ROUND('Intl Economy Base'!$P$105*(1+International_Fuel_Surcharge),2),ROUND(((1-IntEconomyDiscount-IntEoncomyIncentive)*'Intl Economy Base'!P3)*(1+International_Fuel_Surcharge),2)))*(1+FedEx_Markup),2)</f>
        <v>54.3</v>
      </c>
      <c r="Q6" s="307">
        <f>ROUND((IF('Intl Economy Base'!$Q$105&gt;ROUND(((1-PuertoRicoDiscount)*'Intl Economy Base'!Q3),2),ROUND('Intl Economy Base'!$Q$105*(1+International_Fuel_Surcharge),2),ROUND(((1-PuertoRicoDiscount)*'Intl Economy Base'!Q3)*(1+International_Fuel_Surcharge),2)))*(1+FedEx_Markup),2)</f>
        <v>49.91</v>
      </c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306">
        <v>2</v>
      </c>
      <c r="B7" s="307">
        <f>ROUND((IF('Intl Economy Base'!$B$105&gt;ROUND(((1-IntEconomyDiscount-IntEoncomyIncentive)*'Intl Economy Base'!B4),2),ROUND('Intl Economy Base'!$B$105*(1+International_Fuel_Surcharge),2),ROUND(((1-IntEconomyDiscount-IntEoncomyIncentive)*'Intl Economy Base'!B4)*(1+International_Fuel_Surcharge),2)))*(1+FedEx_Markup),2)</f>
        <v>42.86</v>
      </c>
      <c r="C7" s="307">
        <f>ROUND((IF('Intl Economy Base'!$C$105&gt;ROUND(((1-IntEconomyDiscount-IntEoncomyIncentive)*'Intl Economy Base'!C4),2),ROUND('Intl Economy Base'!$C$105*(1+International_Fuel_Surcharge),2),ROUND(((1-IntEconomyDiscount-IntEoncomyIncentive)*'Intl Economy Base'!C4)*(1+International_Fuel_Surcharge),2)))*(1+FedEx_Markup),2)</f>
        <v>46.07</v>
      </c>
      <c r="D7" s="307">
        <f>ROUND((IF('Intl Economy Base'!$D$105&gt;ROUND(((1-IntEconomyDiscount-IntEoncomyIncentive)*'Intl Economy Base'!D4),2),ROUND('Intl Economy Base'!$D$105*(1+International_Fuel_Surcharge),2),ROUND(((1-IntEconomyDiscount-IntEoncomyIncentive)*'Intl Economy Base'!D4)*(1+International_Fuel_Surcharge),2)))*(1+FedEx_Markup),2)</f>
        <v>40.57</v>
      </c>
      <c r="E7" s="307">
        <f>ROUND((IF('Intl Economy Base'!$E$105&gt;ROUND(((1-IntEconomyDiscount-IntEoncomyIncentive)*'Intl Economy Base'!E4),2),ROUND('Intl Economy Base'!$E$105*(1+International_Fuel_Surcharge),2),ROUND(((1-IntEconomyDiscount-IntEoncomyIncentive)*'Intl Economy Base'!E4)*(1+International_Fuel_Surcharge),2)))*(1+FedEx_Markup),2)</f>
        <v>52.3</v>
      </c>
      <c r="F7" s="307">
        <f>ROUND((IF('Intl Economy Base'!$F$105&gt;ROUND(((1-IntEconomyDiscount-IntEoncomyIncentive)*'Intl Economy Base'!F4),2),ROUND('Intl Economy Base'!$F$105*(1+International_Fuel_Surcharge),2),ROUND(((1-IntEconomyDiscount-IntEoncomyIncentive)*'Intl Economy Base'!F4)*(1+International_Fuel_Surcharge),2)))*(1+FedEx_Markup),2)</f>
        <v>52.33</v>
      </c>
      <c r="G7" s="307">
        <f>ROUND((IF('Intl Economy Base'!$G$105&gt;ROUND(((1-IntEconomyDiscount-IntEoncomyIncentive)*'Intl Economy Base'!G4),2),ROUND('Intl Economy Base'!$G$105*(1+International_Fuel_Surcharge),2),ROUND(((1-IntEconomyDiscount-IntEoncomyIncentive)*'Intl Economy Base'!G4)*(1+International_Fuel_Surcharge),2)))*(1+FedEx_Markup),2)</f>
        <v>51.96</v>
      </c>
      <c r="H7" s="307">
        <f>ROUND((IF('Intl Economy Base'!$H$105&gt;ROUND(((1-IntEconomyDiscount-IntEoncomyIncentive)*'Intl Economy Base'!H4),2),ROUND('Intl Economy Base'!$H$105*(1+International_Fuel_Surcharge),2),ROUND(((1-IntEconomyDiscount-IntEoncomyIncentive)*'Intl Economy Base'!H4)*(1+International_Fuel_Surcharge),2)))*(1+FedEx_Markup),2)</f>
        <v>48.51</v>
      </c>
      <c r="I7" s="307">
        <f>ROUND((IF('Intl Economy Base'!$I$105&gt;ROUND(((1-IntEconomyDiscount-IntEoncomyIncentive)*'Intl Economy Base'!I4),2),ROUND('Intl Economy Base'!$I$105*(1+International_Fuel_Surcharge),2),ROUND(((1-IntEconomyDiscount-IntEoncomyIncentive)*'Intl Economy Base'!I4)*(1+International_Fuel_Surcharge),2)))*(1+FedEx_Markup),2)</f>
        <v>49</v>
      </c>
      <c r="J7" s="307">
        <f>ROUND((IF('Intl Economy Base'!$J$105&gt;ROUND(((1-IntEconomyDiscount-IntEoncomyIncentive)*'Intl Economy Base'!J4),2),ROUND('Intl Economy Base'!$J$105*(1+International_Fuel_Surcharge),2),ROUND(((1-IntEconomyDiscount-IntEoncomyIncentive)*'Intl Economy Base'!J4)*(1+International_Fuel_Surcharge),2)))*(1+FedEx_Markup),2)</f>
        <v>41.23</v>
      </c>
      <c r="K7" s="307">
        <f>ROUND((IF('Intl Economy Base'!$K$105&gt;ROUND(((1-IntEconomyDiscount-IntEoncomyIncentive)*'Intl Economy Base'!K4),2),ROUND('Intl Economy Base'!$K$105*(1+International_Fuel_Surcharge),2),ROUND(((1-IntEconomyDiscount-IntEoncomyIncentive)*'Intl Economy Base'!K4)*(1+International_Fuel_Surcharge),2)))*(1+FedEx_Markup),2)</f>
        <v>61.51</v>
      </c>
      <c r="L7" s="307">
        <f>ROUND((IF('Intl Economy Base'!$L$105&gt;ROUND(((1-IntEconomyDiscount-IntEoncomyIncentive)*'Intl Economy Base'!L4),2),ROUND('Intl Economy Base'!$L$105*(1+International_Fuel_Surcharge),2),ROUND(((1-IntEconomyDiscount-IntEoncomyIncentive)*'Intl Economy Base'!L4)*(1+International_Fuel_Surcharge),2)))*(1+FedEx_Markup),2)</f>
        <v>53.49</v>
      </c>
      <c r="M7" s="307">
        <f>ROUND((IF('Intl Economy Base'!$M$105&gt;ROUND(((1-IntEconomyDiscount-IntEoncomyIncentive)*'Intl Economy Base'!M4),2),ROUND('Intl Economy Base'!$M$105*(1+International_Fuel_Surcharge),2),ROUND(((1-IntEconomyDiscount-IntEoncomyIncentive)*'Intl Economy Base'!M4)*(1+International_Fuel_Surcharge),2)))*(1+FedEx_Markup),2)</f>
        <v>71</v>
      </c>
      <c r="N7" s="307">
        <f>ROUND((IF('Intl Economy Base'!$N$105&gt;ROUND(((1-IntEconomyDiscount-IntEoncomyIncentive)*'Intl Economy Base'!N4),2),ROUND('Intl Economy Base'!$N$105*(1+International_Fuel_Surcharge),2),ROUND(((1-IntEconomyDiscount-IntEoncomyIncentive)*'Intl Economy Base'!N4)*(1+International_Fuel_Surcharge),2)))*(1+FedEx_Markup),2)</f>
        <v>50.15</v>
      </c>
      <c r="O7" s="307">
        <f>ROUND((IF('Intl Economy Base'!$O$105&gt;ROUND(((1-IntEconomyDiscount-IntEoncomyIncentive)*'Intl Economy Base'!O4),2),ROUND('Intl Economy Base'!$O$105*(1+International_Fuel_Surcharge),2),ROUND(((1-IntEconomyDiscount-IntEoncomyIncentive)*'Intl Economy Base'!O4)*(1+International_Fuel_Surcharge),2)))*(1+FedEx_Markup),2)</f>
        <v>55.68</v>
      </c>
      <c r="P7" s="307">
        <f>ROUND((IF('Intl Economy Base'!$P$105&gt;ROUND(((1-IntEconomyDiscount-IntEoncomyIncentive)*'Intl Economy Base'!P4),2),ROUND('Intl Economy Base'!$P$105*(1+International_Fuel_Surcharge),2),ROUND(((1-IntEconomyDiscount-IntEoncomyIncentive)*'Intl Economy Base'!P4)*(1+International_Fuel_Surcharge),2)))*(1+FedEx_Markup),2)</f>
        <v>54.3</v>
      </c>
      <c r="Q7" s="307">
        <f>ROUND((IF('Intl Economy Base'!$Q$105&gt;ROUND(((1-PuertoRicoDiscount)*'Intl Economy Base'!Q4),2),ROUND('Intl Economy Base'!$Q$105*(1+International_Fuel_Surcharge),2),ROUND(((1-PuertoRicoDiscount)*'Intl Economy Base'!Q4)*(1+International_Fuel_Surcharge),2)))*(1+FedEx_Markup),2)</f>
        <v>54.72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306">
        <v>3</v>
      </c>
      <c r="B8" s="307">
        <f>ROUND((IF('Intl Economy Base'!$B$105&gt;ROUND(((1-IntEconomyDiscount-IntEoncomyIncentive)*'Intl Economy Base'!B5),2),ROUND('Intl Economy Base'!$B$105*(1+International_Fuel_Surcharge),2),ROUND(((1-IntEconomyDiscount-IntEoncomyIncentive)*'Intl Economy Base'!B5)*(1+International_Fuel_Surcharge),2)))*(1+FedEx_Markup),2)</f>
        <v>42.86</v>
      </c>
      <c r="C8" s="307">
        <f>ROUND((IF('Intl Economy Base'!$C$105&gt;ROUND(((1-IntEconomyDiscount-IntEoncomyIncentive)*'Intl Economy Base'!C5),2),ROUND('Intl Economy Base'!$C$105*(1+International_Fuel_Surcharge),2),ROUND(((1-IntEconomyDiscount-IntEoncomyIncentive)*'Intl Economy Base'!C5)*(1+International_Fuel_Surcharge),2)))*(1+FedEx_Markup),2)</f>
        <v>46.07</v>
      </c>
      <c r="D8" s="307">
        <f>ROUND((IF('Intl Economy Base'!$D$105&gt;ROUND(((1-IntEconomyDiscount-IntEoncomyIncentive)*'Intl Economy Base'!D5),2),ROUND('Intl Economy Base'!$D$105*(1+International_Fuel_Surcharge),2),ROUND(((1-IntEconomyDiscount-IntEoncomyIncentive)*'Intl Economy Base'!D5)*(1+International_Fuel_Surcharge),2)))*(1+FedEx_Markup),2)</f>
        <v>40.57</v>
      </c>
      <c r="E8" s="307">
        <f>ROUND((IF('Intl Economy Base'!$E$105&gt;ROUND(((1-IntEconomyDiscount-IntEoncomyIncentive)*'Intl Economy Base'!E5),2),ROUND('Intl Economy Base'!$E$105*(1+International_Fuel_Surcharge),2),ROUND(((1-IntEconomyDiscount-IntEoncomyIncentive)*'Intl Economy Base'!E5)*(1+International_Fuel_Surcharge),2)))*(1+FedEx_Markup),2)</f>
        <v>52.3</v>
      </c>
      <c r="F8" s="307">
        <f>ROUND((IF('Intl Economy Base'!$F$105&gt;ROUND(((1-IntEconomyDiscount-IntEoncomyIncentive)*'Intl Economy Base'!F5),2),ROUND('Intl Economy Base'!$F$105*(1+International_Fuel_Surcharge),2),ROUND(((1-IntEconomyDiscount-IntEoncomyIncentive)*'Intl Economy Base'!F5)*(1+International_Fuel_Surcharge),2)))*(1+FedEx_Markup),2)</f>
        <v>53.41</v>
      </c>
      <c r="G8" s="307">
        <f>ROUND((IF('Intl Economy Base'!$G$105&gt;ROUND(((1-IntEconomyDiscount-IntEoncomyIncentive)*'Intl Economy Base'!G5),2),ROUND('Intl Economy Base'!$G$105*(1+International_Fuel_Surcharge),2),ROUND(((1-IntEconomyDiscount-IntEoncomyIncentive)*'Intl Economy Base'!G5)*(1+International_Fuel_Surcharge),2)))*(1+FedEx_Markup),2)</f>
        <v>51.96</v>
      </c>
      <c r="H8" s="307">
        <f>ROUND((IF('Intl Economy Base'!$H$105&gt;ROUND(((1-IntEconomyDiscount-IntEoncomyIncentive)*'Intl Economy Base'!H5),2),ROUND('Intl Economy Base'!$H$105*(1+International_Fuel_Surcharge),2),ROUND(((1-IntEconomyDiscount-IntEoncomyIncentive)*'Intl Economy Base'!H5)*(1+International_Fuel_Surcharge),2)))*(1+FedEx_Markup),2)</f>
        <v>48.51</v>
      </c>
      <c r="I8" s="307">
        <f>ROUND((IF('Intl Economy Base'!$I$105&gt;ROUND(((1-IntEconomyDiscount-IntEoncomyIncentive)*'Intl Economy Base'!I5),2),ROUND('Intl Economy Base'!$I$105*(1+International_Fuel_Surcharge),2),ROUND(((1-IntEconomyDiscount-IntEoncomyIncentive)*'Intl Economy Base'!I5)*(1+International_Fuel_Surcharge),2)))*(1+FedEx_Markup),2)</f>
        <v>49</v>
      </c>
      <c r="J8" s="307">
        <f>ROUND((IF('Intl Economy Base'!$J$105&gt;ROUND(((1-IntEconomyDiscount-IntEoncomyIncentive)*'Intl Economy Base'!J5),2),ROUND('Intl Economy Base'!$J$105*(1+International_Fuel_Surcharge),2),ROUND(((1-IntEconomyDiscount-IntEoncomyIncentive)*'Intl Economy Base'!J5)*(1+International_Fuel_Surcharge),2)))*(1+FedEx_Markup),2)</f>
        <v>41.23</v>
      </c>
      <c r="K8" s="307">
        <f>ROUND((IF('Intl Economy Base'!$K$105&gt;ROUND(((1-IntEconomyDiscount-IntEoncomyIncentive)*'Intl Economy Base'!K5),2),ROUND('Intl Economy Base'!$K$105*(1+International_Fuel_Surcharge),2),ROUND(((1-IntEconomyDiscount-IntEoncomyIncentive)*'Intl Economy Base'!K5)*(1+International_Fuel_Surcharge),2)))*(1+FedEx_Markup),2)</f>
        <v>61.51</v>
      </c>
      <c r="L8" s="307">
        <f>ROUND((IF('Intl Economy Base'!$L$105&gt;ROUND(((1-IntEconomyDiscount-IntEoncomyIncentive)*'Intl Economy Base'!L5),2),ROUND('Intl Economy Base'!$L$105*(1+International_Fuel_Surcharge),2),ROUND(((1-IntEconomyDiscount-IntEoncomyIncentive)*'Intl Economy Base'!L5)*(1+International_Fuel_Surcharge),2)))*(1+FedEx_Markup),2)</f>
        <v>53.49</v>
      </c>
      <c r="M8" s="307">
        <f>ROUND((IF('Intl Economy Base'!$M$105&gt;ROUND(((1-IntEconomyDiscount-IntEoncomyIncentive)*'Intl Economy Base'!M5),2),ROUND('Intl Economy Base'!$M$105*(1+International_Fuel_Surcharge),2),ROUND(((1-IntEconomyDiscount-IntEoncomyIncentive)*'Intl Economy Base'!M5)*(1+International_Fuel_Surcharge),2)))*(1+FedEx_Markup),2)</f>
        <v>71</v>
      </c>
      <c r="N8" s="307">
        <f>ROUND((IF('Intl Economy Base'!$N$105&gt;ROUND(((1-IntEconomyDiscount-IntEoncomyIncentive)*'Intl Economy Base'!N5),2),ROUND('Intl Economy Base'!$N$105*(1+International_Fuel_Surcharge),2),ROUND(((1-IntEconomyDiscount-IntEoncomyIncentive)*'Intl Economy Base'!N5)*(1+International_Fuel_Surcharge),2)))*(1+FedEx_Markup),2)</f>
        <v>53.97</v>
      </c>
      <c r="O8" s="307">
        <f>ROUND((IF('Intl Economy Base'!$O$105&gt;ROUND(((1-IntEconomyDiscount-IntEoncomyIncentive)*'Intl Economy Base'!O5),2),ROUND('Intl Economy Base'!$O$105*(1+International_Fuel_Surcharge),2),ROUND(((1-IntEconomyDiscount-IntEoncomyIncentive)*'Intl Economy Base'!O5)*(1+International_Fuel_Surcharge),2)))*(1+FedEx_Markup),2)</f>
        <v>55.68</v>
      </c>
      <c r="P8" s="307">
        <f>ROUND((IF('Intl Economy Base'!$P$105&gt;ROUND(((1-IntEconomyDiscount-IntEoncomyIncentive)*'Intl Economy Base'!P5),2),ROUND('Intl Economy Base'!$P$105*(1+International_Fuel_Surcharge),2),ROUND(((1-IntEconomyDiscount-IntEoncomyIncentive)*'Intl Economy Base'!P5)*(1+International_Fuel_Surcharge),2)))*(1+FedEx_Markup),2)</f>
        <v>54.3</v>
      </c>
      <c r="Q8" s="307">
        <f>ROUND((IF('Intl Economy Base'!$Q$105&gt;ROUND(((1-PuertoRicoDiscount)*'Intl Economy Base'!Q5),2),ROUND('Intl Economy Base'!$Q$105*(1+International_Fuel_Surcharge),2),ROUND(((1-PuertoRicoDiscount)*'Intl Economy Base'!Q5)*(1+International_Fuel_Surcharge),2)))*(1+FedEx_Markup),2)</f>
        <v>62.43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306">
        <v>4</v>
      </c>
      <c r="B9" s="307">
        <f>ROUND((IF('Intl Economy Base'!$B$105&gt;ROUND(((1-IntEconomyDiscount-IntEoncomyIncentive)*'Intl Economy Base'!B6),2),ROUND('Intl Economy Base'!$B$105*(1+International_Fuel_Surcharge),2),ROUND(((1-IntEconomyDiscount-IntEoncomyIncentive)*'Intl Economy Base'!B6)*(1+International_Fuel_Surcharge),2)))*(1+FedEx_Markup),2)</f>
        <v>42.86</v>
      </c>
      <c r="C9" s="307">
        <f>ROUND((IF('Intl Economy Base'!$C$105&gt;ROUND(((1-IntEconomyDiscount-IntEoncomyIncentive)*'Intl Economy Base'!C6),2),ROUND('Intl Economy Base'!$C$105*(1+International_Fuel_Surcharge),2),ROUND(((1-IntEconomyDiscount-IntEoncomyIncentive)*'Intl Economy Base'!C6)*(1+International_Fuel_Surcharge),2)))*(1+FedEx_Markup),2)</f>
        <v>46.07</v>
      </c>
      <c r="D9" s="307">
        <f>ROUND((IF('Intl Economy Base'!$D$105&gt;ROUND(((1-IntEconomyDiscount-IntEoncomyIncentive)*'Intl Economy Base'!D6),2),ROUND('Intl Economy Base'!$D$105*(1+International_Fuel_Surcharge),2),ROUND(((1-IntEconomyDiscount-IntEoncomyIncentive)*'Intl Economy Base'!D6)*(1+International_Fuel_Surcharge),2)))*(1+FedEx_Markup),2)</f>
        <v>40.57</v>
      </c>
      <c r="E9" s="307">
        <f>ROUND((IF('Intl Economy Base'!$E$105&gt;ROUND(((1-IntEconomyDiscount-IntEoncomyIncentive)*'Intl Economy Base'!E6),2),ROUND('Intl Economy Base'!$E$105*(1+International_Fuel_Surcharge),2),ROUND(((1-IntEconomyDiscount-IntEoncomyIncentive)*'Intl Economy Base'!E6)*(1+International_Fuel_Surcharge),2)))*(1+FedEx_Markup),2)</f>
        <v>52.3</v>
      </c>
      <c r="F9" s="307">
        <f>ROUND((IF('Intl Economy Base'!$F$105&gt;ROUND(((1-IntEconomyDiscount-IntEoncomyIncentive)*'Intl Economy Base'!F6),2),ROUND('Intl Economy Base'!$F$105*(1+International_Fuel_Surcharge),2),ROUND(((1-IntEconomyDiscount-IntEoncomyIncentive)*'Intl Economy Base'!F6)*(1+International_Fuel_Surcharge),2)))*(1+FedEx_Markup),2)</f>
        <v>65.209999999999994</v>
      </c>
      <c r="G9" s="307">
        <f>ROUND((IF('Intl Economy Base'!$G$105&gt;ROUND(((1-IntEconomyDiscount-IntEoncomyIncentive)*'Intl Economy Base'!G6),2),ROUND('Intl Economy Base'!$G$105*(1+International_Fuel_Surcharge),2),ROUND(((1-IntEconomyDiscount-IntEoncomyIncentive)*'Intl Economy Base'!G6)*(1+International_Fuel_Surcharge),2)))*(1+FedEx_Markup),2)</f>
        <v>51.96</v>
      </c>
      <c r="H9" s="307">
        <f>ROUND((IF('Intl Economy Base'!$H$105&gt;ROUND(((1-IntEconomyDiscount-IntEoncomyIncentive)*'Intl Economy Base'!H6),2),ROUND('Intl Economy Base'!$H$105*(1+International_Fuel_Surcharge),2),ROUND(((1-IntEconomyDiscount-IntEoncomyIncentive)*'Intl Economy Base'!H6)*(1+International_Fuel_Surcharge),2)))*(1+FedEx_Markup),2)</f>
        <v>48.51</v>
      </c>
      <c r="I9" s="307">
        <f>ROUND((IF('Intl Economy Base'!$I$105&gt;ROUND(((1-IntEconomyDiscount-IntEoncomyIncentive)*'Intl Economy Base'!I6),2),ROUND('Intl Economy Base'!$I$105*(1+International_Fuel_Surcharge),2),ROUND(((1-IntEconomyDiscount-IntEoncomyIncentive)*'Intl Economy Base'!I6)*(1+International_Fuel_Surcharge),2)))*(1+FedEx_Markup),2)</f>
        <v>50.06</v>
      </c>
      <c r="J9" s="307">
        <f>ROUND((IF('Intl Economy Base'!$J$105&gt;ROUND(((1-IntEconomyDiscount-IntEoncomyIncentive)*'Intl Economy Base'!J6),2),ROUND('Intl Economy Base'!$J$105*(1+International_Fuel_Surcharge),2),ROUND(((1-IntEconomyDiscount-IntEoncomyIncentive)*'Intl Economy Base'!J6)*(1+International_Fuel_Surcharge),2)))*(1+FedEx_Markup),2)</f>
        <v>41.23</v>
      </c>
      <c r="K9" s="307">
        <f>ROUND((IF('Intl Economy Base'!$K$105&gt;ROUND(((1-IntEconomyDiscount-IntEoncomyIncentive)*'Intl Economy Base'!K6),2),ROUND('Intl Economy Base'!$K$105*(1+International_Fuel_Surcharge),2),ROUND(((1-IntEconomyDiscount-IntEoncomyIncentive)*'Intl Economy Base'!K6)*(1+International_Fuel_Surcharge),2)))*(1+FedEx_Markup),2)</f>
        <v>61.51</v>
      </c>
      <c r="L9" s="307">
        <f>ROUND((IF('Intl Economy Base'!$L$105&gt;ROUND(((1-IntEconomyDiscount-IntEoncomyIncentive)*'Intl Economy Base'!L6),2),ROUND('Intl Economy Base'!$L$105*(1+International_Fuel_Surcharge),2),ROUND(((1-IntEconomyDiscount-IntEoncomyIncentive)*'Intl Economy Base'!L6)*(1+International_Fuel_Surcharge),2)))*(1+FedEx_Markup),2)</f>
        <v>53.49</v>
      </c>
      <c r="M9" s="307">
        <f>ROUND((IF('Intl Economy Base'!$M$105&gt;ROUND(((1-IntEconomyDiscount-IntEoncomyIncentive)*'Intl Economy Base'!M6),2),ROUND('Intl Economy Base'!$M$105*(1+International_Fuel_Surcharge),2),ROUND(((1-IntEconomyDiscount-IntEoncomyIncentive)*'Intl Economy Base'!M6)*(1+International_Fuel_Surcharge),2)))*(1+FedEx_Markup),2)</f>
        <v>71</v>
      </c>
      <c r="N9" s="307">
        <f>ROUND((IF('Intl Economy Base'!$N$105&gt;ROUND(((1-IntEconomyDiscount-IntEoncomyIncentive)*'Intl Economy Base'!N6),2),ROUND('Intl Economy Base'!$N$105*(1+International_Fuel_Surcharge),2),ROUND(((1-IntEconomyDiscount-IntEoncomyIncentive)*'Intl Economy Base'!N6)*(1+International_Fuel_Surcharge),2)))*(1+FedEx_Markup),2)</f>
        <v>61.99</v>
      </c>
      <c r="O9" s="307">
        <f>ROUND((IF('Intl Economy Base'!$O$105&gt;ROUND(((1-IntEconomyDiscount-IntEoncomyIncentive)*'Intl Economy Base'!O6),2),ROUND('Intl Economy Base'!$O$105*(1+International_Fuel_Surcharge),2),ROUND(((1-IntEconomyDiscount-IntEoncomyIncentive)*'Intl Economy Base'!O6)*(1+International_Fuel_Surcharge),2)))*(1+FedEx_Markup),2)</f>
        <v>55.68</v>
      </c>
      <c r="P9" s="307">
        <f>ROUND((IF('Intl Economy Base'!$P$105&gt;ROUND(((1-IntEconomyDiscount-IntEoncomyIncentive)*'Intl Economy Base'!P6),2),ROUND('Intl Economy Base'!$P$105*(1+International_Fuel_Surcharge),2),ROUND(((1-IntEconomyDiscount-IntEoncomyIncentive)*'Intl Economy Base'!P6)*(1+International_Fuel_Surcharge),2)))*(1+FedEx_Markup),2)</f>
        <v>54.3</v>
      </c>
      <c r="Q9" s="307">
        <f>ROUND((IF('Intl Economy Base'!$Q$105&gt;ROUND(((1-PuertoRicoDiscount)*'Intl Economy Base'!Q6),2),ROUND('Intl Economy Base'!$Q$105*(1+International_Fuel_Surcharge),2),ROUND(((1-PuertoRicoDiscount)*'Intl Economy Base'!Q6)*(1+International_Fuel_Surcharge),2)))*(1+FedEx_Markup),2)</f>
        <v>66.63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306">
        <v>5</v>
      </c>
      <c r="B10" s="307">
        <f>ROUND((IF('Intl Economy Base'!$B$105&gt;ROUND(((1-IntEconomyDiscount-IntEoncomyIncentive)*'Intl Economy Base'!B7),2),ROUND('Intl Economy Base'!$B$105*(1+International_Fuel_Surcharge),2),ROUND(((1-IntEconomyDiscount-IntEoncomyIncentive)*'Intl Economy Base'!B7)*(1+International_Fuel_Surcharge),2)))*(1+FedEx_Markup),2)</f>
        <v>42.86</v>
      </c>
      <c r="C10" s="307">
        <f>ROUND((IF('Intl Economy Base'!$C$105&gt;ROUND(((1-IntEconomyDiscount-IntEoncomyIncentive)*'Intl Economy Base'!C7),2),ROUND('Intl Economy Base'!$C$105*(1+International_Fuel_Surcharge),2),ROUND(((1-IntEconomyDiscount-IntEoncomyIncentive)*'Intl Economy Base'!C7)*(1+International_Fuel_Surcharge),2)))*(1+FedEx_Markup),2)</f>
        <v>46.07</v>
      </c>
      <c r="D10" s="307">
        <f>ROUND((IF('Intl Economy Base'!$D$105&gt;ROUND(((1-IntEconomyDiscount-IntEoncomyIncentive)*'Intl Economy Base'!D7),2),ROUND('Intl Economy Base'!$D$105*(1+International_Fuel_Surcharge),2),ROUND(((1-IntEconomyDiscount-IntEoncomyIncentive)*'Intl Economy Base'!D7)*(1+International_Fuel_Surcharge),2)))*(1+FedEx_Markup),2)</f>
        <v>40.57</v>
      </c>
      <c r="E10" s="307">
        <f>ROUND((IF('Intl Economy Base'!$E$105&gt;ROUND(((1-IntEconomyDiscount-IntEoncomyIncentive)*'Intl Economy Base'!E7),2),ROUND('Intl Economy Base'!$E$105*(1+International_Fuel_Surcharge),2),ROUND(((1-IntEconomyDiscount-IntEoncomyIncentive)*'Intl Economy Base'!E7)*(1+International_Fuel_Surcharge),2)))*(1+FedEx_Markup),2)</f>
        <v>54</v>
      </c>
      <c r="F10" s="307">
        <f>ROUND((IF('Intl Economy Base'!$F$105&gt;ROUND(((1-IntEconomyDiscount-IntEoncomyIncentive)*'Intl Economy Base'!F7),2),ROUND('Intl Economy Base'!$F$105*(1+International_Fuel_Surcharge),2),ROUND(((1-IntEconomyDiscount-IntEoncomyIncentive)*'Intl Economy Base'!F7)*(1+International_Fuel_Surcharge),2)))*(1+FedEx_Markup),2)</f>
        <v>75.06</v>
      </c>
      <c r="G10" s="307">
        <f>ROUND((IF('Intl Economy Base'!$G$105&gt;ROUND(((1-IntEconomyDiscount-IntEoncomyIncentive)*'Intl Economy Base'!G7),2),ROUND('Intl Economy Base'!$G$105*(1+International_Fuel_Surcharge),2),ROUND(((1-IntEconomyDiscount-IntEoncomyIncentive)*'Intl Economy Base'!G7)*(1+International_Fuel_Surcharge),2)))*(1+FedEx_Markup),2)</f>
        <v>52.92</v>
      </c>
      <c r="H10" s="307">
        <f>ROUND((IF('Intl Economy Base'!$H$105&gt;ROUND(((1-IntEconomyDiscount-IntEoncomyIncentive)*'Intl Economy Base'!H7),2),ROUND('Intl Economy Base'!$H$105*(1+International_Fuel_Surcharge),2),ROUND(((1-IntEconomyDiscount-IntEoncomyIncentive)*'Intl Economy Base'!H7)*(1+International_Fuel_Surcharge),2)))*(1+FedEx_Markup),2)</f>
        <v>52.92</v>
      </c>
      <c r="I10" s="307">
        <f>ROUND((IF('Intl Economy Base'!$I$105&gt;ROUND(((1-IntEconomyDiscount-IntEoncomyIncentive)*'Intl Economy Base'!I7),2),ROUND('Intl Economy Base'!$I$105*(1+International_Fuel_Surcharge),2),ROUND(((1-IntEconomyDiscount-IntEoncomyIncentive)*'Intl Economy Base'!I7)*(1+International_Fuel_Surcharge),2)))*(1+FedEx_Markup),2)</f>
        <v>59.51</v>
      </c>
      <c r="J10" s="307">
        <f>ROUND((IF('Intl Economy Base'!$J$105&gt;ROUND(((1-IntEconomyDiscount-IntEoncomyIncentive)*'Intl Economy Base'!J7),2),ROUND('Intl Economy Base'!$J$105*(1+International_Fuel_Surcharge),2),ROUND(((1-IntEconomyDiscount-IntEoncomyIncentive)*'Intl Economy Base'!J7)*(1+International_Fuel_Surcharge),2)))*(1+FedEx_Markup),2)</f>
        <v>41.23</v>
      </c>
      <c r="K10" s="307">
        <f>ROUND((IF('Intl Economy Base'!$K$105&gt;ROUND(((1-IntEconomyDiscount-IntEoncomyIncentive)*'Intl Economy Base'!K7),2),ROUND('Intl Economy Base'!$K$105*(1+International_Fuel_Surcharge),2),ROUND(((1-IntEconomyDiscount-IntEoncomyIncentive)*'Intl Economy Base'!K7)*(1+International_Fuel_Surcharge),2)))*(1+FedEx_Markup),2)</f>
        <v>62.79</v>
      </c>
      <c r="L10" s="307">
        <f>ROUND((IF('Intl Economy Base'!$L$105&gt;ROUND(((1-IntEconomyDiscount-IntEoncomyIncentive)*'Intl Economy Base'!L7),2),ROUND('Intl Economy Base'!$L$105*(1+International_Fuel_Surcharge),2),ROUND(((1-IntEconomyDiscount-IntEoncomyIncentive)*'Intl Economy Base'!L7)*(1+International_Fuel_Surcharge),2)))*(1+FedEx_Markup),2)</f>
        <v>56.14</v>
      </c>
      <c r="M10" s="307">
        <f>ROUND((IF('Intl Economy Base'!$M$105&gt;ROUND(((1-IntEconomyDiscount-IntEoncomyIncentive)*'Intl Economy Base'!M7),2),ROUND('Intl Economy Base'!$M$105*(1+International_Fuel_Surcharge),2),ROUND(((1-IntEconomyDiscount-IntEoncomyIncentive)*'Intl Economy Base'!M7)*(1+International_Fuel_Surcharge),2)))*(1+FedEx_Markup),2)</f>
        <v>71.099999999999994</v>
      </c>
      <c r="N10" s="307">
        <f>ROUND((IF('Intl Economy Base'!$N$105&gt;ROUND(((1-IntEconomyDiscount-IntEoncomyIncentive)*'Intl Economy Base'!N7),2),ROUND('Intl Economy Base'!$N$105*(1+International_Fuel_Surcharge),2),ROUND(((1-IntEconomyDiscount-IntEoncomyIncentive)*'Intl Economy Base'!N7)*(1+International_Fuel_Surcharge),2)))*(1+FedEx_Markup),2)</f>
        <v>71.010000000000005</v>
      </c>
      <c r="O10" s="307">
        <f>ROUND((IF('Intl Economy Base'!$O$105&gt;ROUND(((1-IntEconomyDiscount-IntEoncomyIncentive)*'Intl Economy Base'!O7),2),ROUND('Intl Economy Base'!$O$105*(1+International_Fuel_Surcharge),2),ROUND(((1-IntEconomyDiscount-IntEoncomyIncentive)*'Intl Economy Base'!O7)*(1+International_Fuel_Surcharge),2)))*(1+FedEx_Markup),2)</f>
        <v>55.68</v>
      </c>
      <c r="P10" s="307">
        <f>ROUND((IF('Intl Economy Base'!$P$105&gt;ROUND(((1-IntEconomyDiscount-IntEoncomyIncentive)*'Intl Economy Base'!P7),2),ROUND('Intl Economy Base'!$P$105*(1+International_Fuel_Surcharge),2),ROUND(((1-IntEconomyDiscount-IntEoncomyIncentive)*'Intl Economy Base'!P7)*(1+International_Fuel_Surcharge),2)))*(1+FedEx_Markup),2)</f>
        <v>54.3</v>
      </c>
      <c r="Q10" s="307">
        <f>ROUND((IF('Intl Economy Base'!$Q$105&gt;ROUND(((1-PuertoRicoDiscount)*'Intl Economy Base'!Q7),2),ROUND('Intl Economy Base'!$Q$105*(1+International_Fuel_Surcharge),2),ROUND(((1-PuertoRicoDiscount)*'Intl Economy Base'!Q7)*(1+International_Fuel_Surcharge),2)))*(1+FedEx_Markup),2)</f>
        <v>72.27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306">
        <v>6</v>
      </c>
      <c r="B11" s="307">
        <f>ROUND((IF('Intl Economy Base'!$B$105&gt;ROUND(((1-IntEconomyDiscount-IntEoncomyIncentive)*'Intl Economy Base'!B8),2),ROUND('Intl Economy Base'!$B$105*(1+International_Fuel_Surcharge),2),ROUND(((1-IntEconomyDiscount-IntEoncomyIncentive)*'Intl Economy Base'!B8)*(1+International_Fuel_Surcharge),2)))*(1+FedEx_Markup),2)</f>
        <v>42.86</v>
      </c>
      <c r="C11" s="307">
        <f>ROUND((IF('Intl Economy Base'!$C$105&gt;ROUND(((1-IntEconomyDiscount-IntEoncomyIncentive)*'Intl Economy Base'!C8),2),ROUND('Intl Economy Base'!$C$105*(1+International_Fuel_Surcharge),2),ROUND(((1-IntEconomyDiscount-IntEoncomyIncentive)*'Intl Economy Base'!C8)*(1+International_Fuel_Surcharge),2)))*(1+FedEx_Markup),2)</f>
        <v>46.07</v>
      </c>
      <c r="D11" s="307">
        <f>ROUND((IF('Intl Economy Base'!$D$105&gt;ROUND(((1-IntEconomyDiscount-IntEoncomyIncentive)*'Intl Economy Base'!D8),2),ROUND('Intl Economy Base'!$D$105*(1+International_Fuel_Surcharge),2),ROUND(((1-IntEconomyDiscount-IntEoncomyIncentive)*'Intl Economy Base'!D8)*(1+International_Fuel_Surcharge),2)))*(1+FedEx_Markup),2)</f>
        <v>40.57</v>
      </c>
      <c r="E11" s="307">
        <f>ROUND((IF('Intl Economy Base'!$E$105&gt;ROUND(((1-IntEconomyDiscount-IntEoncomyIncentive)*'Intl Economy Base'!E8),2),ROUND('Intl Economy Base'!$E$105*(1+International_Fuel_Surcharge),2),ROUND(((1-IntEconomyDiscount-IntEoncomyIncentive)*'Intl Economy Base'!E8)*(1+International_Fuel_Surcharge),2)))*(1+FedEx_Markup),2)</f>
        <v>57.81</v>
      </c>
      <c r="F11" s="307">
        <f>ROUND((IF('Intl Economy Base'!$F$105&gt;ROUND(((1-IntEconomyDiscount-IntEoncomyIncentive)*'Intl Economy Base'!F8),2),ROUND('Intl Economy Base'!$F$105*(1+International_Fuel_Surcharge),2),ROUND(((1-IntEconomyDiscount-IntEoncomyIncentive)*'Intl Economy Base'!F8)*(1+International_Fuel_Surcharge),2)))*(1+FedEx_Markup),2)</f>
        <v>79.599999999999994</v>
      </c>
      <c r="G11" s="307">
        <f>ROUND((IF('Intl Economy Base'!$G$105&gt;ROUND(((1-IntEconomyDiscount-IntEoncomyIncentive)*'Intl Economy Base'!G8),2),ROUND('Intl Economy Base'!$G$105*(1+International_Fuel_Surcharge),2),ROUND(((1-IntEconomyDiscount-IntEoncomyIncentive)*'Intl Economy Base'!G8)*(1+International_Fuel_Surcharge),2)))*(1+FedEx_Markup),2)</f>
        <v>62.13</v>
      </c>
      <c r="H11" s="307">
        <f>ROUND((IF('Intl Economy Base'!$H$105&gt;ROUND(((1-IntEconomyDiscount-IntEoncomyIncentive)*'Intl Economy Base'!H8),2),ROUND('Intl Economy Base'!$H$105*(1+International_Fuel_Surcharge),2),ROUND(((1-IntEconomyDiscount-IntEoncomyIncentive)*'Intl Economy Base'!H8)*(1+International_Fuel_Surcharge),2)))*(1+FedEx_Markup),2)</f>
        <v>57.1</v>
      </c>
      <c r="I11" s="307">
        <f>ROUND((IF('Intl Economy Base'!$I$105&gt;ROUND(((1-IntEconomyDiscount-IntEoncomyIncentive)*'Intl Economy Base'!I8),2),ROUND('Intl Economy Base'!$I$105*(1+International_Fuel_Surcharge),2),ROUND(((1-IntEconomyDiscount-IntEoncomyIncentive)*'Intl Economy Base'!I8)*(1+International_Fuel_Surcharge),2)))*(1+FedEx_Markup),2)</f>
        <v>63.2</v>
      </c>
      <c r="J11" s="307">
        <f>ROUND((IF('Intl Economy Base'!$J$105&gt;ROUND(((1-IntEconomyDiscount-IntEoncomyIncentive)*'Intl Economy Base'!J8),2),ROUND('Intl Economy Base'!$J$105*(1+International_Fuel_Surcharge),2),ROUND(((1-IntEconomyDiscount-IntEoncomyIncentive)*'Intl Economy Base'!J8)*(1+International_Fuel_Surcharge),2)))*(1+FedEx_Markup),2)</f>
        <v>44.15</v>
      </c>
      <c r="K11" s="307">
        <f>ROUND((IF('Intl Economy Base'!$K$105&gt;ROUND(((1-IntEconomyDiscount-IntEoncomyIncentive)*'Intl Economy Base'!K8),2),ROUND('Intl Economy Base'!$K$105*(1+International_Fuel_Surcharge),2),ROUND(((1-IntEconomyDiscount-IntEoncomyIncentive)*'Intl Economy Base'!K8)*(1+International_Fuel_Surcharge),2)))*(1+FedEx_Markup),2)</f>
        <v>67.77</v>
      </c>
      <c r="L11" s="307">
        <f>ROUND((IF('Intl Economy Base'!$L$105&gt;ROUND(((1-IntEconomyDiscount-IntEoncomyIncentive)*'Intl Economy Base'!L8),2),ROUND('Intl Economy Base'!$L$105*(1+International_Fuel_Surcharge),2),ROUND(((1-IntEconomyDiscount-IntEoncomyIncentive)*'Intl Economy Base'!L8)*(1+International_Fuel_Surcharge),2)))*(1+FedEx_Markup),2)</f>
        <v>59.28</v>
      </c>
      <c r="M11" s="307">
        <f>ROUND((IF('Intl Economy Base'!$M$105&gt;ROUND(((1-IntEconomyDiscount-IntEoncomyIncentive)*'Intl Economy Base'!M8),2),ROUND('Intl Economy Base'!$M$105*(1+International_Fuel_Surcharge),2),ROUND(((1-IntEconomyDiscount-IntEoncomyIncentive)*'Intl Economy Base'!M8)*(1+International_Fuel_Surcharge),2)))*(1+FedEx_Markup),2)</f>
        <v>88.32</v>
      </c>
      <c r="N11" s="307">
        <f>ROUND((IF('Intl Economy Base'!$N$105&gt;ROUND(((1-IntEconomyDiscount-IntEoncomyIncentive)*'Intl Economy Base'!N8),2),ROUND('Intl Economy Base'!$N$105*(1+International_Fuel_Surcharge),2),ROUND(((1-IntEconomyDiscount-IntEoncomyIncentive)*'Intl Economy Base'!N8)*(1+International_Fuel_Surcharge),2)))*(1+FedEx_Markup),2)</f>
        <v>81.680000000000007</v>
      </c>
      <c r="O11" s="307">
        <f>ROUND((IF('Intl Economy Base'!$O$105&gt;ROUND(((1-IntEconomyDiscount-IntEoncomyIncentive)*'Intl Economy Base'!O8),2),ROUND('Intl Economy Base'!$O$105*(1+International_Fuel_Surcharge),2),ROUND(((1-IntEconomyDiscount-IntEoncomyIncentive)*'Intl Economy Base'!O8)*(1+International_Fuel_Surcharge),2)))*(1+FedEx_Markup),2)</f>
        <v>61.71</v>
      </c>
      <c r="P11" s="307">
        <f>ROUND((IF('Intl Economy Base'!$P$105&gt;ROUND(((1-IntEconomyDiscount-IntEoncomyIncentive)*'Intl Economy Base'!P8),2),ROUND('Intl Economy Base'!$P$105*(1+International_Fuel_Surcharge),2),ROUND(((1-IntEconomyDiscount-IntEoncomyIncentive)*'Intl Economy Base'!P8)*(1+International_Fuel_Surcharge),2)))*(1+FedEx_Markup),2)</f>
        <v>56.97</v>
      </c>
      <c r="Q11" s="307">
        <f>ROUND((IF('Intl Economy Base'!$Q$105&gt;ROUND(((1-PuertoRicoDiscount)*'Intl Economy Base'!Q8),2),ROUND('Intl Economy Base'!$Q$105*(1+International_Fuel_Surcharge),2),ROUND(((1-PuertoRicoDiscount)*'Intl Economy Base'!Q8)*(1+International_Fuel_Surcharge),2)))*(1+FedEx_Markup),2)</f>
        <v>77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306">
        <v>7</v>
      </c>
      <c r="B12" s="307">
        <f>ROUND((IF('Intl Economy Base'!$B$105&gt;ROUND(((1-IntEconomyDiscount-IntEoncomyIncentive)*'Intl Economy Base'!B9),2),ROUND('Intl Economy Base'!$B$105*(1+International_Fuel_Surcharge),2),ROUND(((1-IntEconomyDiscount-IntEoncomyIncentive)*'Intl Economy Base'!B9)*(1+International_Fuel_Surcharge),2)))*(1+FedEx_Markup),2)</f>
        <v>42.86</v>
      </c>
      <c r="C12" s="307">
        <f>ROUND((IF('Intl Economy Base'!$C$105&gt;ROUND(((1-IntEconomyDiscount-IntEoncomyIncentive)*'Intl Economy Base'!C9),2),ROUND('Intl Economy Base'!$C$105*(1+International_Fuel_Surcharge),2),ROUND(((1-IntEconomyDiscount-IntEoncomyIncentive)*'Intl Economy Base'!C9)*(1+International_Fuel_Surcharge),2)))*(1+FedEx_Markup),2)</f>
        <v>46.43</v>
      </c>
      <c r="D12" s="307">
        <f>ROUND((IF('Intl Economy Base'!$D$105&gt;ROUND(((1-IntEconomyDiscount-IntEoncomyIncentive)*'Intl Economy Base'!D9),2),ROUND('Intl Economy Base'!$D$105*(1+International_Fuel_Surcharge),2),ROUND(((1-IntEconomyDiscount-IntEoncomyIncentive)*'Intl Economy Base'!D9)*(1+International_Fuel_Surcharge),2)))*(1+FedEx_Markup),2)</f>
        <v>44.05</v>
      </c>
      <c r="E12" s="307">
        <f>ROUND((IF('Intl Economy Base'!$E$105&gt;ROUND(((1-IntEconomyDiscount-IntEoncomyIncentive)*'Intl Economy Base'!E9),2),ROUND('Intl Economy Base'!$E$105*(1+International_Fuel_Surcharge),2),ROUND(((1-IntEconomyDiscount-IntEoncomyIncentive)*'Intl Economy Base'!E9)*(1+International_Fuel_Surcharge),2)))*(1+FedEx_Markup),2)</f>
        <v>58.94</v>
      </c>
      <c r="F12" s="307">
        <f>ROUND((IF('Intl Economy Base'!$F$105&gt;ROUND(((1-IntEconomyDiscount-IntEoncomyIncentive)*'Intl Economy Base'!F9),2),ROUND('Intl Economy Base'!$F$105*(1+International_Fuel_Surcharge),2),ROUND(((1-IntEconomyDiscount-IntEoncomyIncentive)*'Intl Economy Base'!F9)*(1+International_Fuel_Surcharge),2)))*(1+FedEx_Markup),2)</f>
        <v>88.7</v>
      </c>
      <c r="G12" s="307">
        <f>ROUND((IF('Intl Economy Base'!$G$105&gt;ROUND(((1-IntEconomyDiscount-IntEoncomyIncentive)*'Intl Economy Base'!G9),2),ROUND('Intl Economy Base'!$G$105*(1+International_Fuel_Surcharge),2),ROUND(((1-IntEconomyDiscount-IntEoncomyIncentive)*'Intl Economy Base'!G9)*(1+International_Fuel_Surcharge),2)))*(1+FedEx_Markup),2)</f>
        <v>63.6</v>
      </c>
      <c r="H12" s="307">
        <f>ROUND((IF('Intl Economy Base'!$H$105&gt;ROUND(((1-IntEconomyDiscount-IntEoncomyIncentive)*'Intl Economy Base'!H9),2),ROUND('Intl Economy Base'!$H$105*(1+International_Fuel_Surcharge),2),ROUND(((1-IntEconomyDiscount-IntEoncomyIncentive)*'Intl Economy Base'!H9)*(1+International_Fuel_Surcharge),2)))*(1+FedEx_Markup),2)</f>
        <v>57.7</v>
      </c>
      <c r="I12" s="307">
        <f>ROUND((IF('Intl Economy Base'!$I$105&gt;ROUND(((1-IntEconomyDiscount-IntEoncomyIncentive)*'Intl Economy Base'!I9),2),ROUND('Intl Economy Base'!$I$105*(1+International_Fuel_Surcharge),2),ROUND(((1-IntEconomyDiscount-IntEoncomyIncentive)*'Intl Economy Base'!I9)*(1+International_Fuel_Surcharge),2)))*(1+FedEx_Markup),2)</f>
        <v>64.930000000000007</v>
      </c>
      <c r="J12" s="307">
        <f>ROUND((IF('Intl Economy Base'!$J$105&gt;ROUND(((1-IntEconomyDiscount-IntEoncomyIncentive)*'Intl Economy Base'!J9),2),ROUND('Intl Economy Base'!$J$105*(1+International_Fuel_Surcharge),2),ROUND(((1-IntEconomyDiscount-IntEoncomyIncentive)*'Intl Economy Base'!J9)*(1+International_Fuel_Surcharge),2)))*(1+FedEx_Markup),2)</f>
        <v>48.01</v>
      </c>
      <c r="K12" s="307">
        <f>ROUND((IF('Intl Economy Base'!$K$105&gt;ROUND(((1-IntEconomyDiscount-IntEoncomyIncentive)*'Intl Economy Base'!K9),2),ROUND('Intl Economy Base'!$K$105*(1+International_Fuel_Surcharge),2),ROUND(((1-IntEconomyDiscount-IntEoncomyIncentive)*'Intl Economy Base'!K9)*(1+International_Fuel_Surcharge),2)))*(1+FedEx_Markup),2)</f>
        <v>74.55</v>
      </c>
      <c r="L12" s="307">
        <f>ROUND((IF('Intl Economy Base'!$L$105&gt;ROUND(((1-IntEconomyDiscount-IntEoncomyIncentive)*'Intl Economy Base'!L9),2),ROUND('Intl Economy Base'!$L$105*(1+International_Fuel_Surcharge),2),ROUND(((1-IntEconomyDiscount-IntEoncomyIncentive)*'Intl Economy Base'!L9)*(1+International_Fuel_Surcharge),2)))*(1+FedEx_Markup),2)</f>
        <v>68.63</v>
      </c>
      <c r="M12" s="307">
        <f>ROUND((IF('Intl Economy Base'!$M$105&gt;ROUND(((1-IntEconomyDiscount-IntEoncomyIncentive)*'Intl Economy Base'!M9),2),ROUND('Intl Economy Base'!$M$105*(1+International_Fuel_Surcharge),2),ROUND(((1-IntEconomyDiscount-IntEoncomyIncentive)*'Intl Economy Base'!M9)*(1+International_Fuel_Surcharge),2)))*(1+FedEx_Markup),2)</f>
        <v>90.05</v>
      </c>
      <c r="N12" s="307">
        <f>ROUND((IF('Intl Economy Base'!$N$105&gt;ROUND(((1-IntEconomyDiscount-IntEoncomyIncentive)*'Intl Economy Base'!N9),2),ROUND('Intl Economy Base'!$N$105*(1+International_Fuel_Surcharge),2),ROUND(((1-IntEconomyDiscount-IntEoncomyIncentive)*'Intl Economy Base'!N9)*(1+International_Fuel_Surcharge),2)))*(1+FedEx_Markup),2)</f>
        <v>85.54</v>
      </c>
      <c r="O12" s="307">
        <f>ROUND((IF('Intl Economy Base'!$O$105&gt;ROUND(((1-IntEconomyDiscount-IntEoncomyIncentive)*'Intl Economy Base'!O9),2),ROUND('Intl Economy Base'!$O$105*(1+International_Fuel_Surcharge),2),ROUND(((1-IntEconomyDiscount-IntEoncomyIncentive)*'Intl Economy Base'!O9)*(1+International_Fuel_Surcharge),2)))*(1+FedEx_Markup),2)</f>
        <v>62.61</v>
      </c>
      <c r="P12" s="307">
        <f>ROUND((IF('Intl Economy Base'!$P$105&gt;ROUND(((1-IntEconomyDiscount-IntEoncomyIncentive)*'Intl Economy Base'!P9),2),ROUND('Intl Economy Base'!$P$105*(1+International_Fuel_Surcharge),2),ROUND(((1-IntEconomyDiscount-IntEoncomyIncentive)*'Intl Economy Base'!P9)*(1+International_Fuel_Surcharge),2)))*(1+FedEx_Markup),2)</f>
        <v>63.02</v>
      </c>
      <c r="Q12" s="307">
        <f>ROUND((IF('Intl Economy Base'!$Q$105&gt;ROUND(((1-PuertoRicoDiscount)*'Intl Economy Base'!Q9),2),ROUND('Intl Economy Base'!$Q$105*(1+International_Fuel_Surcharge),2),ROUND(((1-PuertoRicoDiscount)*'Intl Economy Base'!Q9)*(1+International_Fuel_Surcharge),2)))*(1+FedEx_Markup),2)</f>
        <v>82.85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306">
        <v>8</v>
      </c>
      <c r="B13" s="307">
        <f>ROUND((IF('Intl Economy Base'!$B$105&gt;ROUND(((1-IntEconomyDiscount-IntEoncomyIncentive)*'Intl Economy Base'!B10),2),ROUND('Intl Economy Base'!$B$105*(1+International_Fuel_Surcharge),2),ROUND(((1-IntEconomyDiscount-IntEoncomyIncentive)*'Intl Economy Base'!B10)*(1+International_Fuel_Surcharge),2)))*(1+FedEx_Markup),2)</f>
        <v>42.86</v>
      </c>
      <c r="C13" s="307">
        <f>ROUND((IF('Intl Economy Base'!$C$105&gt;ROUND(((1-IntEconomyDiscount-IntEoncomyIncentive)*'Intl Economy Base'!C10),2),ROUND('Intl Economy Base'!$C$105*(1+International_Fuel_Surcharge),2),ROUND(((1-IntEconomyDiscount-IntEoncomyIncentive)*'Intl Economy Base'!C10)*(1+International_Fuel_Surcharge),2)))*(1+FedEx_Markup),2)</f>
        <v>47.99</v>
      </c>
      <c r="D13" s="307">
        <f>ROUND((IF('Intl Economy Base'!$D$105&gt;ROUND(((1-IntEconomyDiscount-IntEoncomyIncentive)*'Intl Economy Base'!D10),2),ROUND('Intl Economy Base'!$D$105*(1+International_Fuel_Surcharge),2),ROUND(((1-IntEconomyDiscount-IntEoncomyIncentive)*'Intl Economy Base'!D10)*(1+International_Fuel_Surcharge),2)))*(1+FedEx_Markup),2)</f>
        <v>46.77</v>
      </c>
      <c r="E13" s="307">
        <f>ROUND((IF('Intl Economy Base'!$E$105&gt;ROUND(((1-IntEconomyDiscount-IntEoncomyIncentive)*'Intl Economy Base'!E10),2),ROUND('Intl Economy Base'!$E$105*(1+International_Fuel_Surcharge),2),ROUND(((1-IntEconomyDiscount-IntEoncomyIncentive)*'Intl Economy Base'!E10)*(1+International_Fuel_Surcharge),2)))*(1+FedEx_Markup),2)</f>
        <v>60.1</v>
      </c>
      <c r="F13" s="307">
        <f>ROUND((IF('Intl Economy Base'!$F$105&gt;ROUND(((1-IntEconomyDiscount-IntEoncomyIncentive)*'Intl Economy Base'!F10),2),ROUND('Intl Economy Base'!$F$105*(1+International_Fuel_Surcharge),2),ROUND(((1-IntEconomyDiscount-IntEoncomyIncentive)*'Intl Economy Base'!F10)*(1+International_Fuel_Surcharge),2)))*(1+FedEx_Markup),2)</f>
        <v>89.62</v>
      </c>
      <c r="G13" s="307">
        <f>ROUND((IF('Intl Economy Base'!$G$105&gt;ROUND(((1-IntEconomyDiscount-IntEoncomyIncentive)*'Intl Economy Base'!G10),2),ROUND('Intl Economy Base'!$G$105*(1+International_Fuel_Surcharge),2),ROUND(((1-IntEconomyDiscount-IntEoncomyIncentive)*'Intl Economy Base'!G10)*(1+International_Fuel_Surcharge),2)))*(1+FedEx_Markup),2)</f>
        <v>65.81</v>
      </c>
      <c r="H13" s="307">
        <f>ROUND((IF('Intl Economy Base'!$H$105&gt;ROUND(((1-IntEconomyDiscount-IntEoncomyIncentive)*'Intl Economy Base'!H10),2),ROUND('Intl Economy Base'!$H$105*(1+International_Fuel_Surcharge),2),ROUND(((1-IntEconomyDiscount-IntEoncomyIncentive)*'Intl Economy Base'!H10)*(1+International_Fuel_Surcharge),2)))*(1+FedEx_Markup),2)</f>
        <v>58.2</v>
      </c>
      <c r="I13" s="307">
        <f>ROUND((IF('Intl Economy Base'!$I$105&gt;ROUND(((1-IntEconomyDiscount-IntEoncomyIncentive)*'Intl Economy Base'!I10),2),ROUND('Intl Economy Base'!$I$105*(1+International_Fuel_Surcharge),2),ROUND(((1-IntEconomyDiscount-IntEoncomyIncentive)*'Intl Economy Base'!I10)*(1+International_Fuel_Surcharge),2)))*(1+FedEx_Markup),2)</f>
        <v>69.03</v>
      </c>
      <c r="J13" s="307">
        <f>ROUND((IF('Intl Economy Base'!$J$105&gt;ROUND(((1-IntEconomyDiscount-IntEoncomyIncentive)*'Intl Economy Base'!J10),2),ROUND('Intl Economy Base'!$J$105*(1+International_Fuel_Surcharge),2),ROUND(((1-IntEconomyDiscount-IntEoncomyIncentive)*'Intl Economy Base'!J10)*(1+International_Fuel_Surcharge),2)))*(1+FedEx_Markup),2)</f>
        <v>48.4</v>
      </c>
      <c r="K13" s="307">
        <f>ROUND((IF('Intl Economy Base'!$K$105&gt;ROUND(((1-IntEconomyDiscount-IntEoncomyIncentive)*'Intl Economy Base'!K10),2),ROUND('Intl Economy Base'!$K$105*(1+International_Fuel_Surcharge),2),ROUND(((1-IntEconomyDiscount-IntEoncomyIncentive)*'Intl Economy Base'!K10)*(1+International_Fuel_Surcharge),2)))*(1+FedEx_Markup),2)</f>
        <v>80.45</v>
      </c>
      <c r="L13" s="307">
        <f>ROUND((IF('Intl Economy Base'!$L$105&gt;ROUND(((1-IntEconomyDiscount-IntEoncomyIncentive)*'Intl Economy Base'!L10),2),ROUND('Intl Economy Base'!$L$105*(1+International_Fuel_Surcharge),2),ROUND(((1-IntEconomyDiscount-IntEoncomyIncentive)*'Intl Economy Base'!L10)*(1+International_Fuel_Surcharge),2)))*(1+FedEx_Markup),2)</f>
        <v>69.58</v>
      </c>
      <c r="M13" s="307">
        <f>ROUND((IF('Intl Economy Base'!$M$105&gt;ROUND(((1-IntEconomyDiscount-IntEoncomyIncentive)*'Intl Economy Base'!M10),2),ROUND('Intl Economy Base'!$M$105*(1+International_Fuel_Surcharge),2),ROUND(((1-IntEconomyDiscount-IntEoncomyIncentive)*'Intl Economy Base'!M10)*(1+International_Fuel_Surcharge),2)))*(1+FedEx_Markup),2)</f>
        <v>101.94</v>
      </c>
      <c r="N13" s="307">
        <f>ROUND((IF('Intl Economy Base'!$N$105&gt;ROUND(((1-IntEconomyDiscount-IntEoncomyIncentive)*'Intl Economy Base'!N10),2),ROUND('Intl Economy Base'!$N$105*(1+International_Fuel_Surcharge),2),ROUND(((1-IntEconomyDiscount-IntEoncomyIncentive)*'Intl Economy Base'!N10)*(1+International_Fuel_Surcharge),2)))*(1+FedEx_Markup),2)</f>
        <v>95.58</v>
      </c>
      <c r="O13" s="307">
        <f>ROUND((IF('Intl Economy Base'!$O$105&gt;ROUND(((1-IntEconomyDiscount-IntEoncomyIncentive)*'Intl Economy Base'!O10),2),ROUND('Intl Economy Base'!$O$105*(1+International_Fuel_Surcharge),2),ROUND(((1-IntEconomyDiscount-IntEoncomyIncentive)*'Intl Economy Base'!O10)*(1+International_Fuel_Surcharge),2)))*(1+FedEx_Markup),2)</f>
        <v>72.2</v>
      </c>
      <c r="P13" s="307">
        <f>ROUND((IF('Intl Economy Base'!$P$105&gt;ROUND(((1-IntEconomyDiscount-IntEoncomyIncentive)*'Intl Economy Base'!P10),2),ROUND('Intl Economy Base'!$P$105*(1+International_Fuel_Surcharge),2),ROUND(((1-IntEconomyDiscount-IntEoncomyIncentive)*'Intl Economy Base'!P10)*(1+International_Fuel_Surcharge),2)))*(1+FedEx_Markup),2)</f>
        <v>69.02</v>
      </c>
      <c r="Q13" s="307">
        <f>ROUND((IF('Intl Economy Base'!$Q$105&gt;ROUND(((1-PuertoRicoDiscount)*'Intl Economy Base'!Q10),2),ROUND('Intl Economy Base'!$Q$105*(1+International_Fuel_Surcharge),2),ROUND(((1-PuertoRicoDiscount)*'Intl Economy Base'!Q10)*(1+International_Fuel_Surcharge),2)))*(1+FedEx_Markup),2)</f>
        <v>87.75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306">
        <v>9</v>
      </c>
      <c r="B14" s="307">
        <f>ROUND((IF('Intl Economy Base'!$B$105&gt;ROUND(((1-IntEconomyDiscount-IntEoncomyIncentive)*'Intl Economy Base'!B11),2),ROUND('Intl Economy Base'!$B$105*(1+International_Fuel_Surcharge),2),ROUND(((1-IntEconomyDiscount-IntEoncomyIncentive)*'Intl Economy Base'!B11)*(1+International_Fuel_Surcharge),2)))*(1+FedEx_Markup),2)</f>
        <v>42.86</v>
      </c>
      <c r="C14" s="307">
        <f>ROUND((IF('Intl Economy Base'!$C$105&gt;ROUND(((1-IntEconomyDiscount-IntEoncomyIncentive)*'Intl Economy Base'!C11),2),ROUND('Intl Economy Base'!$C$105*(1+International_Fuel_Surcharge),2),ROUND(((1-IntEconomyDiscount-IntEoncomyIncentive)*'Intl Economy Base'!C11)*(1+International_Fuel_Surcharge),2)))*(1+FedEx_Markup),2)</f>
        <v>51.2</v>
      </c>
      <c r="D14" s="307">
        <f>ROUND((IF('Intl Economy Base'!$D$105&gt;ROUND(((1-IntEconomyDiscount-IntEoncomyIncentive)*'Intl Economy Base'!D11),2),ROUND('Intl Economy Base'!$D$105*(1+International_Fuel_Surcharge),2),ROUND(((1-IntEconomyDiscount-IntEoncomyIncentive)*'Intl Economy Base'!D11)*(1+International_Fuel_Surcharge),2)))*(1+FedEx_Markup),2)</f>
        <v>47.05</v>
      </c>
      <c r="E14" s="307">
        <f>ROUND((IF('Intl Economy Base'!$E$105&gt;ROUND(((1-IntEconomyDiscount-IntEoncomyIncentive)*'Intl Economy Base'!E11),2),ROUND('Intl Economy Base'!$E$105*(1+International_Fuel_Surcharge),2),ROUND(((1-IntEconomyDiscount-IntEoncomyIncentive)*'Intl Economy Base'!E11)*(1+International_Fuel_Surcharge),2)))*(1+FedEx_Markup),2)</f>
        <v>62.59</v>
      </c>
      <c r="F14" s="307">
        <f>ROUND((IF('Intl Economy Base'!$F$105&gt;ROUND(((1-IntEconomyDiscount-IntEoncomyIncentive)*'Intl Economy Base'!F11),2),ROUND('Intl Economy Base'!$F$105*(1+International_Fuel_Surcharge),2),ROUND(((1-IntEconomyDiscount-IntEoncomyIncentive)*'Intl Economy Base'!F11)*(1+International_Fuel_Surcharge),2)))*(1+FedEx_Markup),2)</f>
        <v>100.27</v>
      </c>
      <c r="G14" s="307">
        <f>ROUND((IF('Intl Economy Base'!$G$105&gt;ROUND(((1-IntEconomyDiscount-IntEoncomyIncentive)*'Intl Economy Base'!G11),2),ROUND('Intl Economy Base'!$G$105*(1+International_Fuel_Surcharge),2),ROUND(((1-IntEconomyDiscount-IntEoncomyIncentive)*'Intl Economy Base'!G11)*(1+International_Fuel_Surcharge),2)))*(1+FedEx_Markup),2)</f>
        <v>67.489999999999995</v>
      </c>
      <c r="H14" s="307">
        <f>ROUND((IF('Intl Economy Base'!$H$105&gt;ROUND(((1-IntEconomyDiscount-IntEoncomyIncentive)*'Intl Economy Base'!H11),2),ROUND('Intl Economy Base'!$H$105*(1+International_Fuel_Surcharge),2),ROUND(((1-IntEconomyDiscount-IntEoncomyIncentive)*'Intl Economy Base'!H11)*(1+International_Fuel_Surcharge),2)))*(1+FedEx_Markup),2)</f>
        <v>68.150000000000006</v>
      </c>
      <c r="I14" s="307">
        <f>ROUND((IF('Intl Economy Base'!$I$105&gt;ROUND(((1-IntEconomyDiscount-IntEoncomyIncentive)*'Intl Economy Base'!I11),2),ROUND('Intl Economy Base'!$I$105*(1+International_Fuel_Surcharge),2),ROUND(((1-IntEconomyDiscount-IntEoncomyIncentive)*'Intl Economy Base'!I11)*(1+International_Fuel_Surcharge),2)))*(1+FedEx_Markup),2)</f>
        <v>73.14</v>
      </c>
      <c r="J14" s="307">
        <f>ROUND((IF('Intl Economy Base'!$J$105&gt;ROUND(((1-IntEconomyDiscount-IntEoncomyIncentive)*'Intl Economy Base'!J11),2),ROUND('Intl Economy Base'!$J$105*(1+International_Fuel_Surcharge),2),ROUND(((1-IntEconomyDiscount-IntEoncomyIncentive)*'Intl Economy Base'!J11)*(1+International_Fuel_Surcharge),2)))*(1+FedEx_Markup),2)</f>
        <v>50.8</v>
      </c>
      <c r="K14" s="307">
        <f>ROUND((IF('Intl Economy Base'!$K$105&gt;ROUND(((1-IntEconomyDiscount-IntEoncomyIncentive)*'Intl Economy Base'!K11),2),ROUND('Intl Economy Base'!$K$105*(1+International_Fuel_Surcharge),2),ROUND(((1-IntEconomyDiscount-IntEoncomyIncentive)*'Intl Economy Base'!K11)*(1+International_Fuel_Surcharge),2)))*(1+FedEx_Markup),2)</f>
        <v>87.81</v>
      </c>
      <c r="L14" s="307">
        <f>ROUND((IF('Intl Economy Base'!$L$105&gt;ROUND(((1-IntEconomyDiscount-IntEoncomyIncentive)*'Intl Economy Base'!L11),2),ROUND('Intl Economy Base'!$L$105*(1+International_Fuel_Surcharge),2),ROUND(((1-IntEconomyDiscount-IntEoncomyIncentive)*'Intl Economy Base'!L11)*(1+International_Fuel_Surcharge),2)))*(1+FedEx_Markup),2)</f>
        <v>78.5</v>
      </c>
      <c r="M14" s="307">
        <f>ROUND((IF('Intl Economy Base'!$M$105&gt;ROUND(((1-IntEconomyDiscount-IntEoncomyIncentive)*'Intl Economy Base'!M11),2),ROUND('Intl Economy Base'!$M$105*(1+International_Fuel_Surcharge),2),ROUND(((1-IntEconomyDiscount-IntEoncomyIncentive)*'Intl Economy Base'!M11)*(1+International_Fuel_Surcharge),2)))*(1+FedEx_Markup),2)</f>
        <v>114.66</v>
      </c>
      <c r="N14" s="307">
        <f>ROUND((IF('Intl Economy Base'!$N$105&gt;ROUND(((1-IntEconomyDiscount-IntEoncomyIncentive)*'Intl Economy Base'!N11),2),ROUND('Intl Economy Base'!$N$105*(1+International_Fuel_Surcharge),2),ROUND(((1-IntEconomyDiscount-IntEoncomyIncentive)*'Intl Economy Base'!N11)*(1+International_Fuel_Surcharge),2)))*(1+FedEx_Markup),2)</f>
        <v>110.53</v>
      </c>
      <c r="O14" s="307">
        <f>ROUND((IF('Intl Economy Base'!$O$105&gt;ROUND(((1-IntEconomyDiscount-IntEoncomyIncentive)*'Intl Economy Base'!O11),2),ROUND('Intl Economy Base'!$O$105*(1+International_Fuel_Surcharge),2),ROUND(((1-IntEconomyDiscount-IntEoncomyIncentive)*'Intl Economy Base'!O11)*(1+International_Fuel_Surcharge),2)))*(1+FedEx_Markup),2)</f>
        <v>75.39</v>
      </c>
      <c r="P14" s="307">
        <f>ROUND((IF('Intl Economy Base'!$P$105&gt;ROUND(((1-IntEconomyDiscount-IntEoncomyIncentive)*'Intl Economy Base'!P11),2),ROUND('Intl Economy Base'!$P$105*(1+International_Fuel_Surcharge),2),ROUND(((1-IntEconomyDiscount-IntEoncomyIncentive)*'Intl Economy Base'!P11)*(1+International_Fuel_Surcharge),2)))*(1+FedEx_Markup),2)</f>
        <v>75.87</v>
      </c>
      <c r="Q14" s="307">
        <f>ROUND((IF('Intl Economy Base'!$Q$105&gt;ROUND(((1-PuertoRicoDiscount)*'Intl Economy Base'!Q11),2),ROUND('Intl Economy Base'!$Q$105*(1+International_Fuel_Surcharge),2),ROUND(((1-PuertoRicoDiscount)*'Intl Economy Base'!Q11)*(1+International_Fuel_Surcharge),2)))*(1+FedEx_Markup),2)</f>
        <v>93.22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306">
        <v>10</v>
      </c>
      <c r="B15" s="307">
        <f>ROUND((IF('Intl Economy Base'!$B$105&gt;ROUND(((1-IntEconomyDiscount-IntEoncomyIncentive)*'Intl Economy Base'!B12),2),ROUND('Intl Economy Base'!$B$105*(1+International_Fuel_Surcharge),2),ROUND(((1-IntEconomyDiscount-IntEoncomyIncentive)*'Intl Economy Base'!B12)*(1+International_Fuel_Surcharge),2)))*(1+FedEx_Markup),2)</f>
        <v>43.54</v>
      </c>
      <c r="C15" s="307">
        <f>ROUND((IF('Intl Economy Base'!$C$105&gt;ROUND(((1-IntEconomyDiscount-IntEoncomyIncentive)*'Intl Economy Base'!C12),2),ROUND('Intl Economy Base'!$C$105*(1+International_Fuel_Surcharge),2),ROUND(((1-IntEconomyDiscount-IntEoncomyIncentive)*'Intl Economy Base'!C12)*(1+International_Fuel_Surcharge),2)))*(1+FedEx_Markup),2)</f>
        <v>52.58</v>
      </c>
      <c r="D15" s="307">
        <f>ROUND((IF('Intl Economy Base'!$D$105&gt;ROUND(((1-IntEconomyDiscount-IntEoncomyIncentive)*'Intl Economy Base'!D12),2),ROUND('Intl Economy Base'!$D$105*(1+International_Fuel_Surcharge),2),ROUND(((1-IntEconomyDiscount-IntEoncomyIncentive)*'Intl Economy Base'!D12)*(1+International_Fuel_Surcharge),2)))*(1+FedEx_Markup),2)</f>
        <v>47.36</v>
      </c>
      <c r="E15" s="307">
        <f>ROUND((IF('Intl Economy Base'!$E$105&gt;ROUND(((1-IntEconomyDiscount-IntEoncomyIncentive)*'Intl Economy Base'!E12),2),ROUND('Intl Economy Base'!$E$105*(1+International_Fuel_Surcharge),2),ROUND(((1-IntEconomyDiscount-IntEoncomyIncentive)*'Intl Economy Base'!E12)*(1+International_Fuel_Surcharge),2)))*(1+FedEx_Markup),2)</f>
        <v>62.86</v>
      </c>
      <c r="F15" s="307">
        <f>ROUND((IF('Intl Economy Base'!$F$105&gt;ROUND(((1-IntEconomyDiscount-IntEoncomyIncentive)*'Intl Economy Base'!F12),2),ROUND('Intl Economy Base'!$F$105*(1+International_Fuel_Surcharge),2),ROUND(((1-IntEconomyDiscount-IntEoncomyIncentive)*'Intl Economy Base'!F12)*(1+International_Fuel_Surcharge),2)))*(1+FedEx_Markup),2)</f>
        <v>101.34</v>
      </c>
      <c r="G15" s="307">
        <f>ROUND((IF('Intl Economy Base'!$G$105&gt;ROUND(((1-IntEconomyDiscount-IntEoncomyIncentive)*'Intl Economy Base'!G12),2),ROUND('Intl Economy Base'!$G$105*(1+International_Fuel_Surcharge),2),ROUND(((1-IntEconomyDiscount-IntEoncomyIncentive)*'Intl Economy Base'!G12)*(1+International_Fuel_Surcharge),2)))*(1+FedEx_Markup),2)</f>
        <v>67.67</v>
      </c>
      <c r="H15" s="307">
        <f>ROUND((IF('Intl Economy Base'!$H$105&gt;ROUND(((1-IntEconomyDiscount-IntEoncomyIncentive)*'Intl Economy Base'!H12),2),ROUND('Intl Economy Base'!$H$105*(1+International_Fuel_Surcharge),2),ROUND(((1-IntEconomyDiscount-IntEoncomyIncentive)*'Intl Economy Base'!H12)*(1+International_Fuel_Surcharge),2)))*(1+FedEx_Markup),2)</f>
        <v>69.14</v>
      </c>
      <c r="I15" s="307">
        <f>ROUND((IF('Intl Economy Base'!$I$105&gt;ROUND(((1-IntEconomyDiscount-IntEoncomyIncentive)*'Intl Economy Base'!I12),2),ROUND('Intl Economy Base'!$I$105*(1+International_Fuel_Surcharge),2),ROUND(((1-IntEconomyDiscount-IntEoncomyIncentive)*'Intl Economy Base'!I12)*(1+International_Fuel_Surcharge),2)))*(1+FedEx_Markup),2)</f>
        <v>73.55</v>
      </c>
      <c r="J15" s="307">
        <f>ROUND((IF('Intl Economy Base'!$J$105&gt;ROUND(((1-IntEconomyDiscount-IntEoncomyIncentive)*'Intl Economy Base'!J12),2),ROUND('Intl Economy Base'!$J$105*(1+International_Fuel_Surcharge),2),ROUND(((1-IntEconomyDiscount-IntEoncomyIncentive)*'Intl Economy Base'!J12)*(1+International_Fuel_Surcharge),2)))*(1+FedEx_Markup),2)</f>
        <v>53.29</v>
      </c>
      <c r="K15" s="307">
        <f>ROUND((IF('Intl Economy Base'!$K$105&gt;ROUND(((1-IntEconomyDiscount-IntEoncomyIncentive)*'Intl Economy Base'!K12),2),ROUND('Intl Economy Base'!$K$105*(1+International_Fuel_Surcharge),2),ROUND(((1-IntEconomyDiscount-IntEoncomyIncentive)*'Intl Economy Base'!K12)*(1+International_Fuel_Surcharge),2)))*(1+FedEx_Markup),2)</f>
        <v>88.62</v>
      </c>
      <c r="L15" s="307">
        <f>ROUND((IF('Intl Economy Base'!$L$105&gt;ROUND(((1-IntEconomyDiscount-IntEoncomyIncentive)*'Intl Economy Base'!L12),2),ROUND('Intl Economy Base'!$L$105*(1+International_Fuel_Surcharge),2),ROUND(((1-IntEconomyDiscount-IntEoncomyIncentive)*'Intl Economy Base'!L12)*(1+International_Fuel_Surcharge),2)))*(1+FedEx_Markup),2)</f>
        <v>79.400000000000006</v>
      </c>
      <c r="M15" s="307">
        <f>ROUND((IF('Intl Economy Base'!$M$105&gt;ROUND(((1-IntEconomyDiscount-IntEoncomyIncentive)*'Intl Economy Base'!M12),2),ROUND('Intl Economy Base'!$M$105*(1+International_Fuel_Surcharge),2),ROUND(((1-IntEconomyDiscount-IntEoncomyIncentive)*'Intl Economy Base'!M12)*(1+International_Fuel_Surcharge),2)))*(1+FedEx_Markup),2)</f>
        <v>115.93</v>
      </c>
      <c r="N15" s="307">
        <f>ROUND((IF('Intl Economy Base'!$N$105&gt;ROUND(((1-IntEconomyDiscount-IntEoncomyIncentive)*'Intl Economy Base'!N12),2),ROUND('Intl Economy Base'!$N$105*(1+International_Fuel_Surcharge),2),ROUND(((1-IntEconomyDiscount-IntEoncomyIncentive)*'Intl Economy Base'!N12)*(1+International_Fuel_Surcharge),2)))*(1+FedEx_Markup),2)</f>
        <v>112.02</v>
      </c>
      <c r="O15" s="307">
        <f>ROUND((IF('Intl Economy Base'!$O$105&gt;ROUND(((1-IntEconomyDiscount-IntEoncomyIncentive)*'Intl Economy Base'!O12),2),ROUND('Intl Economy Base'!$O$105*(1+International_Fuel_Surcharge),2),ROUND(((1-IntEconomyDiscount-IntEoncomyIncentive)*'Intl Economy Base'!O12)*(1+International_Fuel_Surcharge),2)))*(1+FedEx_Markup),2)</f>
        <v>78</v>
      </c>
      <c r="P15" s="307">
        <f>ROUND((IF('Intl Economy Base'!$P$105&gt;ROUND(((1-IntEconomyDiscount-IntEoncomyIncentive)*'Intl Economy Base'!P12),2),ROUND('Intl Economy Base'!$P$105*(1+International_Fuel_Surcharge),2),ROUND(((1-IntEconomyDiscount-IntEoncomyIncentive)*'Intl Economy Base'!P12)*(1+International_Fuel_Surcharge),2)))*(1+FedEx_Markup),2)</f>
        <v>76.540000000000006</v>
      </c>
      <c r="Q15" s="307">
        <f>ROUND((IF('Intl Economy Base'!$Q$105&gt;ROUND(((1-PuertoRicoDiscount)*'Intl Economy Base'!Q12),2),ROUND('Intl Economy Base'!$Q$105*(1+International_Fuel_Surcharge),2),ROUND(((1-PuertoRicoDiscount)*'Intl Economy Base'!Q12)*(1+International_Fuel_Surcharge),2)))*(1+FedEx_Markup),2)</f>
        <v>101.32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306">
        <v>11</v>
      </c>
      <c r="B16" s="307">
        <f>ROUND((IF('Intl Economy Base'!$B$105&gt;ROUND(((1-IntEconomyDiscount-IntEoncomyIncentive)*'Intl Economy Base'!B13),2),ROUND('Intl Economy Base'!$B$105*(1+International_Fuel_Surcharge),2),ROUND(((1-IntEconomyDiscount-IntEoncomyIncentive)*'Intl Economy Base'!B13)*(1+International_Fuel_Surcharge),2)))*(1+FedEx_Markup),2)</f>
        <v>43.63</v>
      </c>
      <c r="C16" s="307">
        <f>ROUND((IF('Intl Economy Base'!$C$105&gt;ROUND(((1-IntEconomyDiscount-IntEoncomyIncentive)*'Intl Economy Base'!C13),2),ROUND('Intl Economy Base'!$C$105*(1+International_Fuel_Surcharge),2),ROUND(((1-IntEconomyDiscount-IntEoncomyIncentive)*'Intl Economy Base'!C13)*(1+International_Fuel_Surcharge),2)))*(1+FedEx_Markup),2)</f>
        <v>53.23</v>
      </c>
      <c r="D16" s="307">
        <f>ROUND((IF('Intl Economy Base'!$D$105&gt;ROUND(((1-IntEconomyDiscount-IntEoncomyIncentive)*'Intl Economy Base'!D13),2),ROUND('Intl Economy Base'!$D$105*(1+International_Fuel_Surcharge),2),ROUND(((1-IntEconomyDiscount-IntEoncomyIncentive)*'Intl Economy Base'!D13)*(1+International_Fuel_Surcharge),2)))*(1+FedEx_Markup),2)</f>
        <v>53.48</v>
      </c>
      <c r="E16" s="307">
        <f>ROUND((IF('Intl Economy Base'!$E$105&gt;ROUND(((1-IntEconomyDiscount-IntEoncomyIncentive)*'Intl Economy Base'!E13),2),ROUND('Intl Economy Base'!$E$105*(1+International_Fuel_Surcharge),2),ROUND(((1-IntEconomyDiscount-IntEoncomyIncentive)*'Intl Economy Base'!E13)*(1+International_Fuel_Surcharge),2)))*(1+FedEx_Markup),2)</f>
        <v>68.25</v>
      </c>
      <c r="F16" s="307">
        <f>ROUND((IF('Intl Economy Base'!$F$105&gt;ROUND(((1-IntEconomyDiscount-IntEoncomyIncentive)*'Intl Economy Base'!F13),2),ROUND('Intl Economy Base'!$F$105*(1+International_Fuel_Surcharge),2),ROUND(((1-IntEconomyDiscount-IntEoncomyIncentive)*'Intl Economy Base'!F13)*(1+International_Fuel_Surcharge),2)))*(1+FedEx_Markup),2)</f>
        <v>101.53</v>
      </c>
      <c r="G16" s="307">
        <f>ROUND((IF('Intl Economy Base'!$G$105&gt;ROUND(((1-IntEconomyDiscount-IntEoncomyIncentive)*'Intl Economy Base'!G13),2),ROUND('Intl Economy Base'!$G$105*(1+International_Fuel_Surcharge),2),ROUND(((1-IntEconomyDiscount-IntEoncomyIncentive)*'Intl Economy Base'!G13)*(1+International_Fuel_Surcharge),2)))*(1+FedEx_Markup),2)</f>
        <v>68.45</v>
      </c>
      <c r="H16" s="307">
        <f>ROUND((IF('Intl Economy Base'!$H$105&gt;ROUND(((1-IntEconomyDiscount-IntEoncomyIncentive)*'Intl Economy Base'!H13),2),ROUND('Intl Economy Base'!$H$105*(1+International_Fuel_Surcharge),2),ROUND(((1-IntEconomyDiscount-IntEoncomyIncentive)*'Intl Economy Base'!H13)*(1+International_Fuel_Surcharge),2)))*(1+FedEx_Markup),2)</f>
        <v>69.290000000000006</v>
      </c>
      <c r="I16" s="307">
        <f>ROUND((IF('Intl Economy Base'!$I$105&gt;ROUND(((1-IntEconomyDiscount-IntEoncomyIncentive)*'Intl Economy Base'!I13),2),ROUND('Intl Economy Base'!$I$105*(1+International_Fuel_Surcharge),2),ROUND(((1-IntEconomyDiscount-IntEoncomyIncentive)*'Intl Economy Base'!I13)*(1+International_Fuel_Surcharge),2)))*(1+FedEx_Markup),2)</f>
        <v>74.77</v>
      </c>
      <c r="J16" s="307">
        <f>ROUND((IF('Intl Economy Base'!$J$105&gt;ROUND(((1-IntEconomyDiscount-IntEoncomyIncentive)*'Intl Economy Base'!J13),2),ROUND('Intl Economy Base'!$J$105*(1+International_Fuel_Surcharge),2),ROUND(((1-IntEconomyDiscount-IntEoncomyIncentive)*'Intl Economy Base'!J13)*(1+International_Fuel_Surcharge),2)))*(1+FedEx_Markup),2)</f>
        <v>57.83</v>
      </c>
      <c r="K16" s="307">
        <f>ROUND((IF('Intl Economy Base'!$K$105&gt;ROUND(((1-IntEconomyDiscount-IntEoncomyIncentive)*'Intl Economy Base'!K13),2),ROUND('Intl Economy Base'!$K$105*(1+International_Fuel_Surcharge),2),ROUND(((1-IntEconomyDiscount-IntEoncomyIncentive)*'Intl Economy Base'!K13)*(1+International_Fuel_Surcharge),2)))*(1+FedEx_Markup),2)</f>
        <v>91.21</v>
      </c>
      <c r="L16" s="307">
        <f>ROUND((IF('Intl Economy Base'!$L$105&gt;ROUND(((1-IntEconomyDiscount-IntEoncomyIncentive)*'Intl Economy Base'!L13),2),ROUND('Intl Economy Base'!$L$105*(1+International_Fuel_Surcharge),2),ROUND(((1-IntEconomyDiscount-IntEoncomyIncentive)*'Intl Economy Base'!L13)*(1+International_Fuel_Surcharge),2)))*(1+FedEx_Markup),2)</f>
        <v>80.239999999999995</v>
      </c>
      <c r="M16" s="307">
        <f>ROUND((IF('Intl Economy Base'!$M$105&gt;ROUND(((1-IntEconomyDiscount-IntEoncomyIncentive)*'Intl Economy Base'!M13),2),ROUND('Intl Economy Base'!$M$105*(1+International_Fuel_Surcharge),2),ROUND(((1-IntEconomyDiscount-IntEoncomyIncentive)*'Intl Economy Base'!M13)*(1+International_Fuel_Surcharge),2)))*(1+FedEx_Markup),2)</f>
        <v>121.67</v>
      </c>
      <c r="N16" s="307">
        <f>ROUND((IF('Intl Economy Base'!$N$105&gt;ROUND(((1-IntEconomyDiscount-IntEoncomyIncentive)*'Intl Economy Base'!N13),2),ROUND('Intl Economy Base'!$N$105*(1+International_Fuel_Surcharge),2),ROUND(((1-IntEconomyDiscount-IntEoncomyIncentive)*'Intl Economy Base'!N13)*(1+International_Fuel_Surcharge),2)))*(1+FedEx_Markup),2)</f>
        <v>112.25</v>
      </c>
      <c r="O16" s="307">
        <f>ROUND((IF('Intl Economy Base'!$O$105&gt;ROUND(((1-IntEconomyDiscount-IntEoncomyIncentive)*'Intl Economy Base'!O13),2),ROUND('Intl Economy Base'!$O$105*(1+International_Fuel_Surcharge),2),ROUND(((1-IntEconomyDiscount-IntEoncomyIncentive)*'Intl Economy Base'!O13)*(1+International_Fuel_Surcharge),2)))*(1+FedEx_Markup),2)</f>
        <v>78.27</v>
      </c>
      <c r="P16" s="307">
        <f>ROUND((IF('Intl Economy Base'!$P$105&gt;ROUND(((1-IntEconomyDiscount-IntEoncomyIncentive)*'Intl Economy Base'!P13),2),ROUND('Intl Economy Base'!$P$105*(1+International_Fuel_Surcharge),2),ROUND(((1-IntEconomyDiscount-IntEoncomyIncentive)*'Intl Economy Base'!P13)*(1+International_Fuel_Surcharge),2)))*(1+FedEx_Markup),2)</f>
        <v>80.87</v>
      </c>
      <c r="Q16" s="307">
        <f>ROUND((IF('Intl Economy Base'!$Q$105&gt;ROUND(((1-PuertoRicoDiscount)*'Intl Economy Base'!Q13),2),ROUND('Intl Economy Base'!$Q$105*(1+International_Fuel_Surcharge),2),ROUND(((1-PuertoRicoDiscount)*'Intl Economy Base'!Q13)*(1+International_Fuel_Surcharge),2)))*(1+FedEx_Markup),2)</f>
        <v>107.16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306">
        <v>12</v>
      </c>
      <c r="B17" s="307">
        <f>ROUND((IF('Intl Economy Base'!$B$105&gt;ROUND(((1-IntEconomyDiscount-IntEoncomyIncentive)*'Intl Economy Base'!B14),2),ROUND('Intl Economy Base'!$B$105*(1+International_Fuel_Surcharge),2),ROUND(((1-IntEconomyDiscount-IntEoncomyIncentive)*'Intl Economy Base'!B14)*(1+International_Fuel_Surcharge),2)))*(1+FedEx_Markup),2)</f>
        <v>44.05</v>
      </c>
      <c r="C17" s="307">
        <f>ROUND((IF('Intl Economy Base'!$C$105&gt;ROUND(((1-IntEconomyDiscount-IntEoncomyIncentive)*'Intl Economy Base'!C14),2),ROUND('Intl Economy Base'!$C$105*(1+International_Fuel_Surcharge),2),ROUND(((1-IntEconomyDiscount-IntEoncomyIncentive)*'Intl Economy Base'!C14)*(1+International_Fuel_Surcharge),2)))*(1+FedEx_Markup),2)</f>
        <v>54.49</v>
      </c>
      <c r="D17" s="307">
        <f>ROUND((IF('Intl Economy Base'!$D$105&gt;ROUND(((1-IntEconomyDiscount-IntEoncomyIncentive)*'Intl Economy Base'!D14),2),ROUND('Intl Economy Base'!$D$105*(1+International_Fuel_Surcharge),2),ROUND(((1-IntEconomyDiscount-IntEoncomyIncentive)*'Intl Economy Base'!D14)*(1+International_Fuel_Surcharge),2)))*(1+FedEx_Markup),2)</f>
        <v>54.57</v>
      </c>
      <c r="E17" s="307">
        <f>ROUND((IF('Intl Economy Base'!$E$105&gt;ROUND(((1-IntEconomyDiscount-IntEoncomyIncentive)*'Intl Economy Base'!E14),2),ROUND('Intl Economy Base'!$E$105*(1+International_Fuel_Surcharge),2),ROUND(((1-IntEconomyDiscount-IntEoncomyIncentive)*'Intl Economy Base'!E14)*(1+International_Fuel_Surcharge),2)))*(1+FedEx_Markup),2)</f>
        <v>68.98</v>
      </c>
      <c r="F17" s="307">
        <f>ROUND((IF('Intl Economy Base'!$F$105&gt;ROUND(((1-IntEconomyDiscount-IntEoncomyIncentive)*'Intl Economy Base'!F14),2),ROUND('Intl Economy Base'!$F$105*(1+International_Fuel_Surcharge),2),ROUND(((1-IntEconomyDiscount-IntEoncomyIncentive)*'Intl Economy Base'!F14)*(1+International_Fuel_Surcharge),2)))*(1+FedEx_Markup),2)</f>
        <v>105.12</v>
      </c>
      <c r="G17" s="307">
        <f>ROUND((IF('Intl Economy Base'!$G$105&gt;ROUND(((1-IntEconomyDiscount-IntEoncomyIncentive)*'Intl Economy Base'!G14),2),ROUND('Intl Economy Base'!$G$105*(1+International_Fuel_Surcharge),2),ROUND(((1-IntEconomyDiscount-IntEoncomyIncentive)*'Intl Economy Base'!G14)*(1+International_Fuel_Surcharge),2)))*(1+FedEx_Markup),2)</f>
        <v>69.52</v>
      </c>
      <c r="H17" s="307">
        <f>ROUND((IF('Intl Economy Base'!$H$105&gt;ROUND(((1-IntEconomyDiscount-IntEoncomyIncentive)*'Intl Economy Base'!H14),2),ROUND('Intl Economy Base'!$H$105*(1+International_Fuel_Surcharge),2),ROUND(((1-IntEconomyDiscount-IntEoncomyIncentive)*'Intl Economy Base'!H14)*(1+International_Fuel_Surcharge),2)))*(1+FedEx_Markup),2)</f>
        <v>70.48</v>
      </c>
      <c r="I17" s="307">
        <f>ROUND((IF('Intl Economy Base'!$I$105&gt;ROUND(((1-IntEconomyDiscount-IntEoncomyIncentive)*'Intl Economy Base'!I14),2),ROUND('Intl Economy Base'!$I$105*(1+International_Fuel_Surcharge),2),ROUND(((1-IntEconomyDiscount-IntEoncomyIncentive)*'Intl Economy Base'!I14)*(1+International_Fuel_Surcharge),2)))*(1+FedEx_Markup),2)</f>
        <v>75.56</v>
      </c>
      <c r="J17" s="307">
        <f>ROUND((IF('Intl Economy Base'!$J$105&gt;ROUND(((1-IntEconomyDiscount-IntEoncomyIncentive)*'Intl Economy Base'!J14),2),ROUND('Intl Economy Base'!$J$105*(1+International_Fuel_Surcharge),2),ROUND(((1-IntEconomyDiscount-IntEoncomyIncentive)*'Intl Economy Base'!J14)*(1+International_Fuel_Surcharge),2)))*(1+FedEx_Markup),2)</f>
        <v>58.28</v>
      </c>
      <c r="K17" s="307">
        <f>ROUND((IF('Intl Economy Base'!$K$105&gt;ROUND(((1-IntEconomyDiscount-IntEoncomyIncentive)*'Intl Economy Base'!K14),2),ROUND('Intl Economy Base'!$K$105*(1+International_Fuel_Surcharge),2),ROUND(((1-IntEconomyDiscount-IntEoncomyIncentive)*'Intl Economy Base'!K14)*(1+International_Fuel_Surcharge),2)))*(1+FedEx_Markup),2)</f>
        <v>92.84</v>
      </c>
      <c r="L17" s="307">
        <f>ROUND((IF('Intl Economy Base'!$L$105&gt;ROUND(((1-IntEconomyDiscount-IntEoncomyIncentive)*'Intl Economy Base'!L14),2),ROUND('Intl Economy Base'!$L$105*(1+International_Fuel_Surcharge),2),ROUND(((1-IntEconomyDiscount-IntEoncomyIncentive)*'Intl Economy Base'!L14)*(1+International_Fuel_Surcharge),2)))*(1+FedEx_Markup),2)</f>
        <v>81.36</v>
      </c>
      <c r="M17" s="307">
        <f>ROUND((IF('Intl Economy Base'!$M$105&gt;ROUND(((1-IntEconomyDiscount-IntEoncomyIncentive)*'Intl Economy Base'!M14),2),ROUND('Intl Economy Base'!$M$105*(1+International_Fuel_Surcharge),2),ROUND(((1-IntEconomyDiscount-IntEoncomyIncentive)*'Intl Economy Base'!M14)*(1+International_Fuel_Surcharge),2)))*(1+FedEx_Markup),2)</f>
        <v>122.98</v>
      </c>
      <c r="N17" s="307">
        <f>ROUND((IF('Intl Economy Base'!$N$105&gt;ROUND(((1-IntEconomyDiscount-IntEoncomyIncentive)*'Intl Economy Base'!N14),2),ROUND('Intl Economy Base'!$N$105*(1+International_Fuel_Surcharge),2),ROUND(((1-IntEconomyDiscount-IntEoncomyIncentive)*'Intl Economy Base'!N14)*(1+International_Fuel_Surcharge),2)))*(1+FedEx_Markup),2)</f>
        <v>113.99</v>
      </c>
      <c r="O17" s="307">
        <f>ROUND((IF('Intl Economy Base'!$O$105&gt;ROUND(((1-IntEconomyDiscount-IntEoncomyIncentive)*'Intl Economy Base'!O14),2),ROUND('Intl Economy Base'!$O$105*(1+International_Fuel_Surcharge),2),ROUND(((1-IntEconomyDiscount-IntEoncomyIncentive)*'Intl Economy Base'!O14)*(1+International_Fuel_Surcharge),2)))*(1+FedEx_Markup),2)</f>
        <v>79.41</v>
      </c>
      <c r="P17" s="307">
        <f>ROUND((IF('Intl Economy Base'!$P$105&gt;ROUND(((1-IntEconomyDiscount-IntEoncomyIncentive)*'Intl Economy Base'!P14),2),ROUND('Intl Economy Base'!$P$105*(1+International_Fuel_Surcharge),2),ROUND(((1-IntEconomyDiscount-IntEoncomyIncentive)*'Intl Economy Base'!P14)*(1+International_Fuel_Surcharge),2)))*(1+FedEx_Markup),2)</f>
        <v>81.31</v>
      </c>
      <c r="Q17" s="307">
        <f>ROUND((IF('Intl Economy Base'!$Q$105&gt;ROUND(((1-PuertoRicoDiscount)*'Intl Economy Base'!Q14),2),ROUND('Intl Economy Base'!$Q$105*(1+International_Fuel_Surcharge),2),ROUND(((1-PuertoRicoDiscount)*'Intl Economy Base'!Q14)*(1+International_Fuel_Surcharge),2)))*(1+FedEx_Markup),2)</f>
        <v>113.34</v>
      </c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06">
        <v>13</v>
      </c>
      <c r="B18" s="307">
        <f>ROUND((IF('Intl Economy Base'!$B$105&gt;ROUND(((1-IntEconomyDiscount-IntEoncomyIncentive)*'Intl Economy Base'!B15),2),ROUND('Intl Economy Base'!$B$105*(1+International_Fuel_Surcharge),2),ROUND(((1-IntEconomyDiscount-IntEoncomyIncentive)*'Intl Economy Base'!B15)*(1+International_Fuel_Surcharge),2)))*(1+FedEx_Markup),2)</f>
        <v>47.86</v>
      </c>
      <c r="C18" s="307">
        <f>ROUND((IF('Intl Economy Base'!$C$105&gt;ROUND(((1-IntEconomyDiscount-IntEoncomyIncentive)*'Intl Economy Base'!C15),2),ROUND('Intl Economy Base'!$C$105*(1+International_Fuel_Surcharge),2),ROUND(((1-IntEconomyDiscount-IntEoncomyIncentive)*'Intl Economy Base'!C15)*(1+International_Fuel_Surcharge),2)))*(1+FedEx_Markup),2)</f>
        <v>62.73</v>
      </c>
      <c r="D18" s="307">
        <f>ROUND((IF('Intl Economy Base'!$D$105&gt;ROUND(((1-IntEconomyDiscount-IntEoncomyIncentive)*'Intl Economy Base'!D15),2),ROUND('Intl Economy Base'!$D$105*(1+International_Fuel_Surcharge),2),ROUND(((1-IntEconomyDiscount-IntEoncomyIncentive)*'Intl Economy Base'!D15)*(1+International_Fuel_Surcharge),2)))*(1+FedEx_Markup),2)</f>
        <v>54.94</v>
      </c>
      <c r="E18" s="307">
        <f>ROUND((IF('Intl Economy Base'!$E$105&gt;ROUND(((1-IntEconomyDiscount-IntEoncomyIncentive)*'Intl Economy Base'!E15),2),ROUND('Intl Economy Base'!$E$105*(1+International_Fuel_Surcharge),2),ROUND(((1-IntEconomyDiscount-IntEoncomyIncentive)*'Intl Economy Base'!E15)*(1+International_Fuel_Surcharge),2)))*(1+FedEx_Markup),2)</f>
        <v>75.62</v>
      </c>
      <c r="F18" s="307">
        <f>ROUND((IF('Intl Economy Base'!$F$105&gt;ROUND(((1-IntEconomyDiscount-IntEoncomyIncentive)*'Intl Economy Base'!F15),2),ROUND('Intl Economy Base'!$F$105*(1+International_Fuel_Surcharge),2),ROUND(((1-IntEconomyDiscount-IntEoncomyIncentive)*'Intl Economy Base'!F15)*(1+International_Fuel_Surcharge),2)))*(1+FedEx_Markup),2)</f>
        <v>114.69</v>
      </c>
      <c r="G18" s="307">
        <f>ROUND((IF('Intl Economy Base'!$G$105&gt;ROUND(((1-IntEconomyDiscount-IntEoncomyIncentive)*'Intl Economy Base'!G15),2),ROUND('Intl Economy Base'!$G$105*(1+International_Fuel_Surcharge),2),ROUND(((1-IntEconomyDiscount-IntEoncomyIncentive)*'Intl Economy Base'!G15)*(1+International_Fuel_Surcharge),2)))*(1+FedEx_Markup),2)</f>
        <v>75.73</v>
      </c>
      <c r="H18" s="307">
        <f>ROUND((IF('Intl Economy Base'!$H$105&gt;ROUND(((1-IntEconomyDiscount-IntEoncomyIncentive)*'Intl Economy Base'!H15),2),ROUND('Intl Economy Base'!$H$105*(1+International_Fuel_Surcharge),2),ROUND(((1-IntEconomyDiscount-IntEoncomyIncentive)*'Intl Economy Base'!H15)*(1+International_Fuel_Surcharge),2)))*(1+FedEx_Markup),2)</f>
        <v>83.2</v>
      </c>
      <c r="I18" s="307">
        <f>ROUND((IF('Intl Economy Base'!$I$105&gt;ROUND(((1-IntEconomyDiscount-IntEoncomyIncentive)*'Intl Economy Base'!I15),2),ROUND('Intl Economy Base'!$I$105*(1+International_Fuel_Surcharge),2),ROUND(((1-IntEconomyDiscount-IntEoncomyIncentive)*'Intl Economy Base'!I15)*(1+International_Fuel_Surcharge),2)))*(1+FedEx_Markup),2)</f>
        <v>84.8</v>
      </c>
      <c r="J18" s="307">
        <f>ROUND((IF('Intl Economy Base'!$J$105&gt;ROUND(((1-IntEconomyDiscount-IntEoncomyIncentive)*'Intl Economy Base'!J15),2),ROUND('Intl Economy Base'!$J$105*(1+International_Fuel_Surcharge),2),ROUND(((1-IntEconomyDiscount-IntEoncomyIncentive)*'Intl Economy Base'!J15)*(1+International_Fuel_Surcharge),2)))*(1+FedEx_Markup),2)</f>
        <v>59.92</v>
      </c>
      <c r="K18" s="307">
        <f>ROUND((IF('Intl Economy Base'!$K$105&gt;ROUND(((1-IntEconomyDiscount-IntEoncomyIncentive)*'Intl Economy Base'!K15),2),ROUND('Intl Economy Base'!$K$105*(1+International_Fuel_Surcharge),2),ROUND(((1-IntEconomyDiscount-IntEoncomyIncentive)*'Intl Economy Base'!K15)*(1+International_Fuel_Surcharge),2)))*(1+FedEx_Markup),2)</f>
        <v>114.51</v>
      </c>
      <c r="L18" s="307">
        <f>ROUND((IF('Intl Economy Base'!$L$105&gt;ROUND(((1-IntEconomyDiscount-IntEoncomyIncentive)*'Intl Economy Base'!L15),2),ROUND('Intl Economy Base'!$L$105*(1+International_Fuel_Surcharge),2),ROUND(((1-IntEconomyDiscount-IntEoncomyIncentive)*'Intl Economy Base'!L15)*(1+International_Fuel_Surcharge),2)))*(1+FedEx_Markup),2)</f>
        <v>89.15</v>
      </c>
      <c r="M18" s="307">
        <f>ROUND((IF('Intl Economy Base'!$M$105&gt;ROUND(((1-IntEconomyDiscount-IntEoncomyIncentive)*'Intl Economy Base'!M15),2),ROUND('Intl Economy Base'!$M$105*(1+International_Fuel_Surcharge),2),ROUND(((1-IntEconomyDiscount-IntEoncomyIncentive)*'Intl Economy Base'!M15)*(1+International_Fuel_Surcharge),2)))*(1+FedEx_Markup),2)</f>
        <v>131.72999999999999</v>
      </c>
      <c r="N18" s="307">
        <f>ROUND((IF('Intl Economy Base'!$N$105&gt;ROUND(((1-IntEconomyDiscount-IntEoncomyIncentive)*'Intl Economy Base'!N15),2),ROUND('Intl Economy Base'!$N$105*(1+International_Fuel_Surcharge),2),ROUND(((1-IntEconomyDiscount-IntEoncomyIncentive)*'Intl Economy Base'!N15)*(1+International_Fuel_Surcharge),2)))*(1+FedEx_Markup),2)</f>
        <v>123.73</v>
      </c>
      <c r="O18" s="307">
        <f>ROUND((IF('Intl Economy Base'!$O$105&gt;ROUND(((1-IntEconomyDiscount-IntEoncomyIncentive)*'Intl Economy Base'!O15),2),ROUND('Intl Economy Base'!$O$105*(1+International_Fuel_Surcharge),2),ROUND(((1-IntEconomyDiscount-IntEoncomyIncentive)*'Intl Economy Base'!O15)*(1+International_Fuel_Surcharge),2)))*(1+FedEx_Markup),2)</f>
        <v>92.17</v>
      </c>
      <c r="P18" s="307">
        <f>ROUND((IF('Intl Economy Base'!$P$105&gt;ROUND(((1-IntEconomyDiscount-IntEoncomyIncentive)*'Intl Economy Base'!P15),2),ROUND('Intl Economy Base'!$P$105*(1+International_Fuel_Surcharge),2),ROUND(((1-IntEconomyDiscount-IntEoncomyIncentive)*'Intl Economy Base'!P15)*(1+International_Fuel_Surcharge),2)))*(1+FedEx_Markup),2)</f>
        <v>87.41</v>
      </c>
      <c r="Q18" s="307">
        <f>ROUND((IF('Intl Economy Base'!$Q$105&gt;ROUND(((1-PuertoRicoDiscount)*'Intl Economy Base'!Q15),2),ROUND('Intl Economy Base'!$Q$105*(1+International_Fuel_Surcharge),2),ROUND(((1-PuertoRicoDiscount)*'Intl Economy Base'!Q15)*(1+International_Fuel_Surcharge),2)))*(1+FedEx_Markup),2)</f>
        <v>117.48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306">
        <v>14</v>
      </c>
      <c r="B19" s="307">
        <f>ROUND((IF('Intl Economy Base'!$B$105&gt;ROUND(((1-IntEconomyDiscount-IntEoncomyIncentive)*'Intl Economy Base'!B16),2),ROUND('Intl Economy Base'!$B$105*(1+International_Fuel_Surcharge),2),ROUND(((1-IntEconomyDiscount-IntEoncomyIncentive)*'Intl Economy Base'!B16)*(1+International_Fuel_Surcharge),2)))*(1+FedEx_Markup),2)</f>
        <v>49.5</v>
      </c>
      <c r="C19" s="307">
        <f>ROUND((IF('Intl Economy Base'!$C$105&gt;ROUND(((1-IntEconomyDiscount-IntEoncomyIncentive)*'Intl Economy Base'!C16),2),ROUND('Intl Economy Base'!$C$105*(1+International_Fuel_Surcharge),2),ROUND(((1-IntEconomyDiscount-IntEoncomyIncentive)*'Intl Economy Base'!C16)*(1+International_Fuel_Surcharge),2)))*(1+FedEx_Markup),2)</f>
        <v>64.7</v>
      </c>
      <c r="D19" s="307">
        <f>ROUND((IF('Intl Economy Base'!$D$105&gt;ROUND(((1-IntEconomyDiscount-IntEoncomyIncentive)*'Intl Economy Base'!D16),2),ROUND('Intl Economy Base'!$D$105*(1+International_Fuel_Surcharge),2),ROUND(((1-IntEconomyDiscount-IntEoncomyIncentive)*'Intl Economy Base'!D16)*(1+International_Fuel_Surcharge),2)))*(1+FedEx_Markup),2)</f>
        <v>55.07</v>
      </c>
      <c r="E19" s="307">
        <f>ROUND((IF('Intl Economy Base'!$E$105&gt;ROUND(((1-IntEconomyDiscount-IntEoncomyIncentive)*'Intl Economy Base'!E16),2),ROUND('Intl Economy Base'!$E$105*(1+International_Fuel_Surcharge),2),ROUND(((1-IntEconomyDiscount-IntEoncomyIncentive)*'Intl Economy Base'!E16)*(1+International_Fuel_Surcharge),2)))*(1+FedEx_Markup),2)</f>
        <v>82.17</v>
      </c>
      <c r="F19" s="307">
        <f>ROUND((IF('Intl Economy Base'!$F$105&gt;ROUND(((1-IntEconomyDiscount-IntEoncomyIncentive)*'Intl Economy Base'!F16),2),ROUND('Intl Economy Base'!$F$105*(1+International_Fuel_Surcharge),2),ROUND(((1-IntEconomyDiscount-IntEoncomyIncentive)*'Intl Economy Base'!F16)*(1+International_Fuel_Surcharge),2)))*(1+FedEx_Markup),2)</f>
        <v>132.80000000000001</v>
      </c>
      <c r="G19" s="307">
        <f>ROUND((IF('Intl Economy Base'!$G$105&gt;ROUND(((1-IntEconomyDiscount-IntEoncomyIncentive)*'Intl Economy Base'!G16),2),ROUND('Intl Economy Base'!$G$105*(1+International_Fuel_Surcharge),2),ROUND(((1-IntEconomyDiscount-IntEoncomyIncentive)*'Intl Economy Base'!G16)*(1+International_Fuel_Surcharge),2)))*(1+FedEx_Markup),2)</f>
        <v>81.39</v>
      </c>
      <c r="H19" s="307">
        <f>ROUND((IF('Intl Economy Base'!$H$105&gt;ROUND(((1-IntEconomyDiscount-IntEoncomyIncentive)*'Intl Economy Base'!H16),2),ROUND('Intl Economy Base'!$H$105*(1+International_Fuel_Surcharge),2),ROUND(((1-IntEconomyDiscount-IntEoncomyIncentive)*'Intl Economy Base'!H16)*(1+International_Fuel_Surcharge),2)))*(1+FedEx_Markup),2)</f>
        <v>84.47</v>
      </c>
      <c r="I19" s="307">
        <f>ROUND((IF('Intl Economy Base'!$I$105&gt;ROUND(((1-IntEconomyDiscount-IntEoncomyIncentive)*'Intl Economy Base'!I16),2),ROUND('Intl Economy Base'!$I$105*(1+International_Fuel_Surcharge),2),ROUND(((1-IntEconomyDiscount-IntEoncomyIncentive)*'Intl Economy Base'!I16)*(1+International_Fuel_Surcharge),2)))*(1+FedEx_Markup),2)</f>
        <v>95.84</v>
      </c>
      <c r="J19" s="307">
        <f>ROUND((IF('Intl Economy Base'!$J$105&gt;ROUND(((1-IntEconomyDiscount-IntEoncomyIncentive)*'Intl Economy Base'!J16),2),ROUND('Intl Economy Base'!$J$105*(1+International_Fuel_Surcharge),2),ROUND(((1-IntEconomyDiscount-IntEoncomyIncentive)*'Intl Economy Base'!J16)*(1+International_Fuel_Surcharge),2)))*(1+FedEx_Markup),2)</f>
        <v>61.65</v>
      </c>
      <c r="K19" s="307">
        <f>ROUND((IF('Intl Economy Base'!$K$105&gt;ROUND(((1-IntEconomyDiscount-IntEoncomyIncentive)*'Intl Economy Base'!K16),2),ROUND('Intl Economy Base'!$K$105*(1+International_Fuel_Surcharge),2),ROUND(((1-IntEconomyDiscount-IntEoncomyIncentive)*'Intl Economy Base'!K16)*(1+International_Fuel_Surcharge),2)))*(1+FedEx_Markup),2)</f>
        <v>121.14</v>
      </c>
      <c r="L19" s="307">
        <f>ROUND((IF('Intl Economy Base'!$L$105&gt;ROUND(((1-IntEconomyDiscount-IntEoncomyIncentive)*'Intl Economy Base'!L16),2),ROUND('Intl Economy Base'!$L$105*(1+International_Fuel_Surcharge),2),ROUND(((1-IntEconomyDiscount-IntEoncomyIncentive)*'Intl Economy Base'!L16)*(1+International_Fuel_Surcharge),2)))*(1+FedEx_Markup),2)</f>
        <v>98.29</v>
      </c>
      <c r="M19" s="307">
        <f>ROUND((IF('Intl Economy Base'!$M$105&gt;ROUND(((1-IntEconomyDiscount-IntEoncomyIncentive)*'Intl Economy Base'!M16),2),ROUND('Intl Economy Base'!$M$105*(1+International_Fuel_Surcharge),2),ROUND(((1-IntEconomyDiscount-IntEoncomyIncentive)*'Intl Economy Base'!M16)*(1+International_Fuel_Surcharge),2)))*(1+FedEx_Markup),2)</f>
        <v>153.36000000000001</v>
      </c>
      <c r="N19" s="307">
        <f>ROUND((IF('Intl Economy Base'!$N$105&gt;ROUND(((1-IntEconomyDiscount-IntEoncomyIncentive)*'Intl Economy Base'!N16),2),ROUND('Intl Economy Base'!$N$105*(1+International_Fuel_Surcharge),2),ROUND(((1-IntEconomyDiscount-IntEoncomyIncentive)*'Intl Economy Base'!N16)*(1+International_Fuel_Surcharge),2)))*(1+FedEx_Markup),2)</f>
        <v>140.77000000000001</v>
      </c>
      <c r="O19" s="307">
        <f>ROUND((IF('Intl Economy Base'!$O$105&gt;ROUND(((1-IntEconomyDiscount-IntEoncomyIncentive)*'Intl Economy Base'!O16),2),ROUND('Intl Economy Base'!$O$105*(1+International_Fuel_Surcharge),2),ROUND(((1-IntEconomyDiscount-IntEoncomyIncentive)*'Intl Economy Base'!O16)*(1+International_Fuel_Surcharge),2)))*(1+FedEx_Markup),2)</f>
        <v>101.32</v>
      </c>
      <c r="P19" s="307">
        <f>ROUND((IF('Intl Economy Base'!$P$105&gt;ROUND(((1-IntEconomyDiscount-IntEoncomyIncentive)*'Intl Economy Base'!P16),2),ROUND('Intl Economy Base'!$P$105*(1+International_Fuel_Surcharge),2),ROUND(((1-IntEconomyDiscount-IntEoncomyIncentive)*'Intl Economy Base'!P16)*(1+International_Fuel_Surcharge),2)))*(1+FedEx_Markup),2)</f>
        <v>102.11</v>
      </c>
      <c r="Q19" s="307">
        <f>ROUND((IF('Intl Economy Base'!$Q$105&gt;ROUND(((1-PuertoRicoDiscount)*'Intl Economy Base'!Q16),2),ROUND('Intl Economy Base'!$Q$105*(1+International_Fuel_Surcharge),2),ROUND(((1-PuertoRicoDiscount)*'Intl Economy Base'!Q16)*(1+International_Fuel_Surcharge),2)))*(1+FedEx_Markup),2)</f>
        <v>122.02</v>
      </c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306">
        <v>15</v>
      </c>
      <c r="B20" s="307">
        <f>ROUND((IF('Intl Economy Base'!$B$105&gt;ROUND(((1-IntEconomyDiscount-IntEoncomyIncentive)*'Intl Economy Base'!B17),2),ROUND('Intl Economy Base'!$B$105*(1+International_Fuel_Surcharge),2),ROUND(((1-IntEconomyDiscount-IntEoncomyIncentive)*'Intl Economy Base'!B17)*(1+International_Fuel_Surcharge),2)))*(1+FedEx_Markup),2)</f>
        <v>52.61</v>
      </c>
      <c r="C20" s="307">
        <f>ROUND((IF('Intl Economy Base'!$C$105&gt;ROUND(((1-IntEconomyDiscount-IntEoncomyIncentive)*'Intl Economy Base'!C17),2),ROUND('Intl Economy Base'!$C$105*(1+International_Fuel_Surcharge),2),ROUND(((1-IntEconomyDiscount-IntEoncomyIncentive)*'Intl Economy Base'!C17)*(1+International_Fuel_Surcharge),2)))*(1+FedEx_Markup),2)</f>
        <v>68.09</v>
      </c>
      <c r="D20" s="307">
        <f>ROUND((IF('Intl Economy Base'!$D$105&gt;ROUND(((1-IntEconomyDiscount-IntEoncomyIncentive)*'Intl Economy Base'!D17),2),ROUND('Intl Economy Base'!$D$105*(1+International_Fuel_Surcharge),2),ROUND(((1-IntEconomyDiscount-IntEoncomyIncentive)*'Intl Economy Base'!D17)*(1+International_Fuel_Surcharge),2)))*(1+FedEx_Markup),2)</f>
        <v>57.9</v>
      </c>
      <c r="E20" s="307">
        <f>ROUND((IF('Intl Economy Base'!$E$105&gt;ROUND(((1-IntEconomyDiscount-IntEoncomyIncentive)*'Intl Economy Base'!E17),2),ROUND('Intl Economy Base'!$E$105*(1+International_Fuel_Surcharge),2),ROUND(((1-IntEconomyDiscount-IntEoncomyIncentive)*'Intl Economy Base'!E17)*(1+International_Fuel_Surcharge),2)))*(1+FedEx_Markup),2)</f>
        <v>84.33</v>
      </c>
      <c r="F20" s="307">
        <f>ROUND((IF('Intl Economy Base'!$F$105&gt;ROUND(((1-IntEconomyDiscount-IntEoncomyIncentive)*'Intl Economy Base'!F17),2),ROUND('Intl Economy Base'!$F$105*(1+International_Fuel_Surcharge),2),ROUND(((1-IntEconomyDiscount-IntEoncomyIncentive)*'Intl Economy Base'!F17)*(1+International_Fuel_Surcharge),2)))*(1+FedEx_Markup),2)</f>
        <v>146.72999999999999</v>
      </c>
      <c r="G20" s="307">
        <f>ROUND((IF('Intl Economy Base'!$G$105&gt;ROUND(((1-IntEconomyDiscount-IntEoncomyIncentive)*'Intl Economy Base'!G17),2),ROUND('Intl Economy Base'!$G$105*(1+International_Fuel_Surcharge),2),ROUND(((1-IntEconomyDiscount-IntEoncomyIncentive)*'Intl Economy Base'!G17)*(1+International_Fuel_Surcharge),2)))*(1+FedEx_Markup),2)</f>
        <v>81.95</v>
      </c>
      <c r="H20" s="307">
        <f>ROUND((IF('Intl Economy Base'!$H$105&gt;ROUND(((1-IntEconomyDiscount-IntEoncomyIncentive)*'Intl Economy Base'!H17),2),ROUND('Intl Economy Base'!$H$105*(1+International_Fuel_Surcharge),2),ROUND(((1-IntEconomyDiscount-IntEoncomyIncentive)*'Intl Economy Base'!H17)*(1+International_Fuel_Surcharge),2)))*(1+FedEx_Markup),2)</f>
        <v>84.64</v>
      </c>
      <c r="I20" s="307">
        <f>ROUND((IF('Intl Economy Base'!$I$105&gt;ROUND(((1-IntEconomyDiscount-IntEoncomyIncentive)*'Intl Economy Base'!I17),2),ROUND('Intl Economy Base'!$I$105*(1+International_Fuel_Surcharge),2),ROUND(((1-IntEconomyDiscount-IntEoncomyIncentive)*'Intl Economy Base'!I17)*(1+International_Fuel_Surcharge),2)))*(1+FedEx_Markup),2)</f>
        <v>101.02</v>
      </c>
      <c r="J20" s="307">
        <f>ROUND((IF('Intl Economy Base'!$J$105&gt;ROUND(((1-IntEconomyDiscount-IntEoncomyIncentive)*'Intl Economy Base'!J17),2),ROUND('Intl Economy Base'!$J$105*(1+International_Fuel_Surcharge),2),ROUND(((1-IntEconomyDiscount-IntEoncomyIncentive)*'Intl Economy Base'!J17)*(1+International_Fuel_Surcharge),2)))*(1+FedEx_Markup),2)</f>
        <v>63.92</v>
      </c>
      <c r="K20" s="307">
        <f>ROUND((IF('Intl Economy Base'!$K$105&gt;ROUND(((1-IntEconomyDiscount-IntEoncomyIncentive)*'Intl Economy Base'!K17),2),ROUND('Intl Economy Base'!$K$105*(1+International_Fuel_Surcharge),2),ROUND(((1-IntEconomyDiscount-IntEoncomyIncentive)*'Intl Economy Base'!K17)*(1+International_Fuel_Surcharge),2)))*(1+FedEx_Markup),2)</f>
        <v>124.92</v>
      </c>
      <c r="L20" s="307">
        <f>ROUND((IF('Intl Economy Base'!$L$105&gt;ROUND(((1-IntEconomyDiscount-IntEoncomyIncentive)*'Intl Economy Base'!L17),2),ROUND('Intl Economy Base'!$L$105*(1+International_Fuel_Surcharge),2),ROUND(((1-IntEconomyDiscount-IntEoncomyIncentive)*'Intl Economy Base'!L17)*(1+International_Fuel_Surcharge),2)))*(1+FedEx_Markup),2)</f>
        <v>99.21</v>
      </c>
      <c r="M20" s="307">
        <f>ROUND((IF('Intl Economy Base'!$M$105&gt;ROUND(((1-IntEconomyDiscount-IntEoncomyIncentive)*'Intl Economy Base'!M17),2),ROUND('Intl Economy Base'!$M$105*(1+International_Fuel_Surcharge),2),ROUND(((1-IntEconomyDiscount-IntEoncomyIncentive)*'Intl Economy Base'!M17)*(1+International_Fuel_Surcharge),2)))*(1+FedEx_Markup),2)</f>
        <v>155.53</v>
      </c>
      <c r="N20" s="307">
        <f>ROUND((IF('Intl Economy Base'!$N$105&gt;ROUND(((1-IntEconomyDiscount-IntEoncomyIncentive)*'Intl Economy Base'!N17),2),ROUND('Intl Economy Base'!$N$105*(1+International_Fuel_Surcharge),2),ROUND(((1-IntEconomyDiscount-IntEoncomyIncentive)*'Intl Economy Base'!N17)*(1+International_Fuel_Surcharge),2)))*(1+FedEx_Markup),2)</f>
        <v>142.47</v>
      </c>
      <c r="O20" s="307">
        <f>ROUND((IF('Intl Economy Base'!$O$105&gt;ROUND(((1-IntEconomyDiscount-IntEoncomyIncentive)*'Intl Economy Base'!O17),2),ROUND('Intl Economy Base'!$O$105*(1+International_Fuel_Surcharge),2),ROUND(((1-IntEconomyDiscount-IntEoncomyIncentive)*'Intl Economy Base'!O17)*(1+International_Fuel_Surcharge),2)))*(1+FedEx_Markup),2)</f>
        <v>104.96</v>
      </c>
      <c r="P20" s="307">
        <f>ROUND((IF('Intl Economy Base'!$P$105&gt;ROUND(((1-IntEconomyDiscount-IntEoncomyIncentive)*'Intl Economy Base'!P17),2),ROUND('Intl Economy Base'!$P$105*(1+International_Fuel_Surcharge),2),ROUND(((1-IntEconomyDiscount-IntEoncomyIncentive)*'Intl Economy Base'!P17)*(1+International_Fuel_Surcharge),2)))*(1+FedEx_Markup),2)</f>
        <v>112.9</v>
      </c>
      <c r="Q20" s="307">
        <f>ROUND((IF('Intl Economy Base'!$Q$105&gt;ROUND(((1-PuertoRicoDiscount)*'Intl Economy Base'!Q17),2),ROUND('Intl Economy Base'!$Q$105*(1+International_Fuel_Surcharge),2),ROUND(((1-PuertoRicoDiscount)*'Intl Economy Base'!Q17)*(1+International_Fuel_Surcharge),2)))*(1+FedEx_Markup),2)</f>
        <v>126.66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306">
        <v>16</v>
      </c>
      <c r="B21" s="307">
        <f>ROUND((IF('Intl Economy Base'!$B$105&gt;ROUND(((1-IntEconomyDiscount-IntEoncomyIncentive)*'Intl Economy Base'!B18),2),ROUND('Intl Economy Base'!$B$105*(1+International_Fuel_Surcharge),2),ROUND(((1-IntEconomyDiscount-IntEoncomyIncentive)*'Intl Economy Base'!B18)*(1+International_Fuel_Surcharge),2)))*(1+FedEx_Markup),2)</f>
        <v>55.07</v>
      </c>
      <c r="C21" s="307">
        <f>ROUND((IF('Intl Economy Base'!$C$105&gt;ROUND(((1-IntEconomyDiscount-IntEoncomyIncentive)*'Intl Economy Base'!C18),2),ROUND('Intl Economy Base'!$C$105*(1+International_Fuel_Surcharge),2),ROUND(((1-IntEconomyDiscount-IntEoncomyIncentive)*'Intl Economy Base'!C18)*(1+International_Fuel_Surcharge),2)))*(1+FedEx_Markup),2)</f>
        <v>69.62</v>
      </c>
      <c r="D21" s="307">
        <f>ROUND((IF('Intl Economy Base'!$D$105&gt;ROUND(((1-IntEconomyDiscount-IntEoncomyIncentive)*'Intl Economy Base'!D18),2),ROUND('Intl Economy Base'!$D$105*(1+International_Fuel_Surcharge),2),ROUND(((1-IntEconomyDiscount-IntEoncomyIncentive)*'Intl Economy Base'!D18)*(1+International_Fuel_Surcharge),2)))*(1+FedEx_Markup),2)</f>
        <v>58.19</v>
      </c>
      <c r="E21" s="307">
        <f>ROUND((IF('Intl Economy Base'!$E$105&gt;ROUND(((1-IntEconomyDiscount-IntEoncomyIncentive)*'Intl Economy Base'!E18),2),ROUND('Intl Economy Base'!$E$105*(1+International_Fuel_Surcharge),2),ROUND(((1-IntEconomyDiscount-IntEoncomyIncentive)*'Intl Economy Base'!E18)*(1+International_Fuel_Surcharge),2)))*(1+FedEx_Markup),2)</f>
        <v>90.97</v>
      </c>
      <c r="F21" s="307">
        <f>ROUND((IF('Intl Economy Base'!$F$105&gt;ROUND(((1-IntEconomyDiscount-IntEoncomyIncentive)*'Intl Economy Base'!F18),2),ROUND('Intl Economy Base'!$F$105*(1+International_Fuel_Surcharge),2),ROUND(((1-IntEconomyDiscount-IntEoncomyIncentive)*'Intl Economy Base'!F18)*(1+International_Fuel_Surcharge),2)))*(1+FedEx_Markup),2)</f>
        <v>148.12</v>
      </c>
      <c r="G21" s="307">
        <f>ROUND((IF('Intl Economy Base'!$G$105&gt;ROUND(((1-IntEconomyDiscount-IntEoncomyIncentive)*'Intl Economy Base'!G18),2),ROUND('Intl Economy Base'!$G$105*(1+International_Fuel_Surcharge),2),ROUND(((1-IntEconomyDiscount-IntEoncomyIncentive)*'Intl Economy Base'!G18)*(1+International_Fuel_Surcharge),2)))*(1+FedEx_Markup),2)</f>
        <v>87.02</v>
      </c>
      <c r="H21" s="307">
        <f>ROUND((IF('Intl Economy Base'!$H$105&gt;ROUND(((1-IntEconomyDiscount-IntEoncomyIncentive)*'Intl Economy Base'!H18),2),ROUND('Intl Economy Base'!$H$105*(1+International_Fuel_Surcharge),2),ROUND(((1-IntEconomyDiscount-IntEoncomyIncentive)*'Intl Economy Base'!H18)*(1+International_Fuel_Surcharge),2)))*(1+FedEx_Markup),2)</f>
        <v>84.81</v>
      </c>
      <c r="I21" s="307">
        <f>ROUND((IF('Intl Economy Base'!$I$105&gt;ROUND(((1-IntEconomyDiscount-IntEoncomyIncentive)*'Intl Economy Base'!I18),2),ROUND('Intl Economy Base'!$I$105*(1+International_Fuel_Surcharge),2),ROUND(((1-IntEconomyDiscount-IntEoncomyIncentive)*'Intl Economy Base'!I18)*(1+International_Fuel_Surcharge),2)))*(1+FedEx_Markup),2)</f>
        <v>101.55</v>
      </c>
      <c r="J21" s="307">
        <f>ROUND((IF('Intl Economy Base'!$J$105&gt;ROUND(((1-IntEconomyDiscount-IntEoncomyIncentive)*'Intl Economy Base'!J18),2),ROUND('Intl Economy Base'!$J$105*(1+International_Fuel_Surcharge),2),ROUND(((1-IntEconomyDiscount-IntEoncomyIncentive)*'Intl Economy Base'!J18)*(1+International_Fuel_Surcharge),2)))*(1+FedEx_Markup),2)</f>
        <v>72.23</v>
      </c>
      <c r="K21" s="307">
        <f>ROUND((IF('Intl Economy Base'!$K$105&gt;ROUND(((1-IntEconomyDiscount-IntEoncomyIncentive)*'Intl Economy Base'!K18),2),ROUND('Intl Economy Base'!$K$105*(1+International_Fuel_Surcharge),2),ROUND(((1-IntEconomyDiscount-IntEoncomyIncentive)*'Intl Economy Base'!K18)*(1+International_Fuel_Surcharge),2)))*(1+FedEx_Markup),2)</f>
        <v>133</v>
      </c>
      <c r="L21" s="307">
        <f>ROUND((IF('Intl Economy Base'!$L$105&gt;ROUND(((1-IntEconomyDiscount-IntEoncomyIncentive)*'Intl Economy Base'!L18),2),ROUND('Intl Economy Base'!$L$105*(1+International_Fuel_Surcharge),2),ROUND(((1-IntEconomyDiscount-IntEoncomyIncentive)*'Intl Economy Base'!L18)*(1+International_Fuel_Surcharge),2)))*(1+FedEx_Markup),2)</f>
        <v>110.73</v>
      </c>
      <c r="M21" s="307">
        <f>ROUND((IF('Intl Economy Base'!$M$105&gt;ROUND(((1-IntEconomyDiscount-IntEoncomyIncentive)*'Intl Economy Base'!M18),2),ROUND('Intl Economy Base'!$M$105*(1+International_Fuel_Surcharge),2),ROUND(((1-IntEconomyDiscount-IntEoncomyIncentive)*'Intl Economy Base'!M18)*(1+International_Fuel_Surcharge),2)))*(1+FedEx_Markup),2)</f>
        <v>161.61000000000001</v>
      </c>
      <c r="N21" s="307">
        <f>ROUND((IF('Intl Economy Base'!$N$105&gt;ROUND(((1-IntEconomyDiscount-IntEoncomyIncentive)*'Intl Economy Base'!N18),2),ROUND('Intl Economy Base'!$N$105*(1+International_Fuel_Surcharge),2),ROUND(((1-IntEconomyDiscount-IntEoncomyIncentive)*'Intl Economy Base'!N18)*(1+International_Fuel_Surcharge),2)))*(1+FedEx_Markup),2)</f>
        <v>142.91</v>
      </c>
      <c r="O21" s="307">
        <f>ROUND((IF('Intl Economy Base'!$O$105&gt;ROUND(((1-IntEconomyDiscount-IntEoncomyIncentive)*'Intl Economy Base'!O18),2),ROUND('Intl Economy Base'!$O$105*(1+International_Fuel_Surcharge),2),ROUND(((1-IntEconomyDiscount-IntEoncomyIncentive)*'Intl Economy Base'!O18)*(1+International_Fuel_Surcharge),2)))*(1+FedEx_Markup),2)</f>
        <v>106.93</v>
      </c>
      <c r="P21" s="307">
        <f>ROUND((IF('Intl Economy Base'!$P$105&gt;ROUND(((1-IntEconomyDiscount-IntEoncomyIncentive)*'Intl Economy Base'!P18),2),ROUND('Intl Economy Base'!$P$105*(1+International_Fuel_Surcharge),2),ROUND(((1-IntEconomyDiscount-IntEoncomyIncentive)*'Intl Economy Base'!P18)*(1+International_Fuel_Surcharge),2)))*(1+FedEx_Markup),2)</f>
        <v>118.48</v>
      </c>
      <c r="Q21" s="307">
        <f>ROUND((IF('Intl Economy Base'!$Q$105&gt;ROUND(((1-PuertoRicoDiscount)*'Intl Economy Base'!Q18),2),ROUND('Intl Economy Base'!$Q$105*(1+International_Fuel_Surcharge),2),ROUND(((1-PuertoRicoDiscount)*'Intl Economy Base'!Q18)*(1+International_Fuel_Surcharge),2)))*(1+FedEx_Markup),2)</f>
        <v>132.34</v>
      </c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306">
        <v>17</v>
      </c>
      <c r="B22" s="307">
        <f>ROUND((IF('Intl Economy Base'!$B$105&gt;ROUND(((1-IntEconomyDiscount-IntEoncomyIncentive)*'Intl Economy Base'!B19),2),ROUND('Intl Economy Base'!$B$105*(1+International_Fuel_Surcharge),2),ROUND(((1-IntEconomyDiscount-IntEoncomyIncentive)*'Intl Economy Base'!B19)*(1+International_Fuel_Surcharge),2)))*(1+FedEx_Markup),2)</f>
        <v>55.51</v>
      </c>
      <c r="C22" s="307">
        <f>ROUND((IF('Intl Economy Base'!$C$105&gt;ROUND(((1-IntEconomyDiscount-IntEoncomyIncentive)*'Intl Economy Base'!C19),2),ROUND('Intl Economy Base'!$C$105*(1+International_Fuel_Surcharge),2),ROUND(((1-IntEconomyDiscount-IntEoncomyIncentive)*'Intl Economy Base'!C19)*(1+International_Fuel_Surcharge),2)))*(1+FedEx_Markup),2)</f>
        <v>69.81</v>
      </c>
      <c r="D22" s="307">
        <f>ROUND((IF('Intl Economy Base'!$D$105&gt;ROUND(((1-IntEconomyDiscount-IntEoncomyIncentive)*'Intl Economy Base'!D19),2),ROUND('Intl Economy Base'!$D$105*(1+International_Fuel_Surcharge),2),ROUND(((1-IntEconomyDiscount-IntEoncomyIncentive)*'Intl Economy Base'!D19)*(1+International_Fuel_Surcharge),2)))*(1+FedEx_Markup),2)</f>
        <v>61.33</v>
      </c>
      <c r="E22" s="307">
        <f>ROUND((IF('Intl Economy Base'!$E$105&gt;ROUND(((1-IntEconomyDiscount-IntEoncomyIncentive)*'Intl Economy Base'!E19),2),ROUND('Intl Economy Base'!$E$105*(1+International_Fuel_Surcharge),2),ROUND(((1-IntEconomyDiscount-IntEoncomyIncentive)*'Intl Economy Base'!E19)*(1+International_Fuel_Surcharge),2)))*(1+FedEx_Markup),2)</f>
        <v>91.63</v>
      </c>
      <c r="F22" s="307">
        <f>ROUND((IF('Intl Economy Base'!$F$105&gt;ROUND(((1-IntEconomyDiscount-IntEoncomyIncentive)*'Intl Economy Base'!F19),2),ROUND('Intl Economy Base'!$F$105*(1+International_Fuel_Surcharge),2),ROUND(((1-IntEconomyDiscount-IntEoncomyIncentive)*'Intl Economy Base'!F19)*(1+International_Fuel_Surcharge),2)))*(1+FedEx_Markup),2)</f>
        <v>148.80000000000001</v>
      </c>
      <c r="G22" s="307">
        <f>ROUND((IF('Intl Economy Base'!$G$105&gt;ROUND(((1-IntEconomyDiscount-IntEoncomyIncentive)*'Intl Economy Base'!G19),2),ROUND('Intl Economy Base'!$G$105*(1+International_Fuel_Surcharge),2),ROUND(((1-IntEconomyDiscount-IntEoncomyIncentive)*'Intl Economy Base'!G19)*(1+International_Fuel_Surcharge),2)))*(1+FedEx_Markup),2)</f>
        <v>91.86</v>
      </c>
      <c r="H22" s="307">
        <f>ROUND((IF('Intl Economy Base'!$H$105&gt;ROUND(((1-IntEconomyDiscount-IntEoncomyIncentive)*'Intl Economy Base'!H19),2),ROUND('Intl Economy Base'!$H$105*(1+International_Fuel_Surcharge),2),ROUND(((1-IntEconomyDiscount-IntEoncomyIncentive)*'Intl Economy Base'!H19)*(1+International_Fuel_Surcharge),2)))*(1+FedEx_Markup),2)</f>
        <v>87.53</v>
      </c>
      <c r="I22" s="307">
        <f>ROUND((IF('Intl Economy Base'!$I$105&gt;ROUND(((1-IntEconomyDiscount-IntEoncomyIncentive)*'Intl Economy Base'!I19),2),ROUND('Intl Economy Base'!$I$105*(1+International_Fuel_Surcharge),2),ROUND(((1-IntEconomyDiscount-IntEoncomyIncentive)*'Intl Economy Base'!I19)*(1+International_Fuel_Surcharge),2)))*(1+FedEx_Markup),2)</f>
        <v>106.34</v>
      </c>
      <c r="J22" s="307">
        <f>ROUND((IF('Intl Economy Base'!$J$105&gt;ROUND(((1-IntEconomyDiscount-IntEoncomyIncentive)*'Intl Economy Base'!J19),2),ROUND('Intl Economy Base'!$J$105*(1+International_Fuel_Surcharge),2),ROUND(((1-IntEconomyDiscount-IntEoncomyIncentive)*'Intl Economy Base'!J19)*(1+International_Fuel_Surcharge),2)))*(1+FedEx_Markup),2)</f>
        <v>74.69</v>
      </c>
      <c r="K22" s="307">
        <f>ROUND((IF('Intl Economy Base'!$K$105&gt;ROUND(((1-IntEconomyDiscount-IntEoncomyIncentive)*'Intl Economy Base'!K19),2),ROUND('Intl Economy Base'!$K$105*(1+International_Fuel_Surcharge),2),ROUND(((1-IntEconomyDiscount-IntEoncomyIncentive)*'Intl Economy Base'!K19)*(1+International_Fuel_Surcharge),2)))*(1+FedEx_Markup),2)</f>
        <v>136.21</v>
      </c>
      <c r="L22" s="307">
        <f>ROUND((IF('Intl Economy Base'!$L$105&gt;ROUND(((1-IntEconomyDiscount-IntEoncomyIncentive)*'Intl Economy Base'!L19),2),ROUND('Intl Economy Base'!$L$105*(1+International_Fuel_Surcharge),2),ROUND(((1-IntEconomyDiscount-IntEoncomyIncentive)*'Intl Economy Base'!L19)*(1+International_Fuel_Surcharge),2)))*(1+FedEx_Markup),2)</f>
        <v>115.47</v>
      </c>
      <c r="M22" s="307">
        <f>ROUND((IF('Intl Economy Base'!$M$105&gt;ROUND(((1-IntEconomyDiscount-IntEoncomyIncentive)*'Intl Economy Base'!M19),2),ROUND('Intl Economy Base'!$M$105*(1+International_Fuel_Surcharge),2),ROUND(((1-IntEconomyDiscount-IntEoncomyIncentive)*'Intl Economy Base'!M19)*(1+International_Fuel_Surcharge),2)))*(1+FedEx_Markup),2)</f>
        <v>170.37</v>
      </c>
      <c r="N22" s="307">
        <f>ROUND((IF('Intl Economy Base'!$N$105&gt;ROUND(((1-IntEconomyDiscount-IntEoncomyIncentive)*'Intl Economy Base'!N19),2),ROUND('Intl Economy Base'!$N$105*(1+International_Fuel_Surcharge),2),ROUND(((1-IntEconomyDiscount-IntEoncomyIncentive)*'Intl Economy Base'!N19)*(1+International_Fuel_Surcharge),2)))*(1+FedEx_Markup),2)</f>
        <v>143.88</v>
      </c>
      <c r="O22" s="307">
        <f>ROUND((IF('Intl Economy Base'!$O$105&gt;ROUND(((1-IntEconomyDiscount-IntEoncomyIncentive)*'Intl Economy Base'!O19),2),ROUND('Intl Economy Base'!$O$105*(1+International_Fuel_Surcharge),2),ROUND(((1-IntEconomyDiscount-IntEoncomyIncentive)*'Intl Economy Base'!O19)*(1+International_Fuel_Surcharge),2)))*(1+FedEx_Markup),2)</f>
        <v>110.69</v>
      </c>
      <c r="P22" s="307">
        <f>ROUND((IF('Intl Economy Base'!$P$105&gt;ROUND(((1-IntEconomyDiscount-IntEoncomyIncentive)*'Intl Economy Base'!P19),2),ROUND('Intl Economy Base'!$P$105*(1+International_Fuel_Surcharge),2),ROUND(((1-IntEconomyDiscount-IntEoncomyIncentive)*'Intl Economy Base'!P19)*(1+International_Fuel_Surcharge),2)))*(1+FedEx_Markup),2)</f>
        <v>119.05</v>
      </c>
      <c r="Q22" s="307">
        <f>ROUND((IF('Intl Economy Base'!$Q$105&gt;ROUND(((1-PuertoRicoDiscount)*'Intl Economy Base'!Q19),2),ROUND('Intl Economy Base'!$Q$105*(1+International_Fuel_Surcharge),2),ROUND(((1-PuertoRicoDiscount)*'Intl Economy Base'!Q19)*(1+International_Fuel_Surcharge),2)))*(1+FedEx_Markup),2)</f>
        <v>137.86000000000001</v>
      </c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06">
        <v>18</v>
      </c>
      <c r="B23" s="307">
        <f>ROUND((IF('Intl Economy Base'!$B$105&gt;ROUND(((1-IntEconomyDiscount-IntEoncomyIncentive)*'Intl Economy Base'!B20),2),ROUND('Intl Economy Base'!$B$105*(1+International_Fuel_Surcharge),2),ROUND(((1-IntEconomyDiscount-IntEoncomyIncentive)*'Intl Economy Base'!B20)*(1+International_Fuel_Surcharge),2)))*(1+FedEx_Markup),2)</f>
        <v>56.97</v>
      </c>
      <c r="C23" s="307">
        <f>ROUND((IF('Intl Economy Base'!$C$105&gt;ROUND(((1-IntEconomyDiscount-IntEoncomyIncentive)*'Intl Economy Base'!C20),2),ROUND('Intl Economy Base'!$C$105*(1+International_Fuel_Surcharge),2),ROUND(((1-IntEconomyDiscount-IntEoncomyIncentive)*'Intl Economy Base'!C20)*(1+International_Fuel_Surcharge),2)))*(1+FedEx_Markup),2)</f>
        <v>71.540000000000006</v>
      </c>
      <c r="D23" s="307">
        <f>ROUND((IF('Intl Economy Base'!$D$105&gt;ROUND(((1-IntEconomyDiscount-IntEoncomyIncentive)*'Intl Economy Base'!D20),2),ROUND('Intl Economy Base'!$D$105*(1+International_Fuel_Surcharge),2),ROUND(((1-IntEconomyDiscount-IntEoncomyIncentive)*'Intl Economy Base'!D20)*(1+International_Fuel_Surcharge),2)))*(1+FedEx_Markup),2)</f>
        <v>61.77</v>
      </c>
      <c r="E23" s="307">
        <f>ROUND((IF('Intl Economy Base'!$E$105&gt;ROUND(((1-IntEconomyDiscount-IntEoncomyIncentive)*'Intl Economy Base'!E20),2),ROUND('Intl Economy Base'!$E$105*(1+International_Fuel_Surcharge),2),ROUND(((1-IntEconomyDiscount-IntEoncomyIncentive)*'Intl Economy Base'!E20)*(1+International_Fuel_Surcharge),2)))*(1+FedEx_Markup),2)</f>
        <v>91.82</v>
      </c>
      <c r="F23" s="307">
        <f>ROUND((IF('Intl Economy Base'!$F$105&gt;ROUND(((1-IntEconomyDiscount-IntEoncomyIncentive)*'Intl Economy Base'!F20),2),ROUND('Intl Economy Base'!$F$105*(1+International_Fuel_Surcharge),2),ROUND(((1-IntEconomyDiscount-IntEoncomyIncentive)*'Intl Economy Base'!F20)*(1+International_Fuel_Surcharge),2)))*(1+FedEx_Markup),2)</f>
        <v>162.32</v>
      </c>
      <c r="G23" s="307">
        <f>ROUND((IF('Intl Economy Base'!$G$105&gt;ROUND(((1-IntEconomyDiscount-IntEoncomyIncentive)*'Intl Economy Base'!G20),2),ROUND('Intl Economy Base'!$G$105*(1+International_Fuel_Surcharge),2),ROUND(((1-IntEconomyDiscount-IntEoncomyIncentive)*'Intl Economy Base'!G20)*(1+International_Fuel_Surcharge),2)))*(1+FedEx_Markup),2)</f>
        <v>92.36</v>
      </c>
      <c r="H23" s="307">
        <f>ROUND((IF('Intl Economy Base'!$H$105&gt;ROUND(((1-IntEconomyDiscount-IntEoncomyIncentive)*'Intl Economy Base'!H20),2),ROUND('Intl Economy Base'!$H$105*(1+International_Fuel_Surcharge),2),ROUND(((1-IntEconomyDiscount-IntEoncomyIncentive)*'Intl Economy Base'!H20)*(1+International_Fuel_Surcharge),2)))*(1+FedEx_Markup),2)</f>
        <v>95.14</v>
      </c>
      <c r="I23" s="307">
        <f>ROUND((IF('Intl Economy Base'!$I$105&gt;ROUND(((1-IntEconomyDiscount-IntEoncomyIncentive)*'Intl Economy Base'!I20),2),ROUND('Intl Economy Base'!$I$105*(1+International_Fuel_Surcharge),2),ROUND(((1-IntEconomyDiscount-IntEoncomyIncentive)*'Intl Economy Base'!I20)*(1+International_Fuel_Surcharge),2)))*(1+FedEx_Markup),2)</f>
        <v>110.53</v>
      </c>
      <c r="J23" s="307">
        <f>ROUND((IF('Intl Economy Base'!$J$105&gt;ROUND(((1-IntEconomyDiscount-IntEoncomyIncentive)*'Intl Economy Base'!J20),2),ROUND('Intl Economy Base'!$J$105*(1+International_Fuel_Surcharge),2),ROUND(((1-IntEconomyDiscount-IntEoncomyIncentive)*'Intl Economy Base'!J20)*(1+International_Fuel_Surcharge),2)))*(1+FedEx_Markup),2)</f>
        <v>74.95</v>
      </c>
      <c r="K23" s="307">
        <f>ROUND((IF('Intl Economy Base'!$K$105&gt;ROUND(((1-IntEconomyDiscount-IntEoncomyIncentive)*'Intl Economy Base'!K20),2),ROUND('Intl Economy Base'!$K$105*(1+International_Fuel_Surcharge),2),ROUND(((1-IntEconomyDiscount-IntEoncomyIncentive)*'Intl Economy Base'!K20)*(1+International_Fuel_Surcharge),2)))*(1+FedEx_Markup),2)</f>
        <v>138.79</v>
      </c>
      <c r="L23" s="307">
        <f>ROUND((IF('Intl Economy Base'!$L$105&gt;ROUND(((1-IntEconomyDiscount-IntEoncomyIncentive)*'Intl Economy Base'!L20),2),ROUND('Intl Economy Base'!$L$105*(1+International_Fuel_Surcharge),2),ROUND(((1-IntEconomyDiscount-IntEoncomyIncentive)*'Intl Economy Base'!L20)*(1+International_Fuel_Surcharge),2)))*(1+FedEx_Markup),2)</f>
        <v>118.69</v>
      </c>
      <c r="M23" s="307">
        <f>ROUND((IF('Intl Economy Base'!$M$105&gt;ROUND(((1-IntEconomyDiscount-IntEoncomyIncentive)*'Intl Economy Base'!M20),2),ROUND('Intl Economy Base'!$M$105*(1+International_Fuel_Surcharge),2),ROUND(((1-IntEconomyDiscount-IntEoncomyIncentive)*'Intl Economy Base'!M20)*(1+International_Fuel_Surcharge),2)))*(1+FedEx_Markup),2)</f>
        <v>184.1</v>
      </c>
      <c r="N23" s="307">
        <f>ROUND((IF('Intl Economy Base'!$N$105&gt;ROUND(((1-IntEconomyDiscount-IntEoncomyIncentive)*'Intl Economy Base'!N20),2),ROUND('Intl Economy Base'!$N$105*(1+International_Fuel_Surcharge),2),ROUND(((1-IntEconomyDiscount-IntEoncomyIncentive)*'Intl Economy Base'!N20)*(1+International_Fuel_Surcharge),2)))*(1+FedEx_Markup),2)</f>
        <v>163.28</v>
      </c>
      <c r="O23" s="307">
        <f>ROUND((IF('Intl Economy Base'!$O$105&gt;ROUND(((1-IntEconomyDiscount-IntEoncomyIncentive)*'Intl Economy Base'!O20),2),ROUND('Intl Economy Base'!$O$105*(1+International_Fuel_Surcharge),2),ROUND(((1-IntEconomyDiscount-IntEoncomyIncentive)*'Intl Economy Base'!O20)*(1+International_Fuel_Surcharge),2)))*(1+FedEx_Markup),2)</f>
        <v>112.5</v>
      </c>
      <c r="P23" s="307">
        <f>ROUND((IF('Intl Economy Base'!$P$105&gt;ROUND(((1-IntEconomyDiscount-IntEoncomyIncentive)*'Intl Economy Base'!P20),2),ROUND('Intl Economy Base'!$P$105*(1+International_Fuel_Surcharge),2),ROUND(((1-IntEconomyDiscount-IntEoncomyIncentive)*'Intl Economy Base'!P20)*(1+International_Fuel_Surcharge),2)))*(1+FedEx_Markup),2)</f>
        <v>125.37</v>
      </c>
      <c r="Q23" s="307">
        <f>ROUND((IF('Intl Economy Base'!$Q$105&gt;ROUND(((1-PuertoRicoDiscount)*'Intl Economy Base'!Q20),2),ROUND('Intl Economy Base'!$Q$105*(1+International_Fuel_Surcharge),2),ROUND(((1-PuertoRicoDiscount)*'Intl Economy Base'!Q20)*(1+International_Fuel_Surcharge),2)))*(1+FedEx_Markup),2)</f>
        <v>144.66</v>
      </c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306">
        <v>19</v>
      </c>
      <c r="B24" s="307">
        <f>ROUND((IF('Intl Economy Base'!$B$105&gt;ROUND(((1-IntEconomyDiscount-IntEoncomyIncentive)*'Intl Economy Base'!B21),2),ROUND('Intl Economy Base'!$B$105*(1+International_Fuel_Surcharge),2),ROUND(((1-IntEconomyDiscount-IntEoncomyIncentive)*'Intl Economy Base'!B21)*(1+International_Fuel_Surcharge),2)))*(1+FedEx_Markup),2)</f>
        <v>58.41</v>
      </c>
      <c r="C24" s="307">
        <f>ROUND((IF('Intl Economy Base'!$C$105&gt;ROUND(((1-IntEconomyDiscount-IntEoncomyIncentive)*'Intl Economy Base'!C21),2),ROUND('Intl Economy Base'!$C$105*(1+International_Fuel_Surcharge),2),ROUND(((1-IntEconomyDiscount-IntEoncomyIncentive)*'Intl Economy Base'!C21)*(1+International_Fuel_Surcharge),2)))*(1+FedEx_Markup),2)</f>
        <v>73.3</v>
      </c>
      <c r="D24" s="307">
        <f>ROUND((IF('Intl Economy Base'!$D$105&gt;ROUND(((1-IntEconomyDiscount-IntEoncomyIncentive)*'Intl Economy Base'!D21),2),ROUND('Intl Economy Base'!$D$105*(1+International_Fuel_Surcharge),2),ROUND(((1-IntEconomyDiscount-IntEoncomyIncentive)*'Intl Economy Base'!D21)*(1+International_Fuel_Surcharge),2)))*(1+FedEx_Markup),2)</f>
        <v>70.349999999999994</v>
      </c>
      <c r="E24" s="307">
        <f>ROUND((IF('Intl Economy Base'!$E$105&gt;ROUND(((1-IntEconomyDiscount-IntEoncomyIncentive)*'Intl Economy Base'!E21),2),ROUND('Intl Economy Base'!$E$105*(1+International_Fuel_Surcharge),2),ROUND(((1-IntEconomyDiscount-IntEoncomyIncentive)*'Intl Economy Base'!E21)*(1+International_Fuel_Surcharge),2)))*(1+FedEx_Markup),2)</f>
        <v>92.13</v>
      </c>
      <c r="F24" s="307">
        <f>ROUND((IF('Intl Economy Base'!$F$105&gt;ROUND(((1-IntEconomyDiscount-IntEoncomyIncentive)*'Intl Economy Base'!F21),2),ROUND('Intl Economy Base'!$F$105*(1+International_Fuel_Surcharge),2),ROUND(((1-IntEconomyDiscount-IntEoncomyIncentive)*'Intl Economy Base'!F21)*(1+International_Fuel_Surcharge),2)))*(1+FedEx_Markup),2)</f>
        <v>165.13</v>
      </c>
      <c r="G24" s="307">
        <f>ROUND((IF('Intl Economy Base'!$G$105&gt;ROUND(((1-IntEconomyDiscount-IntEoncomyIncentive)*'Intl Economy Base'!G21),2),ROUND('Intl Economy Base'!$G$105*(1+International_Fuel_Surcharge),2),ROUND(((1-IntEconomyDiscount-IntEoncomyIncentive)*'Intl Economy Base'!G21)*(1+International_Fuel_Surcharge),2)))*(1+FedEx_Markup),2)</f>
        <v>97.35</v>
      </c>
      <c r="H24" s="307">
        <f>ROUND((IF('Intl Economy Base'!$H$105&gt;ROUND(((1-IntEconomyDiscount-IntEoncomyIncentive)*'Intl Economy Base'!H21),2),ROUND('Intl Economy Base'!$H$105*(1+International_Fuel_Surcharge),2),ROUND(((1-IntEconomyDiscount-IntEoncomyIncentive)*'Intl Economy Base'!H21)*(1+International_Fuel_Surcharge),2)))*(1+FedEx_Markup),2)</f>
        <v>95.9</v>
      </c>
      <c r="I24" s="307">
        <f>ROUND((IF('Intl Economy Base'!$I$105&gt;ROUND(((1-IntEconomyDiscount-IntEoncomyIncentive)*'Intl Economy Base'!I21),2),ROUND('Intl Economy Base'!$I$105*(1+International_Fuel_Surcharge),2),ROUND(((1-IntEconomyDiscount-IntEoncomyIncentive)*'Intl Economy Base'!I21)*(1+International_Fuel_Surcharge),2)))*(1+FedEx_Markup),2)</f>
        <v>110.95</v>
      </c>
      <c r="J24" s="307">
        <f>ROUND((IF('Intl Economy Base'!$J$105&gt;ROUND(((1-IntEconomyDiscount-IntEoncomyIncentive)*'Intl Economy Base'!J21),2),ROUND('Intl Economy Base'!$J$105*(1+International_Fuel_Surcharge),2),ROUND(((1-IntEconomyDiscount-IntEoncomyIncentive)*'Intl Economy Base'!J21)*(1+International_Fuel_Surcharge),2)))*(1+FedEx_Markup),2)</f>
        <v>76.33</v>
      </c>
      <c r="K24" s="307">
        <f>ROUND((IF('Intl Economy Base'!$K$105&gt;ROUND(((1-IntEconomyDiscount-IntEoncomyIncentive)*'Intl Economy Base'!K21),2),ROUND('Intl Economy Base'!$K$105*(1+International_Fuel_Surcharge),2),ROUND(((1-IntEconomyDiscount-IntEoncomyIncentive)*'Intl Economy Base'!K21)*(1+International_Fuel_Surcharge),2)))*(1+FedEx_Markup),2)</f>
        <v>144.93</v>
      </c>
      <c r="L24" s="307">
        <f>ROUND((IF('Intl Economy Base'!$L$105&gt;ROUND(((1-IntEconomyDiscount-IntEoncomyIncentive)*'Intl Economy Base'!L21),2),ROUND('Intl Economy Base'!$L$105*(1+International_Fuel_Surcharge),2),ROUND(((1-IntEconomyDiscount-IntEoncomyIncentive)*'Intl Economy Base'!L21)*(1+International_Fuel_Surcharge),2)))*(1+FedEx_Markup),2)</f>
        <v>125.3</v>
      </c>
      <c r="M24" s="307">
        <f>ROUND((IF('Intl Economy Base'!$M$105&gt;ROUND(((1-IntEconomyDiscount-IntEoncomyIncentive)*'Intl Economy Base'!M21),2),ROUND('Intl Economy Base'!$M$105*(1+International_Fuel_Surcharge),2),ROUND(((1-IntEconomyDiscount-IntEoncomyIncentive)*'Intl Economy Base'!M21)*(1+International_Fuel_Surcharge),2)))*(1+FedEx_Markup),2)</f>
        <v>190.22</v>
      </c>
      <c r="N24" s="307">
        <f>ROUND((IF('Intl Economy Base'!$N$105&gt;ROUND(((1-IntEconomyDiscount-IntEoncomyIncentive)*'Intl Economy Base'!N21),2),ROUND('Intl Economy Base'!$N$105*(1+International_Fuel_Surcharge),2),ROUND(((1-IntEconomyDiscount-IntEoncomyIncentive)*'Intl Economy Base'!N21)*(1+International_Fuel_Surcharge),2)))*(1+FedEx_Markup),2)</f>
        <v>174.48</v>
      </c>
      <c r="O24" s="307">
        <f>ROUND((IF('Intl Economy Base'!$O$105&gt;ROUND(((1-IntEconomyDiscount-IntEoncomyIncentive)*'Intl Economy Base'!O21),2),ROUND('Intl Economy Base'!$O$105*(1+International_Fuel_Surcharge),2),ROUND(((1-IntEconomyDiscount-IntEoncomyIncentive)*'Intl Economy Base'!O21)*(1+International_Fuel_Surcharge),2)))*(1+FedEx_Markup),2)</f>
        <v>113.1</v>
      </c>
      <c r="P24" s="307">
        <f>ROUND((IF('Intl Economy Base'!$P$105&gt;ROUND(((1-IntEconomyDiscount-IntEoncomyIncentive)*'Intl Economy Base'!P21),2),ROUND('Intl Economy Base'!$P$105*(1+International_Fuel_Surcharge),2),ROUND(((1-IntEconomyDiscount-IntEoncomyIncentive)*'Intl Economy Base'!P21)*(1+International_Fuel_Surcharge),2)))*(1+FedEx_Markup),2)</f>
        <v>127.27</v>
      </c>
      <c r="Q24" s="307">
        <f>ROUND((IF('Intl Economy Base'!$Q$105&gt;ROUND(((1-PuertoRicoDiscount)*'Intl Economy Base'!Q21),2),ROUND('Intl Economy Base'!$Q$105*(1+International_Fuel_Surcharge),2),ROUND(((1-PuertoRicoDiscount)*'Intl Economy Base'!Q21)*(1+International_Fuel_Surcharge),2)))*(1+FedEx_Markup),2)</f>
        <v>152.29</v>
      </c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306">
        <v>20</v>
      </c>
      <c r="B25" s="307">
        <f>ROUND((IF('Intl Economy Base'!$B$105&gt;ROUND(((1-IntEconomyDiscount-IntEoncomyIncentive)*'Intl Economy Base'!B22),2),ROUND('Intl Economy Base'!$B$105*(1+International_Fuel_Surcharge),2),ROUND(((1-IntEconomyDiscount-IntEoncomyIncentive)*'Intl Economy Base'!B22)*(1+International_Fuel_Surcharge),2)))*(1+FedEx_Markup),2)</f>
        <v>59.87</v>
      </c>
      <c r="C25" s="307">
        <f>ROUND((IF('Intl Economy Base'!$C$105&gt;ROUND(((1-IntEconomyDiscount-IntEoncomyIncentive)*'Intl Economy Base'!C22),2),ROUND('Intl Economy Base'!$C$105*(1+International_Fuel_Surcharge),2),ROUND(((1-IntEconomyDiscount-IntEoncomyIncentive)*'Intl Economy Base'!C22)*(1+International_Fuel_Surcharge),2)))*(1+FedEx_Markup),2)</f>
        <v>75.05</v>
      </c>
      <c r="D25" s="307">
        <f>ROUND((IF('Intl Economy Base'!$D$105&gt;ROUND(((1-IntEconomyDiscount-IntEoncomyIncentive)*'Intl Economy Base'!D22),2),ROUND('Intl Economy Base'!$D$105*(1+International_Fuel_Surcharge),2),ROUND(((1-IntEconomyDiscount-IntEoncomyIncentive)*'Intl Economy Base'!D22)*(1+International_Fuel_Surcharge),2)))*(1+FedEx_Markup),2)</f>
        <v>71.84</v>
      </c>
      <c r="E25" s="307">
        <f>ROUND((IF('Intl Economy Base'!$E$105&gt;ROUND(((1-IntEconomyDiscount-IntEoncomyIncentive)*'Intl Economy Base'!E22),2),ROUND('Intl Economy Base'!$E$105*(1+International_Fuel_Surcharge),2),ROUND(((1-IntEconomyDiscount-IntEoncomyIncentive)*'Intl Economy Base'!E22)*(1+International_Fuel_Surcharge),2)))*(1+FedEx_Markup),2)</f>
        <v>98.21</v>
      </c>
      <c r="F25" s="307">
        <f>ROUND((IF('Intl Economy Base'!$F$105&gt;ROUND(((1-IntEconomyDiscount-IntEoncomyIncentive)*'Intl Economy Base'!F22),2),ROUND('Intl Economy Base'!$F$105*(1+International_Fuel_Surcharge),2),ROUND(((1-IntEconomyDiscount-IntEoncomyIncentive)*'Intl Economy Base'!F22)*(1+International_Fuel_Surcharge),2)))*(1+FedEx_Markup),2)</f>
        <v>183.69</v>
      </c>
      <c r="G25" s="307">
        <f>ROUND((IF('Intl Economy Base'!$G$105&gt;ROUND(((1-IntEconomyDiscount-IntEoncomyIncentive)*'Intl Economy Base'!G22),2),ROUND('Intl Economy Base'!$G$105*(1+International_Fuel_Surcharge),2),ROUND(((1-IntEconomyDiscount-IntEoncomyIncentive)*'Intl Economy Base'!G22)*(1+International_Fuel_Surcharge),2)))*(1+FedEx_Markup),2)</f>
        <v>100.5</v>
      </c>
      <c r="H25" s="307">
        <f>ROUND((IF('Intl Economy Base'!$H$105&gt;ROUND(((1-IntEconomyDiscount-IntEoncomyIncentive)*'Intl Economy Base'!H22),2),ROUND('Intl Economy Base'!$H$105*(1+International_Fuel_Surcharge),2),ROUND(((1-IntEconomyDiscount-IntEoncomyIncentive)*'Intl Economy Base'!H22)*(1+International_Fuel_Surcharge),2)))*(1+FedEx_Markup),2)</f>
        <v>96.13</v>
      </c>
      <c r="I25" s="307">
        <f>ROUND((IF('Intl Economy Base'!$I$105&gt;ROUND(((1-IntEconomyDiscount-IntEoncomyIncentive)*'Intl Economy Base'!I22),2),ROUND('Intl Economy Base'!$I$105*(1+International_Fuel_Surcharge),2),ROUND(((1-IntEconomyDiscount-IntEoncomyIncentive)*'Intl Economy Base'!I22)*(1+International_Fuel_Surcharge),2)))*(1+FedEx_Markup),2)</f>
        <v>111.35</v>
      </c>
      <c r="J25" s="307">
        <f>ROUND((IF('Intl Economy Base'!$J$105&gt;ROUND(((1-IntEconomyDiscount-IntEoncomyIncentive)*'Intl Economy Base'!J22),2),ROUND('Intl Economy Base'!$J$105*(1+International_Fuel_Surcharge),2),ROUND(((1-IntEconomyDiscount-IntEoncomyIncentive)*'Intl Economy Base'!J22)*(1+International_Fuel_Surcharge),2)))*(1+FedEx_Markup),2)</f>
        <v>76.64</v>
      </c>
      <c r="K25" s="307">
        <f>ROUND((IF('Intl Economy Base'!$K$105&gt;ROUND(((1-IntEconomyDiscount-IntEoncomyIncentive)*'Intl Economy Base'!K22),2),ROUND('Intl Economy Base'!$K$105*(1+International_Fuel_Surcharge),2),ROUND(((1-IntEconomyDiscount-IntEoncomyIncentive)*'Intl Economy Base'!K22)*(1+International_Fuel_Surcharge),2)))*(1+FedEx_Markup),2)</f>
        <v>146.1</v>
      </c>
      <c r="L25" s="307">
        <f>ROUND((IF('Intl Economy Base'!$L$105&gt;ROUND(((1-IntEconomyDiscount-IntEoncomyIncentive)*'Intl Economy Base'!L22),2),ROUND('Intl Economy Base'!$L$105*(1+International_Fuel_Surcharge),2),ROUND(((1-IntEconomyDiscount-IntEoncomyIncentive)*'Intl Economy Base'!L22)*(1+International_Fuel_Surcharge),2)))*(1+FedEx_Markup),2)</f>
        <v>125.96</v>
      </c>
      <c r="M25" s="307">
        <f>ROUND((IF('Intl Economy Base'!$M$105&gt;ROUND(((1-IntEconomyDiscount-IntEoncomyIncentive)*'Intl Economy Base'!M22),2),ROUND('Intl Economy Base'!$M$105*(1+International_Fuel_Surcharge),2),ROUND(((1-IntEconomyDiscount-IntEoncomyIncentive)*'Intl Economy Base'!M22)*(1+International_Fuel_Surcharge),2)))*(1+FedEx_Markup),2)</f>
        <v>190.84</v>
      </c>
      <c r="N25" s="307">
        <f>ROUND((IF('Intl Economy Base'!$N$105&gt;ROUND(((1-IntEconomyDiscount-IntEoncomyIncentive)*'Intl Economy Base'!N22),2),ROUND('Intl Economy Base'!$N$105*(1+International_Fuel_Surcharge),2),ROUND(((1-IntEconomyDiscount-IntEoncomyIncentive)*'Intl Economy Base'!N22)*(1+International_Fuel_Surcharge),2)))*(1+FedEx_Markup),2)</f>
        <v>176.41</v>
      </c>
      <c r="O25" s="307">
        <f>ROUND((IF('Intl Economy Base'!$O$105&gt;ROUND(((1-IntEconomyDiscount-IntEoncomyIncentive)*'Intl Economy Base'!O22),2),ROUND('Intl Economy Base'!$O$105*(1+International_Fuel_Surcharge),2),ROUND(((1-IntEconomyDiscount-IntEoncomyIncentive)*'Intl Economy Base'!O22)*(1+International_Fuel_Surcharge),2)))*(1+FedEx_Markup),2)</f>
        <v>124.94</v>
      </c>
      <c r="P25" s="307">
        <f>ROUND((IF('Intl Economy Base'!$P$105&gt;ROUND(((1-IntEconomyDiscount-IntEoncomyIncentive)*'Intl Economy Base'!P22),2),ROUND('Intl Economy Base'!$P$105*(1+International_Fuel_Surcharge),2),ROUND(((1-IntEconomyDiscount-IntEoncomyIncentive)*'Intl Economy Base'!P22)*(1+International_Fuel_Surcharge),2)))*(1+FedEx_Markup),2)</f>
        <v>129.54</v>
      </c>
      <c r="Q25" s="307">
        <f>ROUND((IF('Intl Economy Base'!$Q$105&gt;ROUND(((1-PuertoRicoDiscount)*'Intl Economy Base'!Q22),2),ROUND('Intl Economy Base'!$Q$105*(1+International_Fuel_Surcharge),2),ROUND(((1-PuertoRicoDiscount)*'Intl Economy Base'!Q22)*(1+International_Fuel_Surcharge),2)))*(1+FedEx_Markup),2)</f>
        <v>157.81</v>
      </c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306">
        <v>21</v>
      </c>
      <c r="B26" s="307">
        <f>ROUND((IF('Intl Economy Base'!$B$105&gt;ROUND(((1-IntEconomyDiscount-IntEoncomyIncentive)*'Intl Economy Base'!B23),2),ROUND('Intl Economy Base'!$B$105*(1+International_Fuel_Surcharge),2),ROUND(((1-IntEconomyDiscount-IntEoncomyIncentive)*'Intl Economy Base'!B23)*(1+International_Fuel_Surcharge),2)))*(1+FedEx_Markup),2)</f>
        <v>66.319999999999993</v>
      </c>
      <c r="C26" s="307">
        <f>ROUND((IF('Intl Economy Base'!$C$105&gt;ROUND(((1-IntEconomyDiscount-IntEoncomyIncentive)*'Intl Economy Base'!C23),2),ROUND('Intl Economy Base'!$C$105*(1+International_Fuel_Surcharge),2),ROUND(((1-IntEconomyDiscount-IntEoncomyIncentive)*'Intl Economy Base'!C23)*(1+International_Fuel_Surcharge),2)))*(1+FedEx_Markup),2)</f>
        <v>83.72</v>
      </c>
      <c r="D26" s="307">
        <f>ROUND((IF('Intl Economy Base'!$D$105&gt;ROUND(((1-IntEconomyDiscount-IntEoncomyIncentive)*'Intl Economy Base'!D23),2),ROUND('Intl Economy Base'!$D$105*(1+International_Fuel_Surcharge),2),ROUND(((1-IntEconomyDiscount-IntEoncomyIncentive)*'Intl Economy Base'!D23)*(1+International_Fuel_Surcharge),2)))*(1+FedEx_Markup),2)</f>
        <v>72.400000000000006</v>
      </c>
      <c r="E26" s="307">
        <f>ROUND((IF('Intl Economy Base'!$E$105&gt;ROUND(((1-IntEconomyDiscount-IntEoncomyIncentive)*'Intl Economy Base'!E23),2),ROUND('Intl Economy Base'!$E$105*(1+International_Fuel_Surcharge),2),ROUND(((1-IntEconomyDiscount-IntEoncomyIncentive)*'Intl Economy Base'!E23)*(1+International_Fuel_Surcharge),2)))*(1+FedEx_Markup),2)</f>
        <v>102.94</v>
      </c>
      <c r="F26" s="307">
        <f>ROUND((IF('Intl Economy Base'!$F$105&gt;ROUND(((1-IntEconomyDiscount-IntEoncomyIncentive)*'Intl Economy Base'!F23),2),ROUND('Intl Economy Base'!$F$105*(1+International_Fuel_Surcharge),2),ROUND(((1-IntEconomyDiscount-IntEoncomyIncentive)*'Intl Economy Base'!F23)*(1+International_Fuel_Surcharge),2)))*(1+FedEx_Markup),2)</f>
        <v>197.37</v>
      </c>
      <c r="G26" s="307">
        <f>ROUND((IF('Intl Economy Base'!$G$105&gt;ROUND(((1-IntEconomyDiscount-IntEoncomyIncentive)*'Intl Economy Base'!G23),2),ROUND('Intl Economy Base'!$G$105*(1+International_Fuel_Surcharge),2),ROUND(((1-IntEconomyDiscount-IntEoncomyIncentive)*'Intl Economy Base'!G23)*(1+International_Fuel_Surcharge),2)))*(1+FedEx_Markup),2)</f>
        <v>101.37</v>
      </c>
      <c r="H26" s="307">
        <f>ROUND((IF('Intl Economy Base'!$H$105&gt;ROUND(((1-IntEconomyDiscount-IntEoncomyIncentive)*'Intl Economy Base'!H23),2),ROUND('Intl Economy Base'!$H$105*(1+International_Fuel_Surcharge),2),ROUND(((1-IntEconomyDiscount-IntEoncomyIncentive)*'Intl Economy Base'!H23)*(1+International_Fuel_Surcharge),2)))*(1+FedEx_Markup),2)</f>
        <v>100.56</v>
      </c>
      <c r="I26" s="307">
        <f>ROUND((IF('Intl Economy Base'!$I$105&gt;ROUND(((1-IntEconomyDiscount-IntEoncomyIncentive)*'Intl Economy Base'!I23),2),ROUND('Intl Economy Base'!$I$105*(1+International_Fuel_Surcharge),2),ROUND(((1-IntEconomyDiscount-IntEoncomyIncentive)*'Intl Economy Base'!I23)*(1+International_Fuel_Surcharge),2)))*(1+FedEx_Markup),2)</f>
        <v>113.08</v>
      </c>
      <c r="J26" s="307">
        <f>ROUND((IF('Intl Economy Base'!$J$105&gt;ROUND(((1-IntEconomyDiscount-IntEoncomyIncentive)*'Intl Economy Base'!J23),2),ROUND('Intl Economy Base'!$J$105*(1+International_Fuel_Surcharge),2),ROUND(((1-IntEconomyDiscount-IntEoncomyIncentive)*'Intl Economy Base'!J23)*(1+International_Fuel_Surcharge),2)))*(1+FedEx_Markup),2)</f>
        <v>82.62</v>
      </c>
      <c r="K26" s="307">
        <f>ROUND((IF('Intl Economy Base'!$K$105&gt;ROUND(((1-IntEconomyDiscount-IntEoncomyIncentive)*'Intl Economy Base'!K23),2),ROUND('Intl Economy Base'!$K$105*(1+International_Fuel_Surcharge),2),ROUND(((1-IntEconomyDiscount-IntEoncomyIncentive)*'Intl Economy Base'!K23)*(1+International_Fuel_Surcharge),2)))*(1+FedEx_Markup),2)</f>
        <v>152.74</v>
      </c>
      <c r="L26" s="307">
        <f>ROUND((IF('Intl Economy Base'!$L$105&gt;ROUND(((1-IntEconomyDiscount-IntEoncomyIncentive)*'Intl Economy Base'!L23),2),ROUND('Intl Economy Base'!$L$105*(1+International_Fuel_Surcharge),2),ROUND(((1-IntEconomyDiscount-IntEoncomyIncentive)*'Intl Economy Base'!L23)*(1+International_Fuel_Surcharge),2)))*(1+FedEx_Markup),2)</f>
        <v>131.84</v>
      </c>
      <c r="M26" s="307">
        <f>ROUND((IF('Intl Economy Base'!$M$105&gt;ROUND(((1-IntEconomyDiscount-IntEoncomyIncentive)*'Intl Economy Base'!M23),2),ROUND('Intl Economy Base'!$M$105*(1+International_Fuel_Surcharge),2),ROUND(((1-IntEconomyDiscount-IntEoncomyIncentive)*'Intl Economy Base'!M23)*(1+International_Fuel_Surcharge),2)))*(1+FedEx_Markup),2)</f>
        <v>199.04</v>
      </c>
      <c r="N26" s="307">
        <f>ROUND((IF('Intl Economy Base'!$N$105&gt;ROUND(((1-IntEconomyDiscount-IntEoncomyIncentive)*'Intl Economy Base'!N23),2),ROUND('Intl Economy Base'!$N$105*(1+International_Fuel_Surcharge),2),ROUND(((1-IntEconomyDiscount-IntEoncomyIncentive)*'Intl Economy Base'!N23)*(1+International_Fuel_Surcharge),2)))*(1+FedEx_Markup),2)</f>
        <v>188.06</v>
      </c>
      <c r="O26" s="307">
        <f>ROUND((IF('Intl Economy Base'!$O$105&gt;ROUND(((1-IntEconomyDiscount-IntEoncomyIncentive)*'Intl Economy Base'!O23),2),ROUND('Intl Economy Base'!$O$105*(1+International_Fuel_Surcharge),2),ROUND(((1-IntEconomyDiscount-IntEoncomyIncentive)*'Intl Economy Base'!O23)*(1+International_Fuel_Surcharge),2)))*(1+FedEx_Markup),2)</f>
        <v>128.38999999999999</v>
      </c>
      <c r="P26" s="307">
        <f>ROUND((IF('Intl Economy Base'!$P$105&gt;ROUND(((1-IntEconomyDiscount-IntEoncomyIncentive)*'Intl Economy Base'!P23),2),ROUND('Intl Economy Base'!$P$105*(1+International_Fuel_Surcharge),2),ROUND(((1-IntEconomyDiscount-IntEoncomyIncentive)*'Intl Economy Base'!P23)*(1+International_Fuel_Surcharge),2)))*(1+FedEx_Markup),2)</f>
        <v>130.36000000000001</v>
      </c>
      <c r="Q26" s="307">
        <f>ROUND((IF('Intl Economy Base'!$Q$105&gt;ROUND(((1-PuertoRicoDiscount)*'Intl Economy Base'!Q23),2),ROUND('Intl Economy Base'!$Q$105*(1+International_Fuel_Surcharge),2),ROUND(((1-PuertoRicoDiscount)*'Intl Economy Base'!Q23)*(1+International_Fuel_Surcharge),2)))*(1+FedEx_Markup),2)</f>
        <v>163.69999999999999</v>
      </c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306">
        <v>22</v>
      </c>
      <c r="B27" s="307">
        <f>ROUND((IF('Intl Economy Base'!$B$105&gt;ROUND(((1-IntEconomyDiscount-IntEoncomyIncentive)*'Intl Economy Base'!B24),2),ROUND('Intl Economy Base'!$B$105*(1+International_Fuel_Surcharge),2),ROUND(((1-IntEconomyDiscount-IntEoncomyIncentive)*'Intl Economy Base'!B24)*(1+International_Fuel_Surcharge),2)))*(1+FedEx_Markup),2)</f>
        <v>66.959999999999994</v>
      </c>
      <c r="C27" s="307">
        <f>ROUND((IF('Intl Economy Base'!$C$105&gt;ROUND(((1-IntEconomyDiscount-IntEoncomyIncentive)*'Intl Economy Base'!C24),2),ROUND('Intl Economy Base'!$C$105*(1+International_Fuel_Surcharge),2),ROUND(((1-IntEconomyDiscount-IntEoncomyIncentive)*'Intl Economy Base'!C24)*(1+International_Fuel_Surcharge),2)))*(1+FedEx_Markup),2)</f>
        <v>84.61</v>
      </c>
      <c r="D27" s="307">
        <f>ROUND((IF('Intl Economy Base'!$D$105&gt;ROUND(((1-IntEconomyDiscount-IntEoncomyIncentive)*'Intl Economy Base'!D24),2),ROUND('Intl Economy Base'!$D$105*(1+International_Fuel_Surcharge),2),ROUND(((1-IntEconomyDiscount-IntEoncomyIncentive)*'Intl Economy Base'!D24)*(1+International_Fuel_Surcharge),2)))*(1+FedEx_Markup),2)</f>
        <v>72.709999999999994</v>
      </c>
      <c r="E27" s="307">
        <f>ROUND((IF('Intl Economy Base'!$E$105&gt;ROUND(((1-IntEconomyDiscount-IntEoncomyIncentive)*'Intl Economy Base'!E24),2),ROUND('Intl Economy Base'!$E$105*(1+International_Fuel_Surcharge),2),ROUND(((1-IntEconomyDiscount-IntEoncomyIncentive)*'Intl Economy Base'!E24)*(1+International_Fuel_Surcharge),2)))*(1+FedEx_Markup),2)</f>
        <v>103.41</v>
      </c>
      <c r="F27" s="307">
        <f>ROUND((IF('Intl Economy Base'!$F$105&gt;ROUND(((1-IntEconomyDiscount-IntEoncomyIncentive)*'Intl Economy Base'!F24),2),ROUND('Intl Economy Base'!$F$105*(1+International_Fuel_Surcharge),2),ROUND(((1-IntEconomyDiscount-IntEoncomyIncentive)*'Intl Economy Base'!F24)*(1+International_Fuel_Surcharge),2)))*(1+FedEx_Markup),2)</f>
        <v>201.31</v>
      </c>
      <c r="G27" s="307">
        <f>ROUND((IF('Intl Economy Base'!$G$105&gt;ROUND(((1-IntEconomyDiscount-IntEoncomyIncentive)*'Intl Economy Base'!G24),2),ROUND('Intl Economy Base'!$G$105*(1+International_Fuel_Surcharge),2),ROUND(((1-IntEconomyDiscount-IntEoncomyIncentive)*'Intl Economy Base'!G24)*(1+International_Fuel_Surcharge),2)))*(1+FedEx_Markup),2)</f>
        <v>101.45</v>
      </c>
      <c r="H27" s="307">
        <f>ROUND((IF('Intl Economy Base'!$H$105&gt;ROUND(((1-IntEconomyDiscount-IntEoncomyIncentive)*'Intl Economy Base'!H24),2),ROUND('Intl Economy Base'!$H$105*(1+International_Fuel_Surcharge),2),ROUND(((1-IntEconomyDiscount-IntEoncomyIncentive)*'Intl Economy Base'!H24)*(1+International_Fuel_Surcharge),2)))*(1+FedEx_Markup),2)</f>
        <v>105.18</v>
      </c>
      <c r="I27" s="307">
        <f>ROUND((IF('Intl Economy Base'!$I$105&gt;ROUND(((1-IntEconomyDiscount-IntEoncomyIncentive)*'Intl Economy Base'!I24),2),ROUND('Intl Economy Base'!$I$105*(1+International_Fuel_Surcharge),2),ROUND(((1-IntEconomyDiscount-IntEoncomyIncentive)*'Intl Economy Base'!I24)*(1+International_Fuel_Surcharge),2)))*(1+FedEx_Markup),2)</f>
        <v>113.25</v>
      </c>
      <c r="J27" s="307">
        <f>ROUND((IF('Intl Economy Base'!$J$105&gt;ROUND(((1-IntEconomyDiscount-IntEoncomyIncentive)*'Intl Economy Base'!J24),2),ROUND('Intl Economy Base'!$J$105*(1+International_Fuel_Surcharge),2),ROUND(((1-IntEconomyDiscount-IntEoncomyIncentive)*'Intl Economy Base'!J24)*(1+International_Fuel_Surcharge),2)))*(1+FedEx_Markup),2)</f>
        <v>87.17</v>
      </c>
      <c r="K27" s="307">
        <f>ROUND((IF('Intl Economy Base'!$K$105&gt;ROUND(((1-IntEconomyDiscount-IntEoncomyIncentive)*'Intl Economy Base'!K24),2),ROUND('Intl Economy Base'!$K$105*(1+International_Fuel_Surcharge),2),ROUND(((1-IntEconomyDiscount-IntEoncomyIncentive)*'Intl Economy Base'!K24)*(1+International_Fuel_Surcharge),2)))*(1+FedEx_Markup),2)</f>
        <v>153.41</v>
      </c>
      <c r="L27" s="307">
        <f>ROUND((IF('Intl Economy Base'!$L$105&gt;ROUND(((1-IntEconomyDiscount-IntEoncomyIncentive)*'Intl Economy Base'!L24),2),ROUND('Intl Economy Base'!$L$105*(1+International_Fuel_Surcharge),2),ROUND(((1-IntEconomyDiscount-IntEoncomyIncentive)*'Intl Economy Base'!L24)*(1+International_Fuel_Surcharge),2)))*(1+FedEx_Markup),2)</f>
        <v>132.41999999999999</v>
      </c>
      <c r="M27" s="307">
        <f>ROUND((IF('Intl Economy Base'!$M$105&gt;ROUND(((1-IntEconomyDiscount-IntEoncomyIncentive)*'Intl Economy Base'!M24),2),ROUND('Intl Economy Base'!$M$105*(1+International_Fuel_Surcharge),2),ROUND(((1-IntEconomyDiscount-IntEoncomyIncentive)*'Intl Economy Base'!M24)*(1+International_Fuel_Surcharge),2)))*(1+FedEx_Markup),2)</f>
        <v>205.14</v>
      </c>
      <c r="N27" s="307">
        <f>ROUND((IF('Intl Economy Base'!$N$105&gt;ROUND(((1-IntEconomyDiscount-IntEoncomyIncentive)*'Intl Economy Base'!N24),2),ROUND('Intl Economy Base'!$N$105*(1+International_Fuel_Surcharge),2),ROUND(((1-IntEconomyDiscount-IntEoncomyIncentive)*'Intl Economy Base'!N24)*(1+International_Fuel_Surcharge),2)))*(1+FedEx_Markup),2)</f>
        <v>189.22</v>
      </c>
      <c r="O27" s="307">
        <f>ROUND((IF('Intl Economy Base'!$O$105&gt;ROUND(((1-IntEconomyDiscount-IntEoncomyIncentive)*'Intl Economy Base'!O24),2),ROUND('Intl Economy Base'!$O$105*(1+International_Fuel_Surcharge),2),ROUND(((1-IntEconomyDiscount-IntEoncomyIncentive)*'Intl Economy Base'!O24)*(1+International_Fuel_Surcharge),2)))*(1+FedEx_Markup),2)</f>
        <v>128.74</v>
      </c>
      <c r="P27" s="307">
        <f>ROUND((IF('Intl Economy Base'!$P$105&gt;ROUND(((1-IntEconomyDiscount-IntEoncomyIncentive)*'Intl Economy Base'!P24),2),ROUND('Intl Economy Base'!$P$105*(1+International_Fuel_Surcharge),2),ROUND(((1-IntEconomyDiscount-IntEoncomyIncentive)*'Intl Economy Base'!P24)*(1+International_Fuel_Surcharge),2)))*(1+FedEx_Markup),2)</f>
        <v>130.44</v>
      </c>
      <c r="Q27" s="307">
        <f>ROUND((IF('Intl Economy Base'!$Q$105&gt;ROUND(((1-PuertoRicoDiscount)*'Intl Economy Base'!Q24),2),ROUND('Intl Economy Base'!$Q$105*(1+International_Fuel_Surcharge),2),ROUND(((1-PuertoRicoDiscount)*'Intl Economy Base'!Q24)*(1+International_Fuel_Surcharge),2)))*(1+FedEx_Markup),2)</f>
        <v>171.29</v>
      </c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306">
        <v>23</v>
      </c>
      <c r="B28" s="307">
        <f>ROUND((IF('Intl Economy Base'!$B$105&gt;ROUND(((1-IntEconomyDiscount-IntEoncomyIncentive)*'Intl Economy Base'!B25),2),ROUND('Intl Economy Base'!$B$105*(1+International_Fuel_Surcharge),2),ROUND(((1-IntEconomyDiscount-IntEoncomyIncentive)*'Intl Economy Base'!B25)*(1+International_Fuel_Surcharge),2)))*(1+FedEx_Markup),2)</f>
        <v>69.3</v>
      </c>
      <c r="C28" s="307">
        <f>ROUND((IF('Intl Economy Base'!$C$105&gt;ROUND(((1-IntEconomyDiscount-IntEoncomyIncentive)*'Intl Economy Base'!C25),2),ROUND('Intl Economy Base'!$C$105*(1+International_Fuel_Surcharge),2),ROUND(((1-IntEconomyDiscount-IntEoncomyIncentive)*'Intl Economy Base'!C25)*(1+International_Fuel_Surcharge),2)))*(1+FedEx_Markup),2)</f>
        <v>84.71</v>
      </c>
      <c r="D28" s="307">
        <f>ROUND((IF('Intl Economy Base'!$D$105&gt;ROUND(((1-IntEconomyDiscount-IntEoncomyIncentive)*'Intl Economy Base'!D25),2),ROUND('Intl Economy Base'!$D$105*(1+International_Fuel_Surcharge),2),ROUND(((1-IntEconomyDiscount-IntEoncomyIncentive)*'Intl Economy Base'!D25)*(1+International_Fuel_Surcharge),2)))*(1+FedEx_Markup),2)</f>
        <v>78.8</v>
      </c>
      <c r="E28" s="307">
        <f>ROUND((IF('Intl Economy Base'!$E$105&gt;ROUND(((1-IntEconomyDiscount-IntEoncomyIncentive)*'Intl Economy Base'!E25),2),ROUND('Intl Economy Base'!$E$105*(1+International_Fuel_Surcharge),2),ROUND(((1-IntEconomyDiscount-IntEoncomyIncentive)*'Intl Economy Base'!E25)*(1+International_Fuel_Surcharge),2)))*(1+FedEx_Markup),2)</f>
        <v>103.48</v>
      </c>
      <c r="F28" s="307">
        <f>ROUND((IF('Intl Economy Base'!$F$105&gt;ROUND(((1-IntEconomyDiscount-IntEoncomyIncentive)*'Intl Economy Base'!F25),2),ROUND('Intl Economy Base'!$F$105*(1+International_Fuel_Surcharge),2),ROUND(((1-IntEconomyDiscount-IntEoncomyIncentive)*'Intl Economy Base'!F25)*(1+International_Fuel_Surcharge),2)))*(1+FedEx_Markup),2)</f>
        <v>201.71</v>
      </c>
      <c r="G28" s="307">
        <f>ROUND((IF('Intl Economy Base'!$G$105&gt;ROUND(((1-IntEconomyDiscount-IntEoncomyIncentive)*'Intl Economy Base'!G25),2),ROUND('Intl Economy Base'!$G$105*(1+International_Fuel_Surcharge),2),ROUND(((1-IntEconomyDiscount-IntEoncomyIncentive)*'Intl Economy Base'!G25)*(1+International_Fuel_Surcharge),2)))*(1+FedEx_Markup),2)</f>
        <v>101.52</v>
      </c>
      <c r="H28" s="307">
        <f>ROUND((IF('Intl Economy Base'!$H$105&gt;ROUND(((1-IntEconomyDiscount-IntEoncomyIncentive)*'Intl Economy Base'!H25),2),ROUND('Intl Economy Base'!$H$105*(1+International_Fuel_Surcharge),2),ROUND(((1-IntEconomyDiscount-IntEoncomyIncentive)*'Intl Economy Base'!H25)*(1+International_Fuel_Surcharge),2)))*(1+FedEx_Markup),2)</f>
        <v>105.64</v>
      </c>
      <c r="I28" s="307">
        <f>ROUND((IF('Intl Economy Base'!$I$105&gt;ROUND(((1-IntEconomyDiscount-IntEoncomyIncentive)*'Intl Economy Base'!I25),2),ROUND('Intl Economy Base'!$I$105*(1+International_Fuel_Surcharge),2),ROUND(((1-IntEconomyDiscount-IntEoncomyIncentive)*'Intl Economy Base'!I25)*(1+International_Fuel_Surcharge),2)))*(1+FedEx_Markup),2)</f>
        <v>113.31</v>
      </c>
      <c r="J28" s="307">
        <f>ROUND((IF('Intl Economy Base'!$J$105&gt;ROUND(((1-IntEconomyDiscount-IntEoncomyIncentive)*'Intl Economy Base'!J25),2),ROUND('Intl Economy Base'!$J$105*(1+International_Fuel_Surcharge),2),ROUND(((1-IntEconomyDiscount-IntEoncomyIncentive)*'Intl Economy Base'!J25)*(1+International_Fuel_Surcharge),2)))*(1+FedEx_Markup),2)</f>
        <v>87.63</v>
      </c>
      <c r="K28" s="307">
        <f>ROUND((IF('Intl Economy Base'!$K$105&gt;ROUND(((1-IntEconomyDiscount-IntEoncomyIncentive)*'Intl Economy Base'!K25),2),ROUND('Intl Economy Base'!$K$105*(1+International_Fuel_Surcharge),2),ROUND(((1-IntEconomyDiscount-IntEoncomyIncentive)*'Intl Economy Base'!K25)*(1+International_Fuel_Surcharge),2)))*(1+FedEx_Markup),2)</f>
        <v>153.47999999999999</v>
      </c>
      <c r="L28" s="307">
        <f>ROUND((IF('Intl Economy Base'!$L$105&gt;ROUND(((1-IntEconomyDiscount-IntEoncomyIncentive)*'Intl Economy Base'!L25),2),ROUND('Intl Economy Base'!$L$105*(1+International_Fuel_Surcharge),2),ROUND(((1-IntEconomyDiscount-IntEoncomyIncentive)*'Intl Economy Base'!L25)*(1+International_Fuel_Surcharge),2)))*(1+FedEx_Markup),2)</f>
        <v>132.49</v>
      </c>
      <c r="M28" s="307">
        <f>ROUND((IF('Intl Economy Base'!$M$105&gt;ROUND(((1-IntEconomyDiscount-IntEoncomyIncentive)*'Intl Economy Base'!M25),2),ROUND('Intl Economy Base'!$M$105*(1+International_Fuel_Surcharge),2),ROUND(((1-IntEconomyDiscount-IntEoncomyIncentive)*'Intl Economy Base'!M25)*(1+International_Fuel_Surcharge),2)))*(1+FedEx_Markup),2)</f>
        <v>205.76</v>
      </c>
      <c r="N28" s="307">
        <f>ROUND((IF('Intl Economy Base'!$N$105&gt;ROUND(((1-IntEconomyDiscount-IntEoncomyIncentive)*'Intl Economy Base'!N25),2),ROUND('Intl Economy Base'!$N$105*(1+International_Fuel_Surcharge),2),ROUND(((1-IntEconomyDiscount-IntEoncomyIncentive)*'Intl Economy Base'!N25)*(1+International_Fuel_Surcharge),2)))*(1+FedEx_Markup),2)</f>
        <v>189.34</v>
      </c>
      <c r="O28" s="307">
        <f>ROUND((IF('Intl Economy Base'!$O$105&gt;ROUND(((1-IntEconomyDiscount-IntEoncomyIncentive)*'Intl Economy Base'!O25),2),ROUND('Intl Economy Base'!$O$105*(1+International_Fuel_Surcharge),2),ROUND(((1-IntEconomyDiscount-IntEoncomyIncentive)*'Intl Economy Base'!O25)*(1+International_Fuel_Surcharge),2)))*(1+FedEx_Markup),2)</f>
        <v>128.80000000000001</v>
      </c>
      <c r="P28" s="307">
        <f>ROUND((IF('Intl Economy Base'!$P$105&gt;ROUND(((1-IntEconomyDiscount-IntEoncomyIncentive)*'Intl Economy Base'!P25),2),ROUND('Intl Economy Base'!$P$105*(1+International_Fuel_Surcharge),2),ROUND(((1-IntEconomyDiscount-IntEoncomyIncentive)*'Intl Economy Base'!P25)*(1+International_Fuel_Surcharge),2)))*(1+FedEx_Markup),2)</f>
        <v>130.5</v>
      </c>
      <c r="Q28" s="307">
        <f>ROUND((IF('Intl Economy Base'!$Q$105&gt;ROUND(((1-PuertoRicoDiscount)*'Intl Economy Base'!Q25),2),ROUND('Intl Economy Base'!$Q$105*(1+International_Fuel_Surcharge),2),ROUND(((1-PuertoRicoDiscount)*'Intl Economy Base'!Q25)*(1+International_Fuel_Surcharge),2)))*(1+FedEx_Markup),2)</f>
        <v>177.61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306">
        <v>24</v>
      </c>
      <c r="B29" s="307">
        <f>ROUND((IF('Intl Economy Base'!$B$105&gt;ROUND(((1-IntEconomyDiscount-IntEoncomyIncentive)*'Intl Economy Base'!B26),2),ROUND('Intl Economy Base'!$B$105*(1+International_Fuel_Surcharge),2),ROUND(((1-IntEconomyDiscount-IntEoncomyIncentive)*'Intl Economy Base'!B26)*(1+International_Fuel_Surcharge),2)))*(1+FedEx_Markup),2)</f>
        <v>71.599999999999994</v>
      </c>
      <c r="C29" s="307">
        <f>ROUND((IF('Intl Economy Base'!$C$105&gt;ROUND(((1-IntEconomyDiscount-IntEoncomyIncentive)*'Intl Economy Base'!C26),2),ROUND('Intl Economy Base'!$C$105*(1+International_Fuel_Surcharge),2),ROUND(((1-IntEconomyDiscount-IntEoncomyIncentive)*'Intl Economy Base'!C26)*(1+International_Fuel_Surcharge),2)))*(1+FedEx_Markup),2)</f>
        <v>84.79</v>
      </c>
      <c r="D29" s="307">
        <f>ROUND((IF('Intl Economy Base'!$D$105&gt;ROUND(((1-IntEconomyDiscount-IntEoncomyIncentive)*'Intl Economy Base'!D26),2),ROUND('Intl Economy Base'!$D$105*(1+International_Fuel_Surcharge),2),ROUND(((1-IntEconomyDiscount-IntEoncomyIncentive)*'Intl Economy Base'!D26)*(1+International_Fuel_Surcharge),2)))*(1+FedEx_Markup),2)</f>
        <v>81.48</v>
      </c>
      <c r="E29" s="307">
        <f>ROUND((IF('Intl Economy Base'!$E$105&gt;ROUND(((1-IntEconomyDiscount-IntEoncomyIncentive)*'Intl Economy Base'!E26),2),ROUND('Intl Economy Base'!$E$105*(1+International_Fuel_Surcharge),2),ROUND(((1-IntEconomyDiscount-IntEoncomyIncentive)*'Intl Economy Base'!E26)*(1+International_Fuel_Surcharge),2)))*(1+FedEx_Markup),2)</f>
        <v>103.57</v>
      </c>
      <c r="F29" s="307">
        <f>ROUND((IF('Intl Economy Base'!$F$105&gt;ROUND(((1-IntEconomyDiscount-IntEoncomyIncentive)*'Intl Economy Base'!F26),2),ROUND('Intl Economy Base'!$F$105*(1+International_Fuel_Surcharge),2),ROUND(((1-IntEconomyDiscount-IntEoncomyIncentive)*'Intl Economy Base'!F26)*(1+International_Fuel_Surcharge),2)))*(1+FedEx_Markup),2)</f>
        <v>201.84</v>
      </c>
      <c r="G29" s="307">
        <f>ROUND((IF('Intl Economy Base'!$G$105&gt;ROUND(((1-IntEconomyDiscount-IntEoncomyIncentive)*'Intl Economy Base'!G26),2),ROUND('Intl Economy Base'!$G$105*(1+International_Fuel_Surcharge),2),ROUND(((1-IntEconomyDiscount-IntEoncomyIncentive)*'Intl Economy Base'!G26)*(1+International_Fuel_Surcharge),2)))*(1+FedEx_Markup),2)</f>
        <v>101.6</v>
      </c>
      <c r="H29" s="307">
        <f>ROUND((IF('Intl Economy Base'!$H$105&gt;ROUND(((1-IntEconomyDiscount-IntEoncomyIncentive)*'Intl Economy Base'!H26),2),ROUND('Intl Economy Base'!$H$105*(1+International_Fuel_Surcharge),2),ROUND(((1-IntEconomyDiscount-IntEoncomyIncentive)*'Intl Economy Base'!H26)*(1+International_Fuel_Surcharge),2)))*(1+FedEx_Markup),2)</f>
        <v>105.72</v>
      </c>
      <c r="I29" s="307">
        <f>ROUND((IF('Intl Economy Base'!$I$105&gt;ROUND(((1-IntEconomyDiscount-IntEoncomyIncentive)*'Intl Economy Base'!I26),2),ROUND('Intl Economy Base'!$I$105*(1+International_Fuel_Surcharge),2),ROUND(((1-IntEconomyDiscount-IntEoncomyIncentive)*'Intl Economy Base'!I26)*(1+International_Fuel_Surcharge),2)))*(1+FedEx_Markup),2)</f>
        <v>113.42</v>
      </c>
      <c r="J29" s="307">
        <f>ROUND((IF('Intl Economy Base'!$J$105&gt;ROUND(((1-IntEconomyDiscount-IntEoncomyIncentive)*'Intl Economy Base'!J26),2),ROUND('Intl Economy Base'!$J$105*(1+International_Fuel_Surcharge),2),ROUND(((1-IntEconomyDiscount-IntEoncomyIncentive)*'Intl Economy Base'!J26)*(1+International_Fuel_Surcharge),2)))*(1+FedEx_Markup),2)</f>
        <v>87.86</v>
      </c>
      <c r="K29" s="307">
        <f>ROUND((IF('Intl Economy Base'!$K$105&gt;ROUND(((1-IntEconomyDiscount-IntEoncomyIncentive)*'Intl Economy Base'!K26),2),ROUND('Intl Economy Base'!$K$105*(1+International_Fuel_Surcharge),2),ROUND(((1-IntEconomyDiscount-IntEoncomyIncentive)*'Intl Economy Base'!K26)*(1+International_Fuel_Surcharge),2)))*(1+FedEx_Markup),2)</f>
        <v>153.62</v>
      </c>
      <c r="L29" s="307">
        <f>ROUND((IF('Intl Economy Base'!$L$105&gt;ROUND(((1-IntEconomyDiscount-IntEoncomyIncentive)*'Intl Economy Base'!L26),2),ROUND('Intl Economy Base'!$L$105*(1+International_Fuel_Surcharge),2),ROUND(((1-IntEconomyDiscount-IntEoncomyIncentive)*'Intl Economy Base'!L26)*(1+International_Fuel_Surcharge),2)))*(1+FedEx_Markup),2)</f>
        <v>132.58000000000001</v>
      </c>
      <c r="M29" s="307">
        <f>ROUND((IF('Intl Economy Base'!$M$105&gt;ROUND(((1-IntEconomyDiscount-IntEoncomyIncentive)*'Intl Economy Base'!M26),2),ROUND('Intl Economy Base'!$M$105*(1+International_Fuel_Surcharge),2),ROUND(((1-IntEconomyDiscount-IntEoncomyIncentive)*'Intl Economy Base'!M26)*(1+International_Fuel_Surcharge),2)))*(1+FedEx_Markup),2)</f>
        <v>210.76</v>
      </c>
      <c r="N29" s="307">
        <f>ROUND((IF('Intl Economy Base'!$N$105&gt;ROUND(((1-IntEconomyDiscount-IntEoncomyIncentive)*'Intl Economy Base'!N26),2),ROUND('Intl Economy Base'!$N$105*(1+International_Fuel_Surcharge),2),ROUND(((1-IntEconomyDiscount-IntEoncomyIncentive)*'Intl Economy Base'!N26)*(1+International_Fuel_Surcharge),2)))*(1+FedEx_Markup),2)</f>
        <v>189.42</v>
      </c>
      <c r="O29" s="307">
        <f>ROUND((IF('Intl Economy Base'!$O$105&gt;ROUND(((1-IntEconomyDiscount-IntEoncomyIncentive)*'Intl Economy Base'!O26),2),ROUND('Intl Economy Base'!$O$105*(1+International_Fuel_Surcharge),2),ROUND(((1-IntEconomyDiscount-IntEoncomyIncentive)*'Intl Economy Base'!O26)*(1+International_Fuel_Surcharge),2)))*(1+FedEx_Markup),2)</f>
        <v>128.91999999999999</v>
      </c>
      <c r="P29" s="307">
        <f>ROUND((IF('Intl Economy Base'!$P$105&gt;ROUND(((1-IntEconomyDiscount-IntEoncomyIncentive)*'Intl Economy Base'!P26),2),ROUND('Intl Economy Base'!$P$105*(1+International_Fuel_Surcharge),2),ROUND(((1-IntEconomyDiscount-IntEoncomyIncentive)*'Intl Economy Base'!P26)*(1+International_Fuel_Surcharge),2)))*(1+FedEx_Markup),2)</f>
        <v>130.61000000000001</v>
      </c>
      <c r="Q29" s="307">
        <f>ROUND((IF('Intl Economy Base'!$Q$105&gt;ROUND(((1-PuertoRicoDiscount)*'Intl Economy Base'!Q26),2),ROUND('Intl Economy Base'!$Q$105*(1+International_Fuel_Surcharge),2),ROUND(((1-PuertoRicoDiscount)*'Intl Economy Base'!Q26)*(1+International_Fuel_Surcharge),2)))*(1+FedEx_Markup),2)</f>
        <v>184.16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306">
        <v>25</v>
      </c>
      <c r="B30" s="307">
        <f>ROUND((IF('Intl Economy Base'!$B$105&gt;ROUND(((1-IntEconomyDiscount-IntEoncomyIncentive)*'Intl Economy Base'!B27),2),ROUND('Intl Economy Base'!$B$105*(1+International_Fuel_Surcharge),2),ROUND(((1-IntEconomyDiscount-IntEoncomyIncentive)*'Intl Economy Base'!B27)*(1+International_Fuel_Surcharge),2)))*(1+FedEx_Markup),2)</f>
        <v>72.510000000000005</v>
      </c>
      <c r="C30" s="307">
        <f>ROUND((IF('Intl Economy Base'!$C$105&gt;ROUND(((1-IntEconomyDiscount-IntEoncomyIncentive)*'Intl Economy Base'!C27),2),ROUND('Intl Economy Base'!$C$105*(1+International_Fuel_Surcharge),2),ROUND(((1-IntEconomyDiscount-IntEoncomyIncentive)*'Intl Economy Base'!C27)*(1+International_Fuel_Surcharge),2)))*(1+FedEx_Markup),2)</f>
        <v>85.94</v>
      </c>
      <c r="D30" s="307">
        <f>ROUND((IF('Intl Economy Base'!$D$105&gt;ROUND(((1-IntEconomyDiscount-IntEoncomyIncentive)*'Intl Economy Base'!D27),2),ROUND('Intl Economy Base'!$D$105*(1+International_Fuel_Surcharge),2),ROUND(((1-IntEconomyDiscount-IntEoncomyIncentive)*'Intl Economy Base'!D27)*(1+International_Fuel_Surcharge),2)))*(1+FedEx_Markup),2)</f>
        <v>81.75</v>
      </c>
      <c r="E30" s="307">
        <f>ROUND((IF('Intl Economy Base'!$E$105&gt;ROUND(((1-IntEconomyDiscount-IntEoncomyIncentive)*'Intl Economy Base'!E27),2),ROUND('Intl Economy Base'!$E$105*(1+International_Fuel_Surcharge),2),ROUND(((1-IntEconomyDiscount-IntEoncomyIncentive)*'Intl Economy Base'!E27)*(1+International_Fuel_Surcharge),2)))*(1+FedEx_Markup),2)</f>
        <v>105.36</v>
      </c>
      <c r="F30" s="307">
        <f>ROUND((IF('Intl Economy Base'!$F$105&gt;ROUND(((1-IntEconomyDiscount-IntEoncomyIncentive)*'Intl Economy Base'!F27),2),ROUND('Intl Economy Base'!$F$105*(1+International_Fuel_Surcharge),2),ROUND(((1-IntEconomyDiscount-IntEoncomyIncentive)*'Intl Economy Base'!F27)*(1+International_Fuel_Surcharge),2)))*(1+FedEx_Markup),2)</f>
        <v>204</v>
      </c>
      <c r="G30" s="307">
        <f>ROUND((IF('Intl Economy Base'!$G$105&gt;ROUND(((1-IntEconomyDiscount-IntEoncomyIncentive)*'Intl Economy Base'!G27),2),ROUND('Intl Economy Base'!$G$105*(1+International_Fuel_Surcharge),2),ROUND(((1-IntEconomyDiscount-IntEoncomyIncentive)*'Intl Economy Base'!G27)*(1+International_Fuel_Surcharge),2)))*(1+FedEx_Markup),2)</f>
        <v>103.17</v>
      </c>
      <c r="H30" s="307">
        <f>ROUND((IF('Intl Economy Base'!$H$105&gt;ROUND(((1-IntEconomyDiscount-IntEoncomyIncentive)*'Intl Economy Base'!H27),2),ROUND('Intl Economy Base'!$H$105*(1+International_Fuel_Surcharge),2),ROUND(((1-IntEconomyDiscount-IntEoncomyIncentive)*'Intl Economy Base'!H27)*(1+International_Fuel_Surcharge),2)))*(1+FedEx_Markup),2)</f>
        <v>107.16</v>
      </c>
      <c r="I30" s="307">
        <f>ROUND((IF('Intl Economy Base'!$I$105&gt;ROUND(((1-IntEconomyDiscount-IntEoncomyIncentive)*'Intl Economy Base'!I27),2),ROUND('Intl Economy Base'!$I$105*(1+International_Fuel_Surcharge),2),ROUND(((1-IntEconomyDiscount-IntEoncomyIncentive)*'Intl Economy Base'!I27)*(1+International_Fuel_Surcharge),2)))*(1+FedEx_Markup),2)</f>
        <v>115.7</v>
      </c>
      <c r="J30" s="307">
        <f>ROUND((IF('Intl Economy Base'!$J$105&gt;ROUND(((1-IntEconomyDiscount-IntEoncomyIncentive)*'Intl Economy Base'!J27),2),ROUND('Intl Economy Base'!$J$105*(1+International_Fuel_Surcharge),2),ROUND(((1-IntEconomyDiscount-IntEoncomyIncentive)*'Intl Economy Base'!J27)*(1+International_Fuel_Surcharge),2)))*(1+FedEx_Markup),2)</f>
        <v>88.4</v>
      </c>
      <c r="K30" s="307">
        <f>ROUND((IF('Intl Economy Base'!$K$105&gt;ROUND(((1-IntEconomyDiscount-IntEoncomyIncentive)*'Intl Economy Base'!K27),2),ROUND('Intl Economy Base'!$K$105*(1+International_Fuel_Surcharge),2),ROUND(((1-IntEconomyDiscount-IntEoncomyIncentive)*'Intl Economy Base'!K27)*(1+International_Fuel_Surcharge),2)))*(1+FedEx_Markup),2)</f>
        <v>156.41999999999999</v>
      </c>
      <c r="L30" s="307">
        <f>ROUND((IF('Intl Economy Base'!$L$105&gt;ROUND(((1-IntEconomyDiscount-IntEoncomyIncentive)*'Intl Economy Base'!L27),2),ROUND('Intl Economy Base'!$L$105*(1+International_Fuel_Surcharge),2),ROUND(((1-IntEconomyDiscount-IntEoncomyIncentive)*'Intl Economy Base'!L27)*(1+International_Fuel_Surcharge),2)))*(1+FedEx_Markup),2)</f>
        <v>134.32</v>
      </c>
      <c r="M30" s="307">
        <f>ROUND((IF('Intl Economy Base'!$M$105&gt;ROUND(((1-IntEconomyDiscount-IntEoncomyIncentive)*'Intl Economy Base'!M27),2),ROUND('Intl Economy Base'!$M$105*(1+International_Fuel_Surcharge),2),ROUND(((1-IntEconomyDiscount-IntEoncomyIncentive)*'Intl Economy Base'!M27)*(1+International_Fuel_Surcharge),2)))*(1+FedEx_Markup),2)</f>
        <v>213.01</v>
      </c>
      <c r="N30" s="307">
        <f>ROUND((IF('Intl Economy Base'!$N$105&gt;ROUND(((1-IntEconomyDiscount-IntEoncomyIncentive)*'Intl Economy Base'!N27),2),ROUND('Intl Economy Base'!$N$105*(1+International_Fuel_Surcharge),2),ROUND(((1-IntEconomyDiscount-IntEoncomyIncentive)*'Intl Economy Base'!N27)*(1+International_Fuel_Surcharge),2)))*(1+FedEx_Markup),2)</f>
        <v>191.03</v>
      </c>
      <c r="O30" s="307">
        <f>ROUND((IF('Intl Economy Base'!$O$105&gt;ROUND(((1-IntEconomyDiscount-IntEoncomyIncentive)*'Intl Economy Base'!O27),2),ROUND('Intl Economy Base'!$O$105*(1+International_Fuel_Surcharge),2),ROUND(((1-IntEconomyDiscount-IntEoncomyIncentive)*'Intl Economy Base'!O27)*(1+International_Fuel_Surcharge),2)))*(1+FedEx_Markup),2)</f>
        <v>131.22999999999999</v>
      </c>
      <c r="P30" s="307">
        <f>ROUND((IF('Intl Economy Base'!$P$105&gt;ROUND(((1-IntEconomyDiscount-IntEoncomyIncentive)*'Intl Economy Base'!P27),2),ROUND('Intl Economy Base'!$P$105*(1+International_Fuel_Surcharge),2),ROUND(((1-IntEconomyDiscount-IntEoncomyIncentive)*'Intl Economy Base'!P27)*(1+International_Fuel_Surcharge),2)))*(1+FedEx_Markup),2)</f>
        <v>132.63</v>
      </c>
      <c r="Q30" s="307">
        <f>ROUND((IF('Intl Economy Base'!$Q$105&gt;ROUND(((1-PuertoRicoDiscount)*'Intl Economy Base'!Q27),2),ROUND('Intl Economy Base'!$Q$105*(1+International_Fuel_Surcharge),2),ROUND(((1-PuertoRicoDiscount)*'Intl Economy Base'!Q27)*(1+International_Fuel_Surcharge),2)))*(1+FedEx_Markup),2)</f>
        <v>190.62</v>
      </c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306">
        <v>26</v>
      </c>
      <c r="B31" s="307">
        <f>ROUND((IF('Intl Economy Base'!$B$105&gt;ROUND(((1-IntEconomyDiscount-IntEoncomyIncentive)*'Intl Economy Base'!B28),2),ROUND('Intl Economy Base'!$B$105*(1+International_Fuel_Surcharge),2),ROUND(((1-IntEconomyDiscount-IntEoncomyIncentive)*'Intl Economy Base'!B28)*(1+International_Fuel_Surcharge),2)))*(1+FedEx_Markup),2)</f>
        <v>82.67</v>
      </c>
      <c r="C31" s="307">
        <f>ROUND((IF('Intl Economy Base'!$C$105&gt;ROUND(((1-IntEconomyDiscount-IntEoncomyIncentive)*'Intl Economy Base'!C28),2),ROUND('Intl Economy Base'!$C$105*(1+International_Fuel_Surcharge),2),ROUND(((1-IntEconomyDiscount-IntEoncomyIncentive)*'Intl Economy Base'!C28)*(1+International_Fuel_Surcharge),2)))*(1+FedEx_Markup),2)</f>
        <v>98.45</v>
      </c>
      <c r="D31" s="307">
        <f>ROUND((IF('Intl Economy Base'!$D$105&gt;ROUND(((1-IntEconomyDiscount-IntEoncomyIncentive)*'Intl Economy Base'!D28),2),ROUND('Intl Economy Base'!$D$105*(1+International_Fuel_Surcharge),2),ROUND(((1-IntEconomyDiscount-IntEoncomyIncentive)*'Intl Economy Base'!D28)*(1+International_Fuel_Surcharge),2)))*(1+FedEx_Markup),2)</f>
        <v>81.819999999999993</v>
      </c>
      <c r="E31" s="307">
        <f>ROUND((IF('Intl Economy Base'!$E$105&gt;ROUND(((1-IntEconomyDiscount-IntEoncomyIncentive)*'Intl Economy Base'!E28),2),ROUND('Intl Economy Base'!$E$105*(1+International_Fuel_Surcharge),2),ROUND(((1-IntEconomyDiscount-IntEoncomyIncentive)*'Intl Economy Base'!E28)*(1+International_Fuel_Surcharge),2)))*(1+FedEx_Markup),2)</f>
        <v>139.53</v>
      </c>
      <c r="F31" s="307">
        <f>ROUND((IF('Intl Economy Base'!$F$105&gt;ROUND(((1-IntEconomyDiscount-IntEoncomyIncentive)*'Intl Economy Base'!F28),2),ROUND('Intl Economy Base'!$F$105*(1+International_Fuel_Surcharge),2),ROUND(((1-IntEconomyDiscount-IntEoncomyIncentive)*'Intl Economy Base'!F28)*(1+International_Fuel_Surcharge),2)))*(1+FedEx_Markup),2)</f>
        <v>237.49</v>
      </c>
      <c r="G31" s="307">
        <f>ROUND((IF('Intl Economy Base'!$G$105&gt;ROUND(((1-IntEconomyDiscount-IntEoncomyIncentive)*'Intl Economy Base'!G28),2),ROUND('Intl Economy Base'!$G$105*(1+International_Fuel_Surcharge),2),ROUND(((1-IntEconomyDiscount-IntEoncomyIncentive)*'Intl Economy Base'!G28)*(1+International_Fuel_Surcharge),2)))*(1+FedEx_Markup),2)</f>
        <v>134.27000000000001</v>
      </c>
      <c r="H31" s="307">
        <f>ROUND((IF('Intl Economy Base'!$H$105&gt;ROUND(((1-IntEconomyDiscount-IntEoncomyIncentive)*'Intl Economy Base'!H28),2),ROUND('Intl Economy Base'!$H$105*(1+International_Fuel_Surcharge),2),ROUND(((1-IntEconomyDiscount-IntEoncomyIncentive)*'Intl Economy Base'!H28)*(1+International_Fuel_Surcharge),2)))*(1+FedEx_Markup),2)</f>
        <v>119.35</v>
      </c>
      <c r="I31" s="307">
        <f>ROUND((IF('Intl Economy Base'!$I$105&gt;ROUND(((1-IntEconomyDiscount-IntEoncomyIncentive)*'Intl Economy Base'!I28),2),ROUND('Intl Economy Base'!$I$105*(1+International_Fuel_Surcharge),2),ROUND(((1-IntEconomyDiscount-IntEoncomyIncentive)*'Intl Economy Base'!I28)*(1+International_Fuel_Surcharge),2)))*(1+FedEx_Markup),2)</f>
        <v>161.18</v>
      </c>
      <c r="J31" s="307">
        <f>ROUND((IF('Intl Economy Base'!$J$105&gt;ROUND(((1-IntEconomyDiscount-IntEoncomyIncentive)*'Intl Economy Base'!J28),2),ROUND('Intl Economy Base'!$J$105*(1+International_Fuel_Surcharge),2),ROUND(((1-IntEconomyDiscount-IntEoncomyIncentive)*'Intl Economy Base'!J28)*(1+International_Fuel_Surcharge),2)))*(1+FedEx_Markup),2)</f>
        <v>99.02</v>
      </c>
      <c r="K31" s="307">
        <f>ROUND((IF('Intl Economy Base'!$K$105&gt;ROUND(((1-IntEconomyDiscount-IntEoncomyIncentive)*'Intl Economy Base'!K28),2),ROUND('Intl Economy Base'!$K$105*(1+International_Fuel_Surcharge),2),ROUND(((1-IntEconomyDiscount-IntEoncomyIncentive)*'Intl Economy Base'!K28)*(1+International_Fuel_Surcharge),2)))*(1+FedEx_Markup),2)</f>
        <v>205.57</v>
      </c>
      <c r="L31" s="307">
        <f>ROUND((IF('Intl Economy Base'!$L$105&gt;ROUND(((1-IntEconomyDiscount-IntEoncomyIncentive)*'Intl Economy Base'!L28),2),ROUND('Intl Economy Base'!$L$105*(1+International_Fuel_Surcharge),2),ROUND(((1-IntEconomyDiscount-IntEoncomyIncentive)*'Intl Economy Base'!L28)*(1+International_Fuel_Surcharge),2)))*(1+FedEx_Markup),2)</f>
        <v>159.15</v>
      </c>
      <c r="M31" s="307">
        <f>ROUND((IF('Intl Economy Base'!$M$105&gt;ROUND(((1-IntEconomyDiscount-IntEoncomyIncentive)*'Intl Economy Base'!M28),2),ROUND('Intl Economy Base'!$M$105*(1+International_Fuel_Surcharge),2),ROUND(((1-IntEconomyDiscount-IntEoncomyIncentive)*'Intl Economy Base'!M28)*(1+International_Fuel_Surcharge),2)))*(1+FedEx_Markup),2)</f>
        <v>230.09</v>
      </c>
      <c r="N31" s="307">
        <f>ROUND((IF('Intl Economy Base'!$N$105&gt;ROUND(((1-IntEconomyDiscount-IntEoncomyIncentive)*'Intl Economy Base'!N28),2),ROUND('Intl Economy Base'!$N$105*(1+International_Fuel_Surcharge),2),ROUND(((1-IntEconomyDiscount-IntEoncomyIncentive)*'Intl Economy Base'!N28)*(1+International_Fuel_Surcharge),2)))*(1+FedEx_Markup),2)</f>
        <v>222.95</v>
      </c>
      <c r="O31" s="307">
        <f>ROUND((IF('Intl Economy Base'!$O$105&gt;ROUND(((1-IntEconomyDiscount-IntEoncomyIncentive)*'Intl Economy Base'!O28),2),ROUND('Intl Economy Base'!$O$105*(1+International_Fuel_Surcharge),2),ROUND(((1-IntEconomyDiscount-IntEoncomyIncentive)*'Intl Economy Base'!O28)*(1+International_Fuel_Surcharge),2)))*(1+FedEx_Markup),2)</f>
        <v>175.12</v>
      </c>
      <c r="P31" s="307">
        <f>ROUND((IF('Intl Economy Base'!$P$105&gt;ROUND(((1-IntEconomyDiscount-IntEoncomyIncentive)*'Intl Economy Base'!P28),2),ROUND('Intl Economy Base'!$P$105*(1+International_Fuel_Surcharge),2),ROUND(((1-IntEconomyDiscount-IntEoncomyIncentive)*'Intl Economy Base'!P28)*(1+International_Fuel_Surcharge),2)))*(1+FedEx_Markup),2)</f>
        <v>173.08</v>
      </c>
      <c r="Q31" s="307">
        <f>ROUND((IF('Intl Economy Base'!$Q$105&gt;ROUND(((1-PuertoRicoDiscount)*'Intl Economy Base'!Q28),2),ROUND('Intl Economy Base'!$Q$105*(1+International_Fuel_Surcharge),2),ROUND(((1-PuertoRicoDiscount)*'Intl Economy Base'!Q28)*(1+International_Fuel_Surcharge),2)))*(1+FedEx_Markup),2)</f>
        <v>192.04</v>
      </c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306">
        <v>27</v>
      </c>
      <c r="B32" s="307">
        <f>ROUND((IF('Intl Economy Base'!$B$105&gt;ROUND(((1-IntEconomyDiscount-IntEoncomyIncentive)*'Intl Economy Base'!B29),2),ROUND('Intl Economy Base'!$B$105*(1+International_Fuel_Surcharge),2),ROUND(((1-IntEconomyDiscount-IntEoncomyIncentive)*'Intl Economy Base'!B29)*(1+International_Fuel_Surcharge),2)))*(1+FedEx_Markup),2)</f>
        <v>86.68</v>
      </c>
      <c r="C32" s="307">
        <f>ROUND((IF('Intl Economy Base'!$C$105&gt;ROUND(((1-IntEconomyDiscount-IntEoncomyIncentive)*'Intl Economy Base'!C29),2),ROUND('Intl Economy Base'!$C$105*(1+International_Fuel_Surcharge),2),ROUND(((1-IntEconomyDiscount-IntEoncomyIncentive)*'Intl Economy Base'!C29)*(1+International_Fuel_Surcharge),2)))*(1+FedEx_Markup),2)</f>
        <v>103.18</v>
      </c>
      <c r="D32" s="307">
        <f>ROUND((IF('Intl Economy Base'!$D$105&gt;ROUND(((1-IntEconomyDiscount-IntEoncomyIncentive)*'Intl Economy Base'!D29),2),ROUND('Intl Economy Base'!$D$105*(1+International_Fuel_Surcharge),2),ROUND(((1-IntEconomyDiscount-IntEoncomyIncentive)*'Intl Economy Base'!D29)*(1+International_Fuel_Surcharge),2)))*(1+FedEx_Markup),2)</f>
        <v>81.88</v>
      </c>
      <c r="E32" s="307">
        <f>ROUND((IF('Intl Economy Base'!$E$105&gt;ROUND(((1-IntEconomyDiscount-IntEoncomyIncentive)*'Intl Economy Base'!E29),2),ROUND('Intl Economy Base'!$E$105*(1+International_Fuel_Surcharge),2),ROUND(((1-IntEconomyDiscount-IntEoncomyIncentive)*'Intl Economy Base'!E29)*(1+International_Fuel_Surcharge),2)))*(1+FedEx_Markup),2)</f>
        <v>147.28</v>
      </c>
      <c r="F32" s="307">
        <f>ROUND((IF('Intl Economy Base'!$F$105&gt;ROUND(((1-IntEconomyDiscount-IntEoncomyIncentive)*'Intl Economy Base'!F29),2),ROUND('Intl Economy Base'!$F$105*(1+International_Fuel_Surcharge),2),ROUND(((1-IntEconomyDiscount-IntEoncomyIncentive)*'Intl Economy Base'!F29)*(1+International_Fuel_Surcharge),2)))*(1+FedEx_Markup),2)</f>
        <v>240.84</v>
      </c>
      <c r="G32" s="307">
        <f>ROUND((IF('Intl Economy Base'!$G$105&gt;ROUND(((1-IntEconomyDiscount-IntEoncomyIncentive)*'Intl Economy Base'!G29),2),ROUND('Intl Economy Base'!$G$105*(1+International_Fuel_Surcharge),2),ROUND(((1-IntEconomyDiscount-IntEoncomyIncentive)*'Intl Economy Base'!G29)*(1+International_Fuel_Surcharge),2)))*(1+FedEx_Markup),2)</f>
        <v>141.4</v>
      </c>
      <c r="H32" s="307">
        <f>ROUND((IF('Intl Economy Base'!$H$105&gt;ROUND(((1-IntEconomyDiscount-IntEoncomyIncentive)*'Intl Economy Base'!H29),2),ROUND('Intl Economy Base'!$H$105*(1+International_Fuel_Surcharge),2),ROUND(((1-IntEconomyDiscount-IntEoncomyIncentive)*'Intl Economy Base'!H29)*(1+International_Fuel_Surcharge),2)))*(1+FedEx_Markup),2)</f>
        <v>126.34</v>
      </c>
      <c r="I32" s="307">
        <f>ROUND((IF('Intl Economy Base'!$I$105&gt;ROUND(((1-IntEconomyDiscount-IntEoncomyIncentive)*'Intl Economy Base'!I29),2),ROUND('Intl Economy Base'!$I$105*(1+International_Fuel_Surcharge),2),ROUND(((1-IntEconomyDiscount-IntEoncomyIncentive)*'Intl Economy Base'!I29)*(1+International_Fuel_Surcharge),2)))*(1+FedEx_Markup),2)</f>
        <v>165.8</v>
      </c>
      <c r="J32" s="307">
        <f>ROUND((IF('Intl Economy Base'!$J$105&gt;ROUND(((1-IntEconomyDiscount-IntEoncomyIncentive)*'Intl Economy Base'!J29),2),ROUND('Intl Economy Base'!$J$105*(1+International_Fuel_Surcharge),2),ROUND(((1-IntEconomyDiscount-IntEoncomyIncentive)*'Intl Economy Base'!J29)*(1+International_Fuel_Surcharge),2)))*(1+FedEx_Markup),2)</f>
        <v>101.12</v>
      </c>
      <c r="K32" s="307">
        <f>ROUND((IF('Intl Economy Base'!$K$105&gt;ROUND(((1-IntEconomyDiscount-IntEoncomyIncentive)*'Intl Economy Base'!K29),2),ROUND('Intl Economy Base'!$K$105*(1+International_Fuel_Surcharge),2),ROUND(((1-IntEconomyDiscount-IntEoncomyIncentive)*'Intl Economy Base'!K29)*(1+International_Fuel_Surcharge),2)))*(1+FedEx_Markup),2)</f>
        <v>210.98</v>
      </c>
      <c r="L32" s="307">
        <f>ROUND((IF('Intl Economy Base'!$L$105&gt;ROUND(((1-IntEconomyDiscount-IntEoncomyIncentive)*'Intl Economy Base'!L29),2),ROUND('Intl Economy Base'!$L$105*(1+International_Fuel_Surcharge),2),ROUND(((1-IntEconomyDiscount-IntEoncomyIncentive)*'Intl Economy Base'!L29)*(1+International_Fuel_Surcharge),2)))*(1+FedEx_Markup),2)</f>
        <v>166.99</v>
      </c>
      <c r="M32" s="307">
        <f>ROUND((IF('Intl Economy Base'!$M$105&gt;ROUND(((1-IntEconomyDiscount-IntEoncomyIncentive)*'Intl Economy Base'!M29),2),ROUND('Intl Economy Base'!$M$105*(1+International_Fuel_Surcharge),2),ROUND(((1-IntEconomyDiscount-IntEoncomyIncentive)*'Intl Economy Base'!M29)*(1+International_Fuel_Surcharge),2)))*(1+FedEx_Markup),2)</f>
        <v>231.81</v>
      </c>
      <c r="N32" s="307">
        <f>ROUND((IF('Intl Economy Base'!$N$105&gt;ROUND(((1-IntEconomyDiscount-IntEoncomyIncentive)*'Intl Economy Base'!N29),2),ROUND('Intl Economy Base'!$N$105*(1+International_Fuel_Surcharge),2),ROUND(((1-IntEconomyDiscount-IntEoncomyIncentive)*'Intl Economy Base'!N29)*(1+International_Fuel_Surcharge),2)))*(1+FedEx_Markup),2)</f>
        <v>250.9</v>
      </c>
      <c r="O32" s="307">
        <f>ROUND((IF('Intl Economy Base'!$O$105&gt;ROUND(((1-IntEconomyDiscount-IntEoncomyIncentive)*'Intl Economy Base'!O29),2),ROUND('Intl Economy Base'!$O$105*(1+International_Fuel_Surcharge),2),ROUND(((1-IntEconomyDiscount-IntEoncomyIncentive)*'Intl Economy Base'!O29)*(1+International_Fuel_Surcharge),2)))*(1+FedEx_Markup),2)</f>
        <v>181.54</v>
      </c>
      <c r="P32" s="307">
        <f>ROUND((IF('Intl Economy Base'!$P$105&gt;ROUND(((1-IntEconomyDiscount-IntEoncomyIncentive)*'Intl Economy Base'!P29),2),ROUND('Intl Economy Base'!$P$105*(1+International_Fuel_Surcharge),2),ROUND(((1-IntEconomyDiscount-IntEoncomyIncentive)*'Intl Economy Base'!P29)*(1+International_Fuel_Surcharge),2)))*(1+FedEx_Markup),2)</f>
        <v>186.43</v>
      </c>
      <c r="Q32" s="307">
        <f>ROUND((IF('Intl Economy Base'!$Q$105&gt;ROUND(((1-PuertoRicoDiscount)*'Intl Economy Base'!Q29),2),ROUND('Intl Economy Base'!$Q$105*(1+International_Fuel_Surcharge),2),ROUND(((1-PuertoRicoDiscount)*'Intl Economy Base'!Q29)*(1+International_Fuel_Surcharge),2)))*(1+FedEx_Markup),2)</f>
        <v>198.1</v>
      </c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306">
        <v>28</v>
      </c>
      <c r="B33" s="307">
        <f>ROUND((IF('Intl Economy Base'!$B$105&gt;ROUND(((1-IntEconomyDiscount-IntEoncomyIncentive)*'Intl Economy Base'!B30),2),ROUND('Intl Economy Base'!$B$105*(1+International_Fuel_Surcharge),2),ROUND(((1-IntEconomyDiscount-IntEoncomyIncentive)*'Intl Economy Base'!B30)*(1+International_Fuel_Surcharge),2)))*(1+FedEx_Markup),2)</f>
        <v>89.93</v>
      </c>
      <c r="C33" s="307">
        <f>ROUND((IF('Intl Economy Base'!$C$105&gt;ROUND(((1-IntEconomyDiscount-IntEoncomyIncentive)*'Intl Economy Base'!C30),2),ROUND('Intl Economy Base'!$C$105*(1+International_Fuel_Surcharge),2),ROUND(((1-IntEconomyDiscount-IntEoncomyIncentive)*'Intl Economy Base'!C30)*(1+International_Fuel_Surcharge),2)))*(1+FedEx_Markup),2)</f>
        <v>103.94</v>
      </c>
      <c r="D33" s="307">
        <f>ROUND((IF('Intl Economy Base'!$D$105&gt;ROUND(((1-IntEconomyDiscount-IntEoncomyIncentive)*'Intl Economy Base'!D30),2),ROUND('Intl Economy Base'!$D$105*(1+International_Fuel_Surcharge),2),ROUND(((1-IntEconomyDiscount-IntEoncomyIncentive)*'Intl Economy Base'!D30)*(1+International_Fuel_Surcharge),2)))*(1+FedEx_Markup),2)</f>
        <v>82.25</v>
      </c>
      <c r="E33" s="307">
        <f>ROUND((IF('Intl Economy Base'!$E$105&gt;ROUND(((1-IntEconomyDiscount-IntEoncomyIncentive)*'Intl Economy Base'!E30),2),ROUND('Intl Economy Base'!$E$105*(1+International_Fuel_Surcharge),2),ROUND(((1-IntEconomyDiscount-IntEoncomyIncentive)*'Intl Economy Base'!E30)*(1+International_Fuel_Surcharge),2)))*(1+FedEx_Markup),2)</f>
        <v>148.06</v>
      </c>
      <c r="F33" s="307">
        <f>ROUND((IF('Intl Economy Base'!$F$105&gt;ROUND(((1-IntEconomyDiscount-IntEoncomyIncentive)*'Intl Economy Base'!F30),2),ROUND('Intl Economy Base'!$F$105*(1+International_Fuel_Surcharge),2),ROUND(((1-IntEconomyDiscount-IntEoncomyIncentive)*'Intl Economy Base'!F30)*(1+International_Fuel_Surcharge),2)))*(1+FedEx_Markup),2)</f>
        <v>246.79</v>
      </c>
      <c r="G33" s="307">
        <f>ROUND((IF('Intl Economy Base'!$G$105&gt;ROUND(((1-IntEconomyDiscount-IntEoncomyIncentive)*'Intl Economy Base'!G30),2),ROUND('Intl Economy Base'!$G$105*(1+International_Fuel_Surcharge),2),ROUND(((1-IntEconomyDiscount-IntEoncomyIncentive)*'Intl Economy Base'!G30)*(1+International_Fuel_Surcharge),2)))*(1+FedEx_Markup),2)</f>
        <v>142.12</v>
      </c>
      <c r="H33" s="307">
        <f>ROUND((IF('Intl Economy Base'!$H$105&gt;ROUND(((1-IntEconomyDiscount-IntEoncomyIncentive)*'Intl Economy Base'!H30),2),ROUND('Intl Economy Base'!$H$105*(1+International_Fuel_Surcharge),2),ROUND(((1-IntEconomyDiscount-IntEoncomyIncentive)*'Intl Economy Base'!H30)*(1+International_Fuel_Surcharge),2)))*(1+FedEx_Markup),2)</f>
        <v>127.04</v>
      </c>
      <c r="I33" s="307">
        <f>ROUND((IF('Intl Economy Base'!$I$105&gt;ROUND(((1-IntEconomyDiscount-IntEoncomyIncentive)*'Intl Economy Base'!I30),2),ROUND('Intl Economy Base'!$I$105*(1+International_Fuel_Surcharge),2),ROUND(((1-IntEconomyDiscount-IntEoncomyIncentive)*'Intl Economy Base'!I30)*(1+International_Fuel_Surcharge),2)))*(1+FedEx_Markup),2)</f>
        <v>170.04</v>
      </c>
      <c r="J33" s="307">
        <f>ROUND((IF('Intl Economy Base'!$J$105&gt;ROUND(((1-IntEconomyDiscount-IntEoncomyIncentive)*'Intl Economy Base'!J30),2),ROUND('Intl Economy Base'!$J$105*(1+International_Fuel_Surcharge),2),ROUND(((1-IntEconomyDiscount-IntEoncomyIncentive)*'Intl Economy Base'!J30)*(1+International_Fuel_Surcharge),2)))*(1+FedEx_Markup),2)</f>
        <v>101.42</v>
      </c>
      <c r="K33" s="307">
        <f>ROUND((IF('Intl Economy Base'!$K$105&gt;ROUND(((1-IntEconomyDiscount-IntEoncomyIncentive)*'Intl Economy Base'!K30),2),ROUND('Intl Economy Base'!$K$105*(1+International_Fuel_Surcharge),2),ROUND(((1-IntEconomyDiscount-IntEoncomyIncentive)*'Intl Economy Base'!K30)*(1+International_Fuel_Surcharge),2)))*(1+FedEx_Markup),2)</f>
        <v>211.52</v>
      </c>
      <c r="L33" s="307">
        <f>ROUND((IF('Intl Economy Base'!$L$105&gt;ROUND(((1-IntEconomyDiscount-IntEoncomyIncentive)*'Intl Economy Base'!L30),2),ROUND('Intl Economy Base'!$L$105*(1+International_Fuel_Surcharge),2),ROUND(((1-IntEconomyDiscount-IntEoncomyIncentive)*'Intl Economy Base'!L30)*(1+International_Fuel_Surcharge),2)))*(1+FedEx_Markup),2)</f>
        <v>186.27</v>
      </c>
      <c r="M33" s="307">
        <f>ROUND((IF('Intl Economy Base'!$M$105&gt;ROUND(((1-IntEconomyDiscount-IntEoncomyIncentive)*'Intl Economy Base'!M30),2),ROUND('Intl Economy Base'!$M$105*(1+International_Fuel_Surcharge),2),ROUND(((1-IntEconomyDiscount-IntEoncomyIncentive)*'Intl Economy Base'!M30)*(1+International_Fuel_Surcharge),2)))*(1+FedEx_Markup),2)</f>
        <v>233.23</v>
      </c>
      <c r="N33" s="307">
        <f>ROUND((IF('Intl Economy Base'!$N$105&gt;ROUND(((1-IntEconomyDiscount-IntEoncomyIncentive)*'Intl Economy Base'!N30),2),ROUND('Intl Economy Base'!$N$105*(1+International_Fuel_Surcharge),2),ROUND(((1-IntEconomyDiscount-IntEoncomyIncentive)*'Intl Economy Base'!N30)*(1+International_Fuel_Surcharge),2)))*(1+FedEx_Markup),2)</f>
        <v>253.69</v>
      </c>
      <c r="O33" s="307">
        <f>ROUND((IF('Intl Economy Base'!$O$105&gt;ROUND(((1-IntEconomyDiscount-IntEoncomyIncentive)*'Intl Economy Base'!O30),2),ROUND('Intl Economy Base'!$O$105*(1+International_Fuel_Surcharge),2),ROUND(((1-IntEconomyDiscount-IntEoncomyIncentive)*'Intl Economy Base'!O30)*(1+International_Fuel_Surcharge),2)))*(1+FedEx_Markup),2)</f>
        <v>182.7</v>
      </c>
      <c r="P33" s="307">
        <f>ROUND((IF('Intl Economy Base'!$P$105&gt;ROUND(((1-IntEconomyDiscount-IntEoncomyIncentive)*'Intl Economy Base'!P30),2),ROUND('Intl Economy Base'!$P$105*(1+International_Fuel_Surcharge),2),ROUND(((1-IntEconomyDiscount-IntEoncomyIncentive)*'Intl Economy Base'!P30)*(1+International_Fuel_Surcharge),2)))*(1+FedEx_Markup),2)</f>
        <v>190.11</v>
      </c>
      <c r="Q33" s="307">
        <f>ROUND((IF('Intl Economy Base'!$Q$105&gt;ROUND(((1-PuertoRicoDiscount)*'Intl Economy Base'!Q30),2),ROUND('Intl Economy Base'!$Q$105*(1+International_Fuel_Surcharge),2),ROUND(((1-PuertoRicoDiscount)*'Intl Economy Base'!Q30)*(1+International_Fuel_Surcharge),2)))*(1+FedEx_Markup),2)</f>
        <v>204.4</v>
      </c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306">
        <v>29</v>
      </c>
      <c r="B34" s="307">
        <f>ROUND((IF('Intl Economy Base'!$B$105&gt;ROUND(((1-IntEconomyDiscount-IntEoncomyIncentive)*'Intl Economy Base'!B31),2),ROUND('Intl Economy Base'!$B$105*(1+International_Fuel_Surcharge),2),ROUND(((1-IntEconomyDiscount-IntEoncomyIncentive)*'Intl Economy Base'!B31)*(1+International_Fuel_Surcharge),2)))*(1+FedEx_Markup),2)</f>
        <v>91.29</v>
      </c>
      <c r="C34" s="307">
        <f>ROUND((IF('Intl Economy Base'!$C$105&gt;ROUND(((1-IntEconomyDiscount-IntEoncomyIncentive)*'Intl Economy Base'!C31),2),ROUND('Intl Economy Base'!$C$105*(1+International_Fuel_Surcharge),2),ROUND(((1-IntEconomyDiscount-IntEoncomyIncentive)*'Intl Economy Base'!C31)*(1+International_Fuel_Surcharge),2)))*(1+FedEx_Markup),2)</f>
        <v>104.27</v>
      </c>
      <c r="D34" s="307">
        <f>ROUND((IF('Intl Economy Base'!$D$105&gt;ROUND(((1-IntEconomyDiscount-IntEoncomyIncentive)*'Intl Economy Base'!D31),2),ROUND('Intl Economy Base'!$D$105*(1+International_Fuel_Surcharge),2),ROUND(((1-IntEconomyDiscount-IntEoncomyIncentive)*'Intl Economy Base'!D31)*(1+International_Fuel_Surcharge),2)))*(1+FedEx_Markup),2)</f>
        <v>89.33</v>
      </c>
      <c r="E34" s="307">
        <f>ROUND((IF('Intl Economy Base'!$E$105&gt;ROUND(((1-IntEconomyDiscount-IntEoncomyIncentive)*'Intl Economy Base'!E31),2),ROUND('Intl Economy Base'!$E$105*(1+International_Fuel_Surcharge),2),ROUND(((1-IntEconomyDiscount-IntEoncomyIncentive)*'Intl Economy Base'!E31)*(1+International_Fuel_Surcharge),2)))*(1+FedEx_Markup),2)</f>
        <v>148.15</v>
      </c>
      <c r="F34" s="307">
        <f>ROUND((IF('Intl Economy Base'!$F$105&gt;ROUND(((1-IntEconomyDiscount-IntEoncomyIncentive)*'Intl Economy Base'!F31),2),ROUND('Intl Economy Base'!$F$105*(1+International_Fuel_Surcharge),2),ROUND(((1-IntEconomyDiscount-IntEoncomyIncentive)*'Intl Economy Base'!F31)*(1+International_Fuel_Surcharge),2)))*(1+FedEx_Markup),2)</f>
        <v>248.06</v>
      </c>
      <c r="G34" s="307">
        <f>ROUND((IF('Intl Economy Base'!$G$105&gt;ROUND(((1-IntEconomyDiscount-IntEoncomyIncentive)*'Intl Economy Base'!G31),2),ROUND('Intl Economy Base'!$G$105*(1+International_Fuel_Surcharge),2),ROUND(((1-IntEconomyDiscount-IntEoncomyIncentive)*'Intl Economy Base'!G31)*(1+International_Fuel_Surcharge),2)))*(1+FedEx_Markup),2)</f>
        <v>142.27000000000001</v>
      </c>
      <c r="H34" s="307">
        <f>ROUND((IF('Intl Economy Base'!$H$105&gt;ROUND(((1-IntEconomyDiscount-IntEoncomyIncentive)*'Intl Economy Base'!H31),2),ROUND('Intl Economy Base'!$H$105*(1+International_Fuel_Surcharge),2),ROUND(((1-IntEconomyDiscount-IntEoncomyIncentive)*'Intl Economy Base'!H31)*(1+International_Fuel_Surcharge),2)))*(1+FedEx_Markup),2)</f>
        <v>137.63999999999999</v>
      </c>
      <c r="I34" s="307">
        <f>ROUND((IF('Intl Economy Base'!$I$105&gt;ROUND(((1-IntEconomyDiscount-IntEoncomyIncentive)*'Intl Economy Base'!I31),2),ROUND('Intl Economy Base'!$I$105*(1+International_Fuel_Surcharge),2),ROUND(((1-IntEconomyDiscount-IntEoncomyIncentive)*'Intl Economy Base'!I31)*(1+International_Fuel_Surcharge),2)))*(1+FedEx_Markup),2)</f>
        <v>170.52</v>
      </c>
      <c r="J34" s="307">
        <f>ROUND((IF('Intl Economy Base'!$J$105&gt;ROUND(((1-IntEconomyDiscount-IntEoncomyIncentive)*'Intl Economy Base'!J31),2),ROUND('Intl Economy Base'!$J$105*(1+International_Fuel_Surcharge),2),ROUND(((1-IntEconomyDiscount-IntEoncomyIncentive)*'Intl Economy Base'!J31)*(1+International_Fuel_Surcharge),2)))*(1+FedEx_Markup),2)</f>
        <v>107.46</v>
      </c>
      <c r="K34" s="307">
        <f>ROUND((IF('Intl Economy Base'!$K$105&gt;ROUND(((1-IntEconomyDiscount-IntEoncomyIncentive)*'Intl Economy Base'!K31),2),ROUND('Intl Economy Base'!$K$105*(1+International_Fuel_Surcharge),2),ROUND(((1-IntEconomyDiscount-IntEoncomyIncentive)*'Intl Economy Base'!K31)*(1+International_Fuel_Surcharge),2)))*(1+FedEx_Markup),2)</f>
        <v>212.42</v>
      </c>
      <c r="L34" s="307">
        <f>ROUND((IF('Intl Economy Base'!$L$105&gt;ROUND(((1-IntEconomyDiscount-IntEoncomyIncentive)*'Intl Economy Base'!L31),2),ROUND('Intl Economy Base'!$L$105*(1+International_Fuel_Surcharge),2),ROUND(((1-IntEconomyDiscount-IntEoncomyIncentive)*'Intl Economy Base'!L31)*(1+International_Fuel_Surcharge),2)))*(1+FedEx_Markup),2)</f>
        <v>188.2</v>
      </c>
      <c r="M34" s="307">
        <f>ROUND((IF('Intl Economy Base'!$M$105&gt;ROUND(((1-IntEconomyDiscount-IntEoncomyIncentive)*'Intl Economy Base'!M31),2),ROUND('Intl Economy Base'!$M$105*(1+International_Fuel_Surcharge),2),ROUND(((1-IntEconomyDiscount-IntEoncomyIncentive)*'Intl Economy Base'!M31)*(1+International_Fuel_Surcharge),2)))*(1+FedEx_Markup),2)</f>
        <v>245.13</v>
      </c>
      <c r="N34" s="307">
        <f>ROUND((IF('Intl Economy Base'!$N$105&gt;ROUND(((1-IntEconomyDiscount-IntEoncomyIncentive)*'Intl Economy Base'!N31),2),ROUND('Intl Economy Base'!$N$105*(1+International_Fuel_Surcharge),2),ROUND(((1-IntEconomyDiscount-IntEoncomyIncentive)*'Intl Economy Base'!N31)*(1+International_Fuel_Surcharge),2)))*(1+FedEx_Markup),2)</f>
        <v>253.98</v>
      </c>
      <c r="O34" s="307">
        <f>ROUND((IF('Intl Economy Base'!$O$105&gt;ROUND(((1-IntEconomyDiscount-IntEoncomyIncentive)*'Intl Economy Base'!O31),2),ROUND('Intl Economy Base'!$O$105*(1+International_Fuel_Surcharge),2),ROUND(((1-IntEconomyDiscount-IntEoncomyIncentive)*'Intl Economy Base'!O31)*(1+International_Fuel_Surcharge),2)))*(1+FedEx_Markup),2)</f>
        <v>192.86</v>
      </c>
      <c r="P34" s="307">
        <f>ROUND((IF('Intl Economy Base'!$P$105&gt;ROUND(((1-IntEconomyDiscount-IntEoncomyIncentive)*'Intl Economy Base'!P31),2),ROUND('Intl Economy Base'!$P$105*(1+International_Fuel_Surcharge),2),ROUND(((1-IntEconomyDiscount-IntEoncomyIncentive)*'Intl Economy Base'!P31)*(1+International_Fuel_Surcharge),2)))*(1+FedEx_Markup),2)</f>
        <v>190.47</v>
      </c>
      <c r="Q34" s="307">
        <f>ROUND((IF('Intl Economy Base'!$Q$105&gt;ROUND(((1-PuertoRicoDiscount)*'Intl Economy Base'!Q31),2),ROUND('Intl Economy Base'!$Q$105*(1+International_Fuel_Surcharge),2),ROUND(((1-PuertoRicoDiscount)*'Intl Economy Base'!Q31)*(1+International_Fuel_Surcharge),2)))*(1+FedEx_Markup),2)</f>
        <v>209.92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2.75" customHeight="1">
      <c r="A35" s="306">
        <v>30</v>
      </c>
      <c r="B35" s="307">
        <f>ROUND((IF('Intl Economy Base'!$B$105&gt;ROUND(((1-IntEconomyDiscount-IntEoncomyIncentive)*'Intl Economy Base'!B32),2),ROUND('Intl Economy Base'!$B$105*(1+International_Fuel_Surcharge),2),ROUND(((1-IntEconomyDiscount-IntEoncomyIncentive)*'Intl Economy Base'!B32)*(1+International_Fuel_Surcharge),2)))*(1+FedEx_Markup),2)</f>
        <v>91.45</v>
      </c>
      <c r="C35" s="307">
        <f>ROUND((IF('Intl Economy Base'!$C$105&gt;ROUND(((1-IntEconomyDiscount-IntEoncomyIncentive)*'Intl Economy Base'!C32),2),ROUND('Intl Economy Base'!$C$105*(1+International_Fuel_Surcharge),2),ROUND(((1-IntEconomyDiscount-IntEoncomyIncentive)*'Intl Economy Base'!C32)*(1+International_Fuel_Surcharge),2)))*(1+FedEx_Markup),2)</f>
        <v>108.19</v>
      </c>
      <c r="D35" s="307">
        <f>ROUND((IF('Intl Economy Base'!$D$105&gt;ROUND(((1-IntEconomyDiscount-IntEoncomyIncentive)*'Intl Economy Base'!D32),2),ROUND('Intl Economy Base'!$D$105*(1+International_Fuel_Surcharge),2),ROUND(((1-IntEconomyDiscount-IntEoncomyIncentive)*'Intl Economy Base'!D32)*(1+International_Fuel_Surcharge),2)))*(1+FedEx_Markup),2)</f>
        <v>90.05</v>
      </c>
      <c r="E35" s="307">
        <f>ROUND((IF('Intl Economy Base'!$E$105&gt;ROUND(((1-IntEconomyDiscount-IntEoncomyIncentive)*'Intl Economy Base'!E32),2),ROUND('Intl Economy Base'!$E$105*(1+International_Fuel_Surcharge),2),ROUND(((1-IntEconomyDiscount-IntEoncomyIncentive)*'Intl Economy Base'!E32)*(1+International_Fuel_Surcharge),2)))*(1+FedEx_Markup),2)</f>
        <v>148.34</v>
      </c>
      <c r="F35" s="307">
        <f>ROUND((IF('Intl Economy Base'!$F$105&gt;ROUND(((1-IntEconomyDiscount-IntEoncomyIncentive)*'Intl Economy Base'!F32),2),ROUND('Intl Economy Base'!$F$105*(1+International_Fuel_Surcharge),2),ROUND(((1-IntEconomyDiscount-IntEoncomyIncentive)*'Intl Economy Base'!F32)*(1+International_Fuel_Surcharge),2)))*(1+FedEx_Markup),2)</f>
        <v>248.19</v>
      </c>
      <c r="G35" s="307">
        <f>ROUND((IF('Intl Economy Base'!$G$105&gt;ROUND(((1-IntEconomyDiscount-IntEoncomyIncentive)*'Intl Economy Base'!G32),2),ROUND('Intl Economy Base'!$G$105*(1+International_Fuel_Surcharge),2),ROUND(((1-IntEconomyDiscount-IntEoncomyIncentive)*'Intl Economy Base'!G32)*(1+International_Fuel_Surcharge),2)))*(1+FedEx_Markup),2)</f>
        <v>142.34</v>
      </c>
      <c r="H35" s="307">
        <f>ROUND((IF('Intl Economy Base'!$H$105&gt;ROUND(((1-IntEconomyDiscount-IntEoncomyIncentive)*'Intl Economy Base'!H32),2),ROUND('Intl Economy Base'!$H$105*(1+International_Fuel_Surcharge),2),ROUND(((1-IntEconomyDiscount-IntEoncomyIncentive)*'Intl Economy Base'!H32)*(1+International_Fuel_Surcharge),2)))*(1+FedEx_Markup),2)</f>
        <v>146.25</v>
      </c>
      <c r="I35" s="307">
        <f>ROUND((IF('Intl Economy Base'!$I$105&gt;ROUND(((1-IntEconomyDiscount-IntEoncomyIncentive)*'Intl Economy Base'!I32),2),ROUND('Intl Economy Base'!$I$105*(1+International_Fuel_Surcharge),2),ROUND(((1-IntEconomyDiscount-IntEoncomyIncentive)*'Intl Economy Base'!I32)*(1+International_Fuel_Surcharge),2)))*(1+FedEx_Markup),2)</f>
        <v>174.75</v>
      </c>
      <c r="J35" s="307">
        <f>ROUND((IF('Intl Economy Base'!$J$105&gt;ROUND(((1-IntEconomyDiscount-IntEoncomyIncentive)*'Intl Economy Base'!J32),2),ROUND('Intl Economy Base'!$J$105*(1+International_Fuel_Surcharge),2),ROUND(((1-IntEconomyDiscount-IntEoncomyIncentive)*'Intl Economy Base'!J32)*(1+International_Fuel_Surcharge),2)))*(1+FedEx_Markup),2)</f>
        <v>108.05</v>
      </c>
      <c r="K35" s="307">
        <f>ROUND((IF('Intl Economy Base'!$K$105&gt;ROUND(((1-IntEconomyDiscount-IntEoncomyIncentive)*'Intl Economy Base'!K32),2),ROUND('Intl Economy Base'!$K$105*(1+International_Fuel_Surcharge),2),ROUND(((1-IntEconomyDiscount-IntEoncomyIncentive)*'Intl Economy Base'!K32)*(1+International_Fuel_Surcharge),2)))*(1+FedEx_Markup),2)</f>
        <v>212.51</v>
      </c>
      <c r="L35" s="307">
        <f>ROUND((IF('Intl Economy Base'!$L$105&gt;ROUND(((1-IntEconomyDiscount-IntEoncomyIncentive)*'Intl Economy Base'!L32),2),ROUND('Intl Economy Base'!$L$105*(1+International_Fuel_Surcharge),2),ROUND(((1-IntEconomyDiscount-IntEoncomyIncentive)*'Intl Economy Base'!L32)*(1+International_Fuel_Surcharge),2)))*(1+FedEx_Markup),2)</f>
        <v>188.39</v>
      </c>
      <c r="M35" s="307">
        <f>ROUND((IF('Intl Economy Base'!$M$105&gt;ROUND(((1-IntEconomyDiscount-IntEoncomyIncentive)*'Intl Economy Base'!M32),2),ROUND('Intl Economy Base'!$M$105*(1+International_Fuel_Surcharge),2),ROUND(((1-IntEconomyDiscount-IntEoncomyIncentive)*'Intl Economy Base'!M32)*(1+International_Fuel_Surcharge),2)))*(1+FedEx_Markup),2)</f>
        <v>246.33</v>
      </c>
      <c r="N35" s="307">
        <f>ROUND((IF('Intl Economy Base'!$N$105&gt;ROUND(((1-IntEconomyDiscount-IntEoncomyIncentive)*'Intl Economy Base'!N32),2),ROUND('Intl Economy Base'!$N$105*(1+International_Fuel_Surcharge),2),ROUND(((1-IntEconomyDiscount-IntEoncomyIncentive)*'Intl Economy Base'!N32)*(1+International_Fuel_Surcharge),2)))*(1+FedEx_Markup),2)</f>
        <v>254.05</v>
      </c>
      <c r="O35" s="307">
        <f>ROUND((IF('Intl Economy Base'!$O$105&gt;ROUND(((1-IntEconomyDiscount-IntEoncomyIncentive)*'Intl Economy Base'!O32),2),ROUND('Intl Economy Base'!$O$105*(1+International_Fuel_Surcharge),2),ROUND(((1-IntEconomyDiscount-IntEoncomyIncentive)*'Intl Economy Base'!O32)*(1+International_Fuel_Surcharge),2)))*(1+FedEx_Markup),2)</f>
        <v>193.88</v>
      </c>
      <c r="P35" s="307">
        <f>ROUND((IF('Intl Economy Base'!$P$105&gt;ROUND(((1-IntEconomyDiscount-IntEoncomyIncentive)*'Intl Economy Base'!P32),2),ROUND('Intl Economy Base'!$P$105*(1+International_Fuel_Surcharge),2),ROUND(((1-IntEconomyDiscount-IntEoncomyIncentive)*'Intl Economy Base'!P32)*(1+International_Fuel_Surcharge),2)))*(1+FedEx_Markup),2)</f>
        <v>190.64</v>
      </c>
      <c r="Q35" s="307">
        <f>ROUND((IF('Intl Economy Base'!$Q$105&gt;ROUND(((1-PuertoRicoDiscount)*'Intl Economy Base'!Q32),2),ROUND('Intl Economy Base'!$Q$105*(1+International_Fuel_Surcharge),2),ROUND(((1-PuertoRicoDiscount)*'Intl Economy Base'!Q32)*(1+International_Fuel_Surcharge),2)))*(1+FedEx_Markup),2)</f>
        <v>216.1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2.75" customHeight="1">
      <c r="A36" s="306">
        <v>31</v>
      </c>
      <c r="B36" s="307">
        <f>ROUND((IF('Intl Economy Base'!$B$105&gt;ROUND(((1-IntEconomyDiscount-IntEoncomyIncentive)*'Intl Economy Base'!B33),2),ROUND('Intl Economy Base'!$B$105*(1+International_Fuel_Surcharge),2),ROUND(((1-IntEconomyDiscount-IntEoncomyIncentive)*'Intl Economy Base'!B33)*(1+International_Fuel_Surcharge),2)))*(1+FedEx_Markup),2)</f>
        <v>92.1</v>
      </c>
      <c r="C36" s="307">
        <f>ROUND((IF('Intl Economy Base'!$C$105&gt;ROUND(((1-IntEconomyDiscount-IntEoncomyIncentive)*'Intl Economy Base'!C33),2),ROUND('Intl Economy Base'!$C$105*(1+International_Fuel_Surcharge),2),ROUND(((1-IntEconomyDiscount-IntEoncomyIncentive)*'Intl Economy Base'!C33)*(1+International_Fuel_Surcharge),2)))*(1+FedEx_Markup),2)</f>
        <v>108.59</v>
      </c>
      <c r="D36" s="307">
        <f>ROUND((IF('Intl Economy Base'!$D$105&gt;ROUND(((1-IntEconomyDiscount-IntEoncomyIncentive)*'Intl Economy Base'!D33),2),ROUND('Intl Economy Base'!$D$105*(1+International_Fuel_Surcharge),2),ROUND(((1-IntEconomyDiscount-IntEoncomyIncentive)*'Intl Economy Base'!D33)*(1+International_Fuel_Surcharge),2)))*(1+FedEx_Markup),2)</f>
        <v>90.13</v>
      </c>
      <c r="E36" s="307">
        <f>ROUND((IF('Intl Economy Base'!$E$105&gt;ROUND(((1-IntEconomyDiscount-IntEoncomyIncentive)*'Intl Economy Base'!E33),2),ROUND('Intl Economy Base'!$E$105*(1+International_Fuel_Surcharge),2),ROUND(((1-IntEconomyDiscount-IntEoncomyIncentive)*'Intl Economy Base'!E33)*(1+International_Fuel_Surcharge),2)))*(1+FedEx_Markup),2)</f>
        <v>151.03</v>
      </c>
      <c r="F36" s="307">
        <f>ROUND((IF('Intl Economy Base'!$F$105&gt;ROUND(((1-IntEconomyDiscount-IntEoncomyIncentive)*'Intl Economy Base'!F33),2),ROUND('Intl Economy Base'!$F$105*(1+International_Fuel_Surcharge),2),ROUND(((1-IntEconomyDiscount-IntEoncomyIncentive)*'Intl Economy Base'!F33)*(1+International_Fuel_Surcharge),2)))*(1+FedEx_Markup),2)</f>
        <v>249.39</v>
      </c>
      <c r="G36" s="307">
        <f>ROUND((IF('Intl Economy Base'!$G$105&gt;ROUND(((1-IntEconomyDiscount-IntEoncomyIncentive)*'Intl Economy Base'!G33),2),ROUND('Intl Economy Base'!$G$105*(1+International_Fuel_Surcharge),2),ROUND(((1-IntEconomyDiscount-IntEoncomyIncentive)*'Intl Economy Base'!G33)*(1+International_Fuel_Surcharge),2)))*(1+FedEx_Markup),2)</f>
        <v>142.75</v>
      </c>
      <c r="H36" s="307">
        <f>ROUND((IF('Intl Economy Base'!$H$105&gt;ROUND(((1-IntEconomyDiscount-IntEoncomyIncentive)*'Intl Economy Base'!H33),2),ROUND('Intl Economy Base'!$H$105*(1+International_Fuel_Surcharge),2),ROUND(((1-IntEconomyDiscount-IntEoncomyIncentive)*'Intl Economy Base'!H33)*(1+International_Fuel_Surcharge),2)))*(1+FedEx_Markup),2)</f>
        <v>149.18</v>
      </c>
      <c r="I36" s="307">
        <f>ROUND((IF('Intl Economy Base'!$I$105&gt;ROUND(((1-IntEconomyDiscount-IntEoncomyIncentive)*'Intl Economy Base'!I33),2),ROUND('Intl Economy Base'!$I$105*(1+International_Fuel_Surcharge),2),ROUND(((1-IntEconomyDiscount-IntEoncomyIncentive)*'Intl Economy Base'!I33)*(1+International_Fuel_Surcharge),2)))*(1+FedEx_Markup),2)</f>
        <v>175.23</v>
      </c>
      <c r="J36" s="307">
        <f>ROUND((IF('Intl Economy Base'!$J$105&gt;ROUND(((1-IntEconomyDiscount-IntEoncomyIncentive)*'Intl Economy Base'!J33),2),ROUND('Intl Economy Base'!$J$105*(1+International_Fuel_Surcharge),2),ROUND(((1-IntEconomyDiscount-IntEoncomyIncentive)*'Intl Economy Base'!J33)*(1+International_Fuel_Surcharge),2)))*(1+FedEx_Markup),2)</f>
        <v>108.16</v>
      </c>
      <c r="K36" s="307">
        <f>ROUND((IF('Intl Economy Base'!$K$105&gt;ROUND(((1-IntEconomyDiscount-IntEoncomyIncentive)*'Intl Economy Base'!K33),2),ROUND('Intl Economy Base'!$K$105*(1+International_Fuel_Surcharge),2),ROUND(((1-IntEconomyDiscount-IntEoncomyIncentive)*'Intl Economy Base'!K33)*(1+International_Fuel_Surcharge),2)))*(1+FedEx_Markup),2)</f>
        <v>212.58</v>
      </c>
      <c r="L36" s="307">
        <f>ROUND((IF('Intl Economy Base'!$L$105&gt;ROUND(((1-IntEconomyDiscount-IntEoncomyIncentive)*'Intl Economy Base'!L33),2),ROUND('Intl Economy Base'!$L$105*(1+International_Fuel_Surcharge),2),ROUND(((1-IntEconomyDiscount-IntEoncomyIncentive)*'Intl Economy Base'!L33)*(1+International_Fuel_Surcharge),2)))*(1+FedEx_Markup),2)</f>
        <v>192.35</v>
      </c>
      <c r="M36" s="307">
        <f>ROUND((IF('Intl Economy Base'!$M$105&gt;ROUND(((1-IntEconomyDiscount-IntEoncomyIncentive)*'Intl Economy Base'!M33),2),ROUND('Intl Economy Base'!$M$105*(1+International_Fuel_Surcharge),2),ROUND(((1-IntEconomyDiscount-IntEoncomyIncentive)*'Intl Economy Base'!M33)*(1+International_Fuel_Surcharge),2)))*(1+FedEx_Markup),2)</f>
        <v>267.66000000000003</v>
      </c>
      <c r="N36" s="307">
        <f>ROUND((IF('Intl Economy Base'!$N$105&gt;ROUND(((1-IntEconomyDiscount-IntEoncomyIncentive)*'Intl Economy Base'!N33),2),ROUND('Intl Economy Base'!$N$105*(1+International_Fuel_Surcharge),2),ROUND(((1-IntEconomyDiscount-IntEoncomyIncentive)*'Intl Economy Base'!N33)*(1+International_Fuel_Surcharge),2)))*(1+FedEx_Markup),2)</f>
        <v>254.1</v>
      </c>
      <c r="O36" s="307">
        <f>ROUND((IF('Intl Economy Base'!$O$105&gt;ROUND(((1-IntEconomyDiscount-IntEoncomyIncentive)*'Intl Economy Base'!O33),2),ROUND('Intl Economy Base'!$O$105*(1+International_Fuel_Surcharge),2),ROUND(((1-IntEconomyDiscount-IntEoncomyIncentive)*'Intl Economy Base'!O33)*(1+International_Fuel_Surcharge),2)))*(1+FedEx_Markup),2)</f>
        <v>193.98</v>
      </c>
      <c r="P36" s="307">
        <f>ROUND((IF('Intl Economy Base'!$P$105&gt;ROUND(((1-IntEconomyDiscount-IntEoncomyIncentive)*'Intl Economy Base'!P33),2),ROUND('Intl Economy Base'!$P$105*(1+International_Fuel_Surcharge),2),ROUND(((1-IntEconomyDiscount-IntEoncomyIncentive)*'Intl Economy Base'!P33)*(1+International_Fuel_Surcharge),2)))*(1+FedEx_Markup),2)</f>
        <v>190.7</v>
      </c>
      <c r="Q36" s="307">
        <f>ROUND((IF('Intl Economy Base'!$Q$105&gt;ROUND(((1-PuertoRicoDiscount)*'Intl Economy Base'!Q33),2),ROUND('Intl Economy Base'!$Q$105*(1+International_Fuel_Surcharge),2),ROUND(((1-PuertoRicoDiscount)*'Intl Economy Base'!Q33)*(1+International_Fuel_Surcharge),2)))*(1+FedEx_Markup),2)</f>
        <v>222.08</v>
      </c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2.75" customHeight="1">
      <c r="A37" s="306">
        <v>32</v>
      </c>
      <c r="B37" s="307">
        <f>ROUND((IF('Intl Economy Base'!$B$105&gt;ROUND(((1-IntEconomyDiscount-IntEoncomyIncentive)*'Intl Economy Base'!B34),2),ROUND('Intl Economy Base'!$B$105*(1+International_Fuel_Surcharge),2),ROUND(((1-IntEconomyDiscount-IntEoncomyIncentive)*'Intl Economy Base'!B34)*(1+International_Fuel_Surcharge),2)))*(1+FedEx_Markup),2)</f>
        <v>92.17</v>
      </c>
      <c r="C37" s="307">
        <f>ROUND((IF('Intl Economy Base'!$C$105&gt;ROUND(((1-IntEconomyDiscount-IntEoncomyIncentive)*'Intl Economy Base'!C34),2),ROUND('Intl Economy Base'!$C$105*(1+International_Fuel_Surcharge),2),ROUND(((1-IntEconomyDiscount-IntEoncomyIncentive)*'Intl Economy Base'!C34)*(1+International_Fuel_Surcharge),2)))*(1+FedEx_Markup),2)</f>
        <v>108.66</v>
      </c>
      <c r="D37" s="307">
        <f>ROUND((IF('Intl Economy Base'!$D$105&gt;ROUND(((1-IntEconomyDiscount-IntEoncomyIncentive)*'Intl Economy Base'!D34),2),ROUND('Intl Economy Base'!$D$105*(1+International_Fuel_Surcharge),2),ROUND(((1-IntEconomyDiscount-IntEoncomyIncentive)*'Intl Economy Base'!D34)*(1+International_Fuel_Surcharge),2)))*(1+FedEx_Markup),2)</f>
        <v>90.21</v>
      </c>
      <c r="E37" s="307">
        <f>ROUND((IF('Intl Economy Base'!$E$105&gt;ROUND(((1-IntEconomyDiscount-IntEoncomyIncentive)*'Intl Economy Base'!E34),2),ROUND('Intl Economy Base'!$E$105*(1+International_Fuel_Surcharge),2),ROUND(((1-IntEconomyDiscount-IntEoncomyIncentive)*'Intl Economy Base'!E34)*(1+International_Fuel_Surcharge),2)))*(1+FedEx_Markup),2)</f>
        <v>151.31</v>
      </c>
      <c r="F37" s="307">
        <f>ROUND((IF('Intl Economy Base'!$F$105&gt;ROUND(((1-IntEconomyDiscount-IntEoncomyIncentive)*'Intl Economy Base'!F34),2),ROUND('Intl Economy Base'!$F$105*(1+International_Fuel_Surcharge),2),ROUND(((1-IntEconomyDiscount-IntEoncomyIncentive)*'Intl Economy Base'!F34)*(1+International_Fuel_Surcharge),2)))*(1+FedEx_Markup),2)</f>
        <v>273.22000000000003</v>
      </c>
      <c r="G37" s="307">
        <f>ROUND((IF('Intl Economy Base'!$G$105&gt;ROUND(((1-IntEconomyDiscount-IntEoncomyIncentive)*'Intl Economy Base'!G34),2),ROUND('Intl Economy Base'!$G$105*(1+International_Fuel_Surcharge),2),ROUND(((1-IntEconomyDiscount-IntEoncomyIncentive)*'Intl Economy Base'!G34)*(1+International_Fuel_Surcharge),2)))*(1+FedEx_Markup),2)</f>
        <v>151.09</v>
      </c>
      <c r="H37" s="307">
        <f>ROUND((IF('Intl Economy Base'!$H$105&gt;ROUND(((1-IntEconomyDiscount-IntEoncomyIncentive)*'Intl Economy Base'!H34),2),ROUND('Intl Economy Base'!$H$105*(1+International_Fuel_Surcharge),2),ROUND(((1-IntEconomyDiscount-IntEoncomyIncentive)*'Intl Economy Base'!H34)*(1+International_Fuel_Surcharge),2)))*(1+FedEx_Markup),2)</f>
        <v>158.84</v>
      </c>
      <c r="I37" s="307">
        <f>ROUND((IF('Intl Economy Base'!$I$105&gt;ROUND(((1-IntEconomyDiscount-IntEoncomyIncentive)*'Intl Economy Base'!I34),2),ROUND('Intl Economy Base'!$I$105*(1+International_Fuel_Surcharge),2),ROUND(((1-IntEconomyDiscount-IntEoncomyIncentive)*'Intl Economy Base'!I34)*(1+International_Fuel_Surcharge),2)))*(1+FedEx_Markup),2)</f>
        <v>176.18</v>
      </c>
      <c r="J37" s="307">
        <f>ROUND((IF('Intl Economy Base'!$J$105&gt;ROUND(((1-IntEconomyDiscount-IntEoncomyIncentive)*'Intl Economy Base'!J34),2),ROUND('Intl Economy Base'!$J$105*(1+International_Fuel_Surcharge),2),ROUND(((1-IntEconomyDiscount-IntEoncomyIncentive)*'Intl Economy Base'!J34)*(1+International_Fuel_Surcharge),2)))*(1+FedEx_Markup),2)</f>
        <v>110.07</v>
      </c>
      <c r="K37" s="307">
        <f>ROUND((IF('Intl Economy Base'!$K$105&gt;ROUND(((1-IntEconomyDiscount-IntEoncomyIncentive)*'Intl Economy Base'!K34),2),ROUND('Intl Economy Base'!$K$105*(1+International_Fuel_Surcharge),2),ROUND(((1-IntEconomyDiscount-IntEoncomyIncentive)*'Intl Economy Base'!K34)*(1+International_Fuel_Surcharge),2)))*(1+FedEx_Markup),2)</f>
        <v>212.65</v>
      </c>
      <c r="L37" s="307">
        <f>ROUND((IF('Intl Economy Base'!$L$105&gt;ROUND(((1-IntEconomyDiscount-IntEoncomyIncentive)*'Intl Economy Base'!L34),2),ROUND('Intl Economy Base'!$L$105*(1+International_Fuel_Surcharge),2),ROUND(((1-IntEconomyDiscount-IntEoncomyIncentive)*'Intl Economy Base'!L34)*(1+International_Fuel_Surcharge),2)))*(1+FedEx_Markup),2)</f>
        <v>192.75</v>
      </c>
      <c r="M37" s="307">
        <f>ROUND((IF('Intl Economy Base'!$M$105&gt;ROUND(((1-IntEconomyDiscount-IntEoncomyIncentive)*'Intl Economy Base'!M34),2),ROUND('Intl Economy Base'!$M$105*(1+International_Fuel_Surcharge),2),ROUND(((1-IntEconomyDiscount-IntEoncomyIncentive)*'Intl Economy Base'!M34)*(1+International_Fuel_Surcharge),2)))*(1+FedEx_Markup),2)</f>
        <v>269.8</v>
      </c>
      <c r="N37" s="307">
        <f>ROUND((IF('Intl Economy Base'!$N$105&gt;ROUND(((1-IntEconomyDiscount-IntEoncomyIncentive)*'Intl Economy Base'!N34),2),ROUND('Intl Economy Base'!$N$105*(1+International_Fuel_Surcharge),2),ROUND(((1-IntEconomyDiscount-IntEoncomyIncentive)*'Intl Economy Base'!N34)*(1+International_Fuel_Surcharge),2)))*(1+FedEx_Markup),2)</f>
        <v>254.21</v>
      </c>
      <c r="O37" s="307">
        <f>ROUND((IF('Intl Economy Base'!$O$105&gt;ROUND(((1-IntEconomyDiscount-IntEoncomyIncentive)*'Intl Economy Base'!O34),2),ROUND('Intl Economy Base'!$O$105*(1+International_Fuel_Surcharge),2),ROUND(((1-IntEconomyDiscount-IntEoncomyIncentive)*'Intl Economy Base'!O34)*(1+International_Fuel_Surcharge),2)))*(1+FedEx_Markup),2)</f>
        <v>194.91</v>
      </c>
      <c r="P37" s="307">
        <f>ROUND((IF('Intl Economy Base'!$P$105&gt;ROUND(((1-IntEconomyDiscount-IntEoncomyIncentive)*'Intl Economy Base'!P34),2),ROUND('Intl Economy Base'!$P$105*(1+International_Fuel_Surcharge),2),ROUND(((1-IntEconomyDiscount-IntEoncomyIncentive)*'Intl Economy Base'!P34)*(1+International_Fuel_Surcharge),2)))*(1+FedEx_Markup),2)</f>
        <v>191.28</v>
      </c>
      <c r="Q37" s="307">
        <f>ROUND((IF('Intl Economy Base'!$Q$105&gt;ROUND(((1-PuertoRicoDiscount)*'Intl Economy Base'!Q34),2),ROUND('Intl Economy Base'!$Q$105*(1+International_Fuel_Surcharge),2),ROUND(((1-PuertoRicoDiscount)*'Intl Economy Base'!Q34)*(1+International_Fuel_Surcharge),2)))*(1+FedEx_Markup),2)</f>
        <v>228.55</v>
      </c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2.75" customHeight="1">
      <c r="A38" s="306">
        <v>33</v>
      </c>
      <c r="B38" s="307">
        <f>ROUND((IF('Intl Economy Base'!$B$105&gt;ROUND(((1-IntEconomyDiscount-IntEoncomyIncentive)*'Intl Economy Base'!B35),2),ROUND('Intl Economy Base'!$B$105*(1+International_Fuel_Surcharge),2),ROUND(((1-IntEconomyDiscount-IntEoncomyIncentive)*'Intl Economy Base'!B35)*(1+International_Fuel_Surcharge),2)))*(1+FedEx_Markup),2)</f>
        <v>92.24</v>
      </c>
      <c r="C38" s="307">
        <f>ROUND((IF('Intl Economy Base'!$C$105&gt;ROUND(((1-IntEconomyDiscount-IntEoncomyIncentive)*'Intl Economy Base'!C35),2),ROUND('Intl Economy Base'!$C$105*(1+International_Fuel_Surcharge),2),ROUND(((1-IntEconomyDiscount-IntEoncomyIncentive)*'Intl Economy Base'!C35)*(1+International_Fuel_Surcharge),2)))*(1+FedEx_Markup),2)</f>
        <v>108.73</v>
      </c>
      <c r="D38" s="307">
        <f>ROUND((IF('Intl Economy Base'!$D$105&gt;ROUND(((1-IntEconomyDiscount-IntEoncomyIncentive)*'Intl Economy Base'!D35),2),ROUND('Intl Economy Base'!$D$105*(1+International_Fuel_Surcharge),2),ROUND(((1-IntEconomyDiscount-IntEoncomyIncentive)*'Intl Economy Base'!D35)*(1+International_Fuel_Surcharge),2)))*(1+FedEx_Markup),2)</f>
        <v>90.29</v>
      </c>
      <c r="E38" s="307">
        <f>ROUND((IF('Intl Economy Base'!$E$105&gt;ROUND(((1-IntEconomyDiscount-IntEoncomyIncentive)*'Intl Economy Base'!E35),2),ROUND('Intl Economy Base'!$E$105*(1+International_Fuel_Surcharge),2),ROUND(((1-IntEconomyDiscount-IntEoncomyIncentive)*'Intl Economy Base'!E35)*(1+International_Fuel_Surcharge),2)))*(1+FedEx_Markup),2)</f>
        <v>152.19</v>
      </c>
      <c r="F38" s="307">
        <f>ROUND((IF('Intl Economy Base'!$F$105&gt;ROUND(((1-IntEconomyDiscount-IntEoncomyIncentive)*'Intl Economy Base'!F35),2),ROUND('Intl Economy Base'!$F$105*(1+International_Fuel_Surcharge),2),ROUND(((1-IntEconomyDiscount-IntEoncomyIncentive)*'Intl Economy Base'!F35)*(1+International_Fuel_Surcharge),2)))*(1+FedEx_Markup),2)</f>
        <v>275.61</v>
      </c>
      <c r="G38" s="307">
        <f>ROUND((IF('Intl Economy Base'!$G$105&gt;ROUND(((1-IntEconomyDiscount-IntEoncomyIncentive)*'Intl Economy Base'!G35),2),ROUND('Intl Economy Base'!$G$105*(1+International_Fuel_Surcharge),2),ROUND(((1-IntEconomyDiscount-IntEoncomyIncentive)*'Intl Economy Base'!G35)*(1+International_Fuel_Surcharge),2)))*(1+FedEx_Markup),2)</f>
        <v>165.06</v>
      </c>
      <c r="H38" s="307">
        <f>ROUND((IF('Intl Economy Base'!$H$105&gt;ROUND(((1-IntEconomyDiscount-IntEoncomyIncentive)*'Intl Economy Base'!H35),2),ROUND('Intl Economy Base'!$H$105*(1+International_Fuel_Surcharge),2),ROUND(((1-IntEconomyDiscount-IntEoncomyIncentive)*'Intl Economy Base'!H35)*(1+International_Fuel_Surcharge),2)))*(1+FedEx_Markup),2)</f>
        <v>159.80000000000001</v>
      </c>
      <c r="I38" s="307">
        <f>ROUND((IF('Intl Economy Base'!$I$105&gt;ROUND(((1-IntEconomyDiscount-IntEoncomyIncentive)*'Intl Economy Base'!I35),2),ROUND('Intl Economy Base'!$I$105*(1+International_Fuel_Surcharge),2),ROUND(((1-IntEconomyDiscount-IntEoncomyIncentive)*'Intl Economy Base'!I35)*(1+International_Fuel_Surcharge),2)))*(1+FedEx_Markup),2)</f>
        <v>181.11</v>
      </c>
      <c r="J38" s="307">
        <f>ROUND((IF('Intl Economy Base'!$J$105&gt;ROUND(((1-IntEconomyDiscount-IntEoncomyIncentive)*'Intl Economy Base'!J35),2),ROUND('Intl Economy Base'!$J$105*(1+International_Fuel_Surcharge),2),ROUND(((1-IntEconomyDiscount-IntEoncomyIncentive)*'Intl Economy Base'!J35)*(1+International_Fuel_Surcharge),2)))*(1+FedEx_Markup),2)</f>
        <v>113.55</v>
      </c>
      <c r="K38" s="307">
        <f>ROUND((IF('Intl Economy Base'!$K$105&gt;ROUND(((1-IntEconomyDiscount-IntEoncomyIncentive)*'Intl Economy Base'!K35),2),ROUND('Intl Economy Base'!$K$105*(1+International_Fuel_Surcharge),2),ROUND(((1-IntEconomyDiscount-IntEoncomyIncentive)*'Intl Economy Base'!K35)*(1+International_Fuel_Surcharge),2)))*(1+FedEx_Markup),2)</f>
        <v>212.72</v>
      </c>
      <c r="L38" s="307">
        <f>ROUND((IF('Intl Economy Base'!$L$105&gt;ROUND(((1-IntEconomyDiscount-IntEoncomyIncentive)*'Intl Economy Base'!L35),2),ROUND('Intl Economy Base'!$L$105*(1+International_Fuel_Surcharge),2),ROUND(((1-IntEconomyDiscount-IntEoncomyIncentive)*'Intl Economy Base'!L35)*(1+International_Fuel_Surcharge),2)))*(1+FedEx_Markup),2)</f>
        <v>192.83</v>
      </c>
      <c r="M38" s="307">
        <f>ROUND((IF('Intl Economy Base'!$M$105&gt;ROUND(((1-IntEconomyDiscount-IntEoncomyIncentive)*'Intl Economy Base'!M35),2),ROUND('Intl Economy Base'!$M$105*(1+International_Fuel_Surcharge),2),ROUND(((1-IntEconomyDiscount-IntEoncomyIncentive)*'Intl Economy Base'!M35)*(1+International_Fuel_Surcharge),2)))*(1+FedEx_Markup),2)</f>
        <v>272.20999999999998</v>
      </c>
      <c r="N38" s="307">
        <f>ROUND((IF('Intl Economy Base'!$N$105&gt;ROUND(((1-IntEconomyDiscount-IntEoncomyIncentive)*'Intl Economy Base'!N35),2),ROUND('Intl Economy Base'!$N$105*(1+International_Fuel_Surcharge),2),ROUND(((1-IntEconomyDiscount-IntEoncomyIncentive)*'Intl Economy Base'!N35)*(1+International_Fuel_Surcharge),2)))*(1+FedEx_Markup),2)</f>
        <v>254.3</v>
      </c>
      <c r="O38" s="307">
        <f>ROUND((IF('Intl Economy Base'!$O$105&gt;ROUND(((1-IntEconomyDiscount-IntEoncomyIncentive)*'Intl Economy Base'!O35),2),ROUND('Intl Economy Base'!$O$105*(1+International_Fuel_Surcharge),2),ROUND(((1-IntEconomyDiscount-IntEoncomyIncentive)*'Intl Economy Base'!O35)*(1+International_Fuel_Surcharge),2)))*(1+FedEx_Markup),2)</f>
        <v>213.67</v>
      </c>
      <c r="P38" s="307">
        <f>ROUND((IF('Intl Economy Base'!$P$105&gt;ROUND(((1-IntEconomyDiscount-IntEoncomyIncentive)*'Intl Economy Base'!P35),2),ROUND('Intl Economy Base'!$P$105*(1+International_Fuel_Surcharge),2),ROUND(((1-IntEconomyDiscount-IntEoncomyIncentive)*'Intl Economy Base'!P35)*(1+International_Fuel_Surcharge),2)))*(1+FedEx_Markup),2)</f>
        <v>202.62</v>
      </c>
      <c r="Q38" s="307">
        <f>ROUND((IF('Intl Economy Base'!$Q$105&gt;ROUND(((1-PuertoRicoDiscount)*'Intl Economy Base'!Q35),2),ROUND('Intl Economy Base'!$Q$105*(1+International_Fuel_Surcharge),2),ROUND(((1-PuertoRicoDiscount)*'Intl Economy Base'!Q35)*(1+International_Fuel_Surcharge),2)))*(1+FedEx_Markup),2)</f>
        <v>234.77</v>
      </c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>
      <c r="A39" s="306">
        <v>34</v>
      </c>
      <c r="B39" s="307">
        <f>ROUND((IF('Intl Economy Base'!$B$105&gt;ROUND(((1-IntEconomyDiscount-IntEoncomyIncentive)*'Intl Economy Base'!B36),2),ROUND('Intl Economy Base'!$B$105*(1+International_Fuel_Surcharge),2),ROUND(((1-IntEconomyDiscount-IntEoncomyIncentive)*'Intl Economy Base'!B36)*(1+International_Fuel_Surcharge),2)))*(1+FedEx_Markup),2)</f>
        <v>92.31</v>
      </c>
      <c r="C39" s="307">
        <f>ROUND((IF('Intl Economy Base'!$C$105&gt;ROUND(((1-IntEconomyDiscount-IntEoncomyIncentive)*'Intl Economy Base'!C36),2),ROUND('Intl Economy Base'!$C$105*(1+International_Fuel_Surcharge),2),ROUND(((1-IntEconomyDiscount-IntEoncomyIncentive)*'Intl Economy Base'!C36)*(1+International_Fuel_Surcharge),2)))*(1+FedEx_Markup),2)</f>
        <v>108.8</v>
      </c>
      <c r="D39" s="307">
        <f>ROUND((IF('Intl Economy Base'!$D$105&gt;ROUND(((1-IntEconomyDiscount-IntEoncomyIncentive)*'Intl Economy Base'!D36),2),ROUND('Intl Economy Base'!$D$105*(1+International_Fuel_Surcharge),2),ROUND(((1-IntEconomyDiscount-IntEoncomyIncentive)*'Intl Economy Base'!D36)*(1+International_Fuel_Surcharge),2)))*(1+FedEx_Markup),2)</f>
        <v>90.36</v>
      </c>
      <c r="E39" s="307">
        <f>ROUND((IF('Intl Economy Base'!$E$105&gt;ROUND(((1-IntEconomyDiscount-IntEoncomyIncentive)*'Intl Economy Base'!E36),2),ROUND('Intl Economy Base'!$E$105*(1+International_Fuel_Surcharge),2),ROUND(((1-IntEconomyDiscount-IntEoncomyIncentive)*'Intl Economy Base'!E36)*(1+International_Fuel_Surcharge),2)))*(1+FedEx_Markup),2)</f>
        <v>152.29</v>
      </c>
      <c r="F39" s="307">
        <f>ROUND((IF('Intl Economy Base'!$F$105&gt;ROUND(((1-IntEconomyDiscount-IntEoncomyIncentive)*'Intl Economy Base'!F36),2),ROUND('Intl Economy Base'!$F$105*(1+International_Fuel_Surcharge),2),ROUND(((1-IntEconomyDiscount-IntEoncomyIncentive)*'Intl Economy Base'!F36)*(1+International_Fuel_Surcharge),2)))*(1+FedEx_Markup),2)</f>
        <v>275.85000000000002</v>
      </c>
      <c r="G39" s="307">
        <f>ROUND((IF('Intl Economy Base'!$G$105&gt;ROUND(((1-IntEconomyDiscount-IntEoncomyIncentive)*'Intl Economy Base'!G36),2),ROUND('Intl Economy Base'!$G$105*(1+International_Fuel_Surcharge),2),ROUND(((1-IntEconomyDiscount-IntEoncomyIncentive)*'Intl Economy Base'!G36)*(1+International_Fuel_Surcharge),2)))*(1+FedEx_Markup),2)</f>
        <v>166.46</v>
      </c>
      <c r="H39" s="307">
        <f>ROUND((IF('Intl Economy Base'!$H$105&gt;ROUND(((1-IntEconomyDiscount-IntEoncomyIncentive)*'Intl Economy Base'!H36),2),ROUND('Intl Economy Base'!$H$105*(1+International_Fuel_Surcharge),2),ROUND(((1-IntEconomyDiscount-IntEoncomyIncentive)*'Intl Economy Base'!H36)*(1+International_Fuel_Surcharge),2)))*(1+FedEx_Markup),2)</f>
        <v>159.97</v>
      </c>
      <c r="I39" s="307">
        <f>ROUND((IF('Intl Economy Base'!$I$105&gt;ROUND(((1-IntEconomyDiscount-IntEoncomyIncentive)*'Intl Economy Base'!I36),2),ROUND('Intl Economy Base'!$I$105*(1+International_Fuel_Surcharge),2),ROUND(((1-IntEconomyDiscount-IntEoncomyIncentive)*'Intl Economy Base'!I36)*(1+International_Fuel_Surcharge),2)))*(1+FedEx_Markup),2)</f>
        <v>181.62</v>
      </c>
      <c r="J39" s="307">
        <f>ROUND((IF('Intl Economy Base'!$J$105&gt;ROUND(((1-IntEconomyDiscount-IntEoncomyIncentive)*'Intl Economy Base'!J36),2),ROUND('Intl Economy Base'!$J$105*(1+International_Fuel_Surcharge),2),ROUND(((1-IntEconomyDiscount-IntEoncomyIncentive)*'Intl Economy Base'!J36)*(1+International_Fuel_Surcharge),2)))*(1+FedEx_Markup),2)</f>
        <v>113.91</v>
      </c>
      <c r="K39" s="307">
        <f>ROUND((IF('Intl Economy Base'!$K$105&gt;ROUND(((1-IntEconomyDiscount-IntEoncomyIncentive)*'Intl Economy Base'!K36),2),ROUND('Intl Economy Base'!$K$105*(1+International_Fuel_Surcharge),2),ROUND(((1-IntEconomyDiscount-IntEoncomyIncentive)*'Intl Economy Base'!K36)*(1+International_Fuel_Surcharge),2)))*(1+FedEx_Markup),2)</f>
        <v>213.15</v>
      </c>
      <c r="L39" s="307">
        <f>ROUND((IF('Intl Economy Base'!$L$105&gt;ROUND(((1-IntEconomyDiscount-IntEoncomyIncentive)*'Intl Economy Base'!L36),2),ROUND('Intl Economy Base'!$L$105*(1+International_Fuel_Surcharge),2),ROUND(((1-IntEconomyDiscount-IntEoncomyIncentive)*'Intl Economy Base'!L36)*(1+International_Fuel_Surcharge),2)))*(1+FedEx_Markup),2)</f>
        <v>192.92</v>
      </c>
      <c r="M39" s="307">
        <f>ROUND((IF('Intl Economy Base'!$M$105&gt;ROUND(((1-IntEconomyDiscount-IntEoncomyIncentive)*'Intl Economy Base'!M36),2),ROUND('Intl Economy Base'!$M$105*(1+International_Fuel_Surcharge),2),ROUND(((1-IntEconomyDiscount-IntEoncomyIncentive)*'Intl Economy Base'!M36)*(1+International_Fuel_Surcharge),2)))*(1+FedEx_Markup),2)</f>
        <v>272.45999999999998</v>
      </c>
      <c r="N39" s="307">
        <f>ROUND((IF('Intl Economy Base'!$N$105&gt;ROUND(((1-IntEconomyDiscount-IntEoncomyIncentive)*'Intl Economy Base'!N36),2),ROUND('Intl Economy Base'!$N$105*(1+International_Fuel_Surcharge),2),ROUND(((1-IntEconomyDiscount-IntEoncomyIncentive)*'Intl Economy Base'!N36)*(1+International_Fuel_Surcharge),2)))*(1+FedEx_Markup),2)</f>
        <v>254.37</v>
      </c>
      <c r="O39" s="307">
        <f>ROUND((IF('Intl Economy Base'!$O$105&gt;ROUND(((1-IntEconomyDiscount-IntEoncomyIncentive)*'Intl Economy Base'!O36),2),ROUND('Intl Economy Base'!$O$105*(1+International_Fuel_Surcharge),2),ROUND(((1-IntEconomyDiscount-IntEoncomyIncentive)*'Intl Economy Base'!O36)*(1+International_Fuel_Surcharge),2)))*(1+FedEx_Markup),2)</f>
        <v>215.54</v>
      </c>
      <c r="P39" s="307">
        <f>ROUND((IF('Intl Economy Base'!$P$105&gt;ROUND(((1-IntEconomyDiscount-IntEoncomyIncentive)*'Intl Economy Base'!P36),2),ROUND('Intl Economy Base'!$P$105*(1+International_Fuel_Surcharge),2),ROUND(((1-IntEconomyDiscount-IntEoncomyIncentive)*'Intl Economy Base'!P36)*(1+International_Fuel_Surcharge),2)))*(1+FedEx_Markup),2)</f>
        <v>209.81</v>
      </c>
      <c r="Q39" s="307">
        <f>ROUND((IF('Intl Economy Base'!$Q$105&gt;ROUND(((1-PuertoRicoDiscount)*'Intl Economy Base'!Q36),2),ROUND('Intl Economy Base'!$Q$105*(1+International_Fuel_Surcharge),2),ROUND(((1-PuertoRicoDiscount)*'Intl Economy Base'!Q36)*(1+International_Fuel_Surcharge),2)))*(1+FedEx_Markup),2)</f>
        <v>240.87</v>
      </c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2.75" customHeight="1">
      <c r="A40" s="306">
        <v>35</v>
      </c>
      <c r="B40" s="307">
        <f>ROUND((IF('Intl Economy Base'!$B$105&gt;ROUND(((1-IntEconomyDiscount-IntEoncomyIncentive)*'Intl Economy Base'!B37),2),ROUND('Intl Economy Base'!$B$105*(1+International_Fuel_Surcharge),2),ROUND(((1-IntEconomyDiscount-IntEoncomyIncentive)*'Intl Economy Base'!B37)*(1+International_Fuel_Surcharge),2)))*(1+FedEx_Markup),2)</f>
        <v>93.04</v>
      </c>
      <c r="C40" s="307">
        <f>ROUND((IF('Intl Economy Base'!$C$105&gt;ROUND(((1-IntEconomyDiscount-IntEoncomyIncentive)*'Intl Economy Base'!C37),2),ROUND('Intl Economy Base'!$C$105*(1+International_Fuel_Surcharge),2),ROUND(((1-IntEconomyDiscount-IntEoncomyIncentive)*'Intl Economy Base'!C37)*(1+International_Fuel_Surcharge),2)))*(1+FedEx_Markup),2)</f>
        <v>109.3</v>
      </c>
      <c r="D40" s="307">
        <f>ROUND((IF('Intl Economy Base'!$D$105&gt;ROUND(((1-IntEconomyDiscount-IntEoncomyIncentive)*'Intl Economy Base'!D37),2),ROUND('Intl Economy Base'!$D$105*(1+International_Fuel_Surcharge),2),ROUND(((1-IntEconomyDiscount-IntEoncomyIncentive)*'Intl Economy Base'!D37)*(1+International_Fuel_Surcharge),2)))*(1+FedEx_Markup),2)</f>
        <v>90.42</v>
      </c>
      <c r="E40" s="307">
        <f>ROUND((IF('Intl Economy Base'!$E$105&gt;ROUND(((1-IntEconomyDiscount-IntEoncomyIncentive)*'Intl Economy Base'!E37),2),ROUND('Intl Economy Base'!$E$105*(1+International_Fuel_Surcharge),2),ROUND(((1-IntEconomyDiscount-IntEoncomyIncentive)*'Intl Economy Base'!E37)*(1+International_Fuel_Surcharge),2)))*(1+FedEx_Markup),2)</f>
        <v>152.36000000000001</v>
      </c>
      <c r="F40" s="307">
        <f>ROUND((IF('Intl Economy Base'!$F$105&gt;ROUND(((1-IntEconomyDiscount-IntEoncomyIncentive)*'Intl Economy Base'!F37),2),ROUND('Intl Economy Base'!$F$105*(1+International_Fuel_Surcharge),2),ROUND(((1-IntEconomyDiscount-IntEoncomyIncentive)*'Intl Economy Base'!F37)*(1+International_Fuel_Surcharge),2)))*(1+FedEx_Markup),2)</f>
        <v>275.91000000000003</v>
      </c>
      <c r="G40" s="307">
        <f>ROUND((IF('Intl Economy Base'!$G$105&gt;ROUND(((1-IntEconomyDiscount-IntEoncomyIncentive)*'Intl Economy Base'!G37),2),ROUND('Intl Economy Base'!$G$105*(1+International_Fuel_Surcharge),2),ROUND(((1-IntEconomyDiscount-IntEoncomyIncentive)*'Intl Economy Base'!G37)*(1+International_Fuel_Surcharge),2)))*(1+FedEx_Markup),2)</f>
        <v>167.59</v>
      </c>
      <c r="H40" s="307">
        <f>ROUND((IF('Intl Economy Base'!$H$105&gt;ROUND(((1-IntEconomyDiscount-IntEoncomyIncentive)*'Intl Economy Base'!H37),2),ROUND('Intl Economy Base'!$H$105*(1+International_Fuel_Surcharge),2),ROUND(((1-IntEconomyDiscount-IntEoncomyIncentive)*'Intl Economy Base'!H37)*(1+International_Fuel_Surcharge),2)))*(1+FedEx_Markup),2)</f>
        <v>160.63</v>
      </c>
      <c r="I40" s="307">
        <f>ROUND((IF('Intl Economy Base'!$I$105&gt;ROUND(((1-IntEconomyDiscount-IntEoncomyIncentive)*'Intl Economy Base'!I37),2),ROUND('Intl Economy Base'!$I$105*(1+International_Fuel_Surcharge),2),ROUND(((1-IntEconomyDiscount-IntEoncomyIncentive)*'Intl Economy Base'!I37)*(1+International_Fuel_Surcharge),2)))*(1+FedEx_Markup),2)</f>
        <v>184.76</v>
      </c>
      <c r="J40" s="307">
        <f>ROUND((IF('Intl Economy Base'!$J$105&gt;ROUND(((1-IntEconomyDiscount-IntEoncomyIncentive)*'Intl Economy Base'!J37),2),ROUND('Intl Economy Base'!$J$105*(1+International_Fuel_Surcharge),2),ROUND(((1-IntEconomyDiscount-IntEoncomyIncentive)*'Intl Economy Base'!J37)*(1+International_Fuel_Surcharge),2)))*(1+FedEx_Markup),2)</f>
        <v>114.37</v>
      </c>
      <c r="K40" s="307">
        <f>ROUND((IF('Intl Economy Base'!$K$105&gt;ROUND(((1-IntEconomyDiscount-IntEoncomyIncentive)*'Intl Economy Base'!K37),2),ROUND('Intl Economy Base'!$K$105*(1+International_Fuel_Surcharge),2),ROUND(((1-IntEconomyDiscount-IntEoncomyIncentive)*'Intl Economy Base'!K37)*(1+International_Fuel_Surcharge),2)))*(1+FedEx_Markup),2)</f>
        <v>221.92</v>
      </c>
      <c r="L40" s="307">
        <f>ROUND((IF('Intl Economy Base'!$L$105&gt;ROUND(((1-IntEconomyDiscount-IntEoncomyIncentive)*'Intl Economy Base'!L37),2),ROUND('Intl Economy Base'!$L$105*(1+International_Fuel_Surcharge),2),ROUND(((1-IntEconomyDiscount-IntEoncomyIncentive)*'Intl Economy Base'!L37)*(1+International_Fuel_Surcharge),2)))*(1+FedEx_Markup),2)</f>
        <v>193.84</v>
      </c>
      <c r="M40" s="307">
        <f>ROUND((IF('Intl Economy Base'!$M$105&gt;ROUND(((1-IntEconomyDiscount-IntEoncomyIncentive)*'Intl Economy Base'!M37),2),ROUND('Intl Economy Base'!$M$105*(1+International_Fuel_Surcharge),2),ROUND(((1-IntEconomyDiscount-IntEoncomyIncentive)*'Intl Economy Base'!M37)*(1+International_Fuel_Surcharge),2)))*(1+FedEx_Markup),2)</f>
        <v>272.52999999999997</v>
      </c>
      <c r="N40" s="307">
        <f>ROUND((IF('Intl Economy Base'!$N$105&gt;ROUND(((1-IntEconomyDiscount-IntEoncomyIncentive)*'Intl Economy Base'!N37),2),ROUND('Intl Economy Base'!$N$105*(1+International_Fuel_Surcharge),2),ROUND(((1-IntEconomyDiscount-IntEoncomyIncentive)*'Intl Economy Base'!N37)*(1+International_Fuel_Surcharge),2)))*(1+FedEx_Markup),2)</f>
        <v>254.45</v>
      </c>
      <c r="O40" s="307">
        <f>ROUND((IF('Intl Economy Base'!$O$105&gt;ROUND(((1-IntEconomyDiscount-IntEoncomyIncentive)*'Intl Economy Base'!O37),2),ROUND('Intl Economy Base'!$O$105*(1+International_Fuel_Surcharge),2),ROUND(((1-IntEconomyDiscount-IntEoncomyIncentive)*'Intl Economy Base'!O37)*(1+International_Fuel_Surcharge),2)))*(1+FedEx_Markup),2)</f>
        <v>216.28</v>
      </c>
      <c r="P40" s="307">
        <f>ROUND((IF('Intl Economy Base'!$P$105&gt;ROUND(((1-IntEconomyDiscount-IntEoncomyIncentive)*'Intl Economy Base'!P37),2),ROUND('Intl Economy Base'!$P$105*(1+International_Fuel_Surcharge),2),ROUND(((1-IntEconomyDiscount-IntEoncomyIncentive)*'Intl Economy Base'!P37)*(1+International_Fuel_Surcharge),2)))*(1+FedEx_Markup),2)</f>
        <v>211.19</v>
      </c>
      <c r="Q40" s="307">
        <f>ROUND((IF('Intl Economy Base'!$Q$105&gt;ROUND(((1-PuertoRicoDiscount)*'Intl Economy Base'!Q37),2),ROUND('Intl Economy Base'!$Q$105*(1+International_Fuel_Surcharge),2),ROUND(((1-PuertoRicoDiscount)*'Intl Economy Base'!Q37)*(1+International_Fuel_Surcharge),2)))*(1+FedEx_Markup),2)</f>
        <v>247.34</v>
      </c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2.75" customHeight="1">
      <c r="A41" s="306">
        <v>36</v>
      </c>
      <c r="B41" s="307">
        <f>ROUND((IF('Intl Economy Base'!$B$105&gt;ROUND(((1-IntEconomyDiscount-IntEoncomyIncentive)*'Intl Economy Base'!B38),2),ROUND('Intl Economy Base'!$B$105*(1+International_Fuel_Surcharge),2),ROUND(((1-IntEconomyDiscount-IntEoncomyIncentive)*'Intl Economy Base'!B38)*(1+International_Fuel_Surcharge),2)))*(1+FedEx_Markup),2)</f>
        <v>103.57</v>
      </c>
      <c r="C41" s="307">
        <f>ROUND((IF('Intl Economy Base'!$C$105&gt;ROUND(((1-IntEconomyDiscount-IntEoncomyIncentive)*'Intl Economy Base'!C38),2),ROUND('Intl Economy Base'!$C$105*(1+International_Fuel_Surcharge),2),ROUND(((1-IntEconomyDiscount-IntEoncomyIncentive)*'Intl Economy Base'!C38)*(1+International_Fuel_Surcharge),2)))*(1+FedEx_Markup),2)</f>
        <v>119.12</v>
      </c>
      <c r="D41" s="307">
        <f>ROUND((IF('Intl Economy Base'!$D$105&gt;ROUND(((1-IntEconomyDiscount-IntEoncomyIncentive)*'Intl Economy Base'!D38),2),ROUND('Intl Economy Base'!$D$105*(1+International_Fuel_Surcharge),2),ROUND(((1-IntEconomyDiscount-IntEoncomyIncentive)*'Intl Economy Base'!D38)*(1+International_Fuel_Surcharge),2)))*(1+FedEx_Markup),2)</f>
        <v>91.91</v>
      </c>
      <c r="E41" s="307">
        <f>ROUND((IF('Intl Economy Base'!$E$105&gt;ROUND(((1-IntEconomyDiscount-IntEoncomyIncentive)*'Intl Economy Base'!E38),2),ROUND('Intl Economy Base'!$E$105*(1+International_Fuel_Surcharge),2),ROUND(((1-IntEconomyDiscount-IntEoncomyIncentive)*'Intl Economy Base'!E38)*(1+International_Fuel_Surcharge),2)))*(1+FedEx_Markup),2)</f>
        <v>152.46</v>
      </c>
      <c r="F41" s="307">
        <f>ROUND((IF('Intl Economy Base'!$F$105&gt;ROUND(((1-IntEconomyDiscount-IntEoncomyIncentive)*'Intl Economy Base'!F38),2),ROUND('Intl Economy Base'!$F$105*(1+International_Fuel_Surcharge),2),ROUND(((1-IntEconomyDiscount-IntEoncomyIncentive)*'Intl Economy Base'!F38)*(1+International_Fuel_Surcharge),2)))*(1+FedEx_Markup),2)</f>
        <v>275.97000000000003</v>
      </c>
      <c r="G41" s="307">
        <f>ROUND((IF('Intl Economy Base'!$G$105&gt;ROUND(((1-IntEconomyDiscount-IntEoncomyIncentive)*'Intl Economy Base'!G38),2),ROUND('Intl Economy Base'!$G$105*(1+International_Fuel_Surcharge),2),ROUND(((1-IntEconomyDiscount-IntEoncomyIncentive)*'Intl Economy Base'!G38)*(1+International_Fuel_Surcharge),2)))*(1+FedEx_Markup),2)</f>
        <v>167.7</v>
      </c>
      <c r="H41" s="307">
        <f>ROUND((IF('Intl Economy Base'!$H$105&gt;ROUND(((1-IntEconomyDiscount-IntEoncomyIncentive)*'Intl Economy Base'!H38),2),ROUND('Intl Economy Base'!$H$105*(1+International_Fuel_Surcharge),2),ROUND(((1-IntEconomyDiscount-IntEoncomyIncentive)*'Intl Economy Base'!H38)*(1+International_Fuel_Surcharge),2)))*(1+FedEx_Markup),2)</f>
        <v>174.08</v>
      </c>
      <c r="I41" s="307">
        <f>ROUND((IF('Intl Economy Base'!$I$105&gt;ROUND(((1-IntEconomyDiscount-IntEoncomyIncentive)*'Intl Economy Base'!I38),2),ROUND('Intl Economy Base'!$I$105*(1+International_Fuel_Surcharge),2),ROUND(((1-IntEconomyDiscount-IntEoncomyIncentive)*'Intl Economy Base'!I38)*(1+International_Fuel_Surcharge),2)))*(1+FedEx_Markup),2)</f>
        <v>191.76</v>
      </c>
      <c r="J41" s="307">
        <f>ROUND((IF('Intl Economy Base'!$J$105&gt;ROUND(((1-IntEconomyDiscount-IntEoncomyIncentive)*'Intl Economy Base'!J38),2),ROUND('Intl Economy Base'!$J$105*(1+International_Fuel_Surcharge),2),ROUND(((1-IntEconomyDiscount-IntEoncomyIncentive)*'Intl Economy Base'!J38)*(1+International_Fuel_Surcharge),2)))*(1+FedEx_Markup),2)</f>
        <v>114.43</v>
      </c>
      <c r="K41" s="307">
        <f>ROUND((IF('Intl Economy Base'!$K$105&gt;ROUND(((1-IntEconomyDiscount-IntEoncomyIncentive)*'Intl Economy Base'!K38),2),ROUND('Intl Economy Base'!$K$105*(1+International_Fuel_Surcharge),2),ROUND(((1-IntEconomyDiscount-IntEoncomyIncentive)*'Intl Economy Base'!K38)*(1+International_Fuel_Surcharge),2)))*(1+FedEx_Markup),2)</f>
        <v>264.3</v>
      </c>
      <c r="L41" s="307">
        <f>ROUND((IF('Intl Economy Base'!$L$105&gt;ROUND(((1-IntEconomyDiscount-IntEoncomyIncentive)*'Intl Economy Base'!L38),2),ROUND('Intl Economy Base'!$L$105*(1+International_Fuel_Surcharge),2),ROUND(((1-IntEconomyDiscount-IntEoncomyIncentive)*'Intl Economy Base'!L38)*(1+International_Fuel_Surcharge),2)))*(1+FedEx_Markup),2)</f>
        <v>199.5</v>
      </c>
      <c r="M41" s="307">
        <f>ROUND((IF('Intl Economy Base'!$M$105&gt;ROUND(((1-IntEconomyDiscount-IntEoncomyIncentive)*'Intl Economy Base'!M38),2),ROUND('Intl Economy Base'!$M$105*(1+International_Fuel_Surcharge),2),ROUND(((1-IntEconomyDiscount-IntEoncomyIncentive)*'Intl Economy Base'!M38)*(1+International_Fuel_Surcharge),2)))*(1+FedEx_Markup),2)</f>
        <v>273.02</v>
      </c>
      <c r="N41" s="307">
        <f>ROUND((IF('Intl Economy Base'!$N$105&gt;ROUND(((1-IntEconomyDiscount-IntEoncomyIncentive)*'Intl Economy Base'!N38),2),ROUND('Intl Economy Base'!$N$105*(1+International_Fuel_Surcharge),2),ROUND(((1-IntEconomyDiscount-IntEoncomyIncentive)*'Intl Economy Base'!N38)*(1+International_Fuel_Surcharge),2)))*(1+FedEx_Markup),2)</f>
        <v>254.53</v>
      </c>
      <c r="O41" s="307">
        <f>ROUND((IF('Intl Economy Base'!$O$105&gt;ROUND(((1-IntEconomyDiscount-IntEoncomyIncentive)*'Intl Economy Base'!O38),2),ROUND('Intl Economy Base'!$O$105*(1+International_Fuel_Surcharge),2),ROUND(((1-IntEconomyDiscount-IntEoncomyIncentive)*'Intl Economy Base'!O38)*(1+International_Fuel_Surcharge),2)))*(1+FedEx_Markup),2)</f>
        <v>230.95</v>
      </c>
      <c r="P41" s="307">
        <f>ROUND((IF('Intl Economy Base'!$P$105&gt;ROUND(((1-IntEconomyDiscount-IntEoncomyIncentive)*'Intl Economy Base'!P38),2),ROUND('Intl Economy Base'!$P$105*(1+International_Fuel_Surcharge),2),ROUND(((1-IntEconomyDiscount-IntEoncomyIncentive)*'Intl Economy Base'!P38)*(1+International_Fuel_Surcharge),2)))*(1+FedEx_Markup),2)</f>
        <v>211.36</v>
      </c>
      <c r="Q41" s="307">
        <f>ROUND((IF('Intl Economy Base'!$Q$105&gt;ROUND(((1-PuertoRicoDiscount)*'Intl Economy Base'!Q38),2),ROUND('Intl Economy Base'!$Q$105*(1+International_Fuel_Surcharge),2),ROUND(((1-PuertoRicoDiscount)*'Intl Economy Base'!Q38)*(1+International_Fuel_Surcharge),2)))*(1+FedEx_Markup),2)</f>
        <v>258.16000000000003</v>
      </c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2.75" customHeight="1">
      <c r="A42" s="306">
        <v>37</v>
      </c>
      <c r="B42" s="307">
        <f>ROUND((IF('Intl Economy Base'!$B$105&gt;ROUND(((1-IntEconomyDiscount-IntEoncomyIncentive)*'Intl Economy Base'!B39),2),ROUND('Intl Economy Base'!$B$105*(1+International_Fuel_Surcharge),2),ROUND(((1-IntEconomyDiscount-IntEoncomyIncentive)*'Intl Economy Base'!B39)*(1+International_Fuel_Surcharge),2)))*(1+FedEx_Markup),2)</f>
        <v>104.62</v>
      </c>
      <c r="C42" s="307">
        <f>ROUND((IF('Intl Economy Base'!$C$105&gt;ROUND(((1-IntEconomyDiscount-IntEoncomyIncentive)*'Intl Economy Base'!C39),2),ROUND('Intl Economy Base'!$C$105*(1+International_Fuel_Surcharge),2),ROUND(((1-IntEconomyDiscount-IntEoncomyIncentive)*'Intl Economy Base'!C39)*(1+International_Fuel_Surcharge),2)))*(1+FedEx_Markup),2)</f>
        <v>121.38</v>
      </c>
      <c r="D42" s="307">
        <f>ROUND((IF('Intl Economy Base'!$D$105&gt;ROUND(((1-IntEconomyDiscount-IntEoncomyIncentive)*'Intl Economy Base'!D39),2),ROUND('Intl Economy Base'!$D$105*(1+International_Fuel_Surcharge),2),ROUND(((1-IntEconomyDiscount-IntEoncomyIncentive)*'Intl Economy Base'!D39)*(1+International_Fuel_Surcharge),2)))*(1+FedEx_Markup),2)</f>
        <v>92.2</v>
      </c>
      <c r="E42" s="307">
        <f>ROUND((IF('Intl Economy Base'!$E$105&gt;ROUND(((1-IntEconomyDiscount-IntEoncomyIncentive)*'Intl Economy Base'!E39),2),ROUND('Intl Economy Base'!$E$105*(1+International_Fuel_Surcharge),2),ROUND(((1-IntEconomyDiscount-IntEoncomyIncentive)*'Intl Economy Base'!E39)*(1+International_Fuel_Surcharge),2)))*(1+FedEx_Markup),2)</f>
        <v>153.07</v>
      </c>
      <c r="F42" s="307">
        <f>ROUND((IF('Intl Economy Base'!$F$105&gt;ROUND(((1-IntEconomyDiscount-IntEoncomyIncentive)*'Intl Economy Base'!F39),2),ROUND('Intl Economy Base'!$F$105*(1+International_Fuel_Surcharge),2),ROUND(((1-IntEconomyDiscount-IntEoncomyIncentive)*'Intl Economy Base'!F39)*(1+International_Fuel_Surcharge),2)))*(1+FedEx_Markup),2)</f>
        <v>276.02999999999997</v>
      </c>
      <c r="G42" s="307">
        <f>ROUND((IF('Intl Economy Base'!$G$105&gt;ROUND(((1-IntEconomyDiscount-IntEoncomyIncentive)*'Intl Economy Base'!G39),2),ROUND('Intl Economy Base'!$G$105*(1+International_Fuel_Surcharge),2),ROUND(((1-IntEconomyDiscount-IntEoncomyIncentive)*'Intl Economy Base'!G39)*(1+International_Fuel_Surcharge),2)))*(1+FedEx_Markup),2)</f>
        <v>167.8</v>
      </c>
      <c r="H42" s="307">
        <f>ROUND((IF('Intl Economy Base'!$H$105&gt;ROUND(((1-IntEconomyDiscount-IntEoncomyIncentive)*'Intl Economy Base'!H39),2),ROUND('Intl Economy Base'!$H$105*(1+International_Fuel_Surcharge),2),ROUND(((1-IntEconomyDiscount-IntEoncomyIncentive)*'Intl Economy Base'!H39)*(1+International_Fuel_Surcharge),2)))*(1+FedEx_Markup),2)</f>
        <v>175.42</v>
      </c>
      <c r="I42" s="307">
        <f>ROUND((IF('Intl Economy Base'!$I$105&gt;ROUND(((1-IntEconomyDiscount-IntEoncomyIncentive)*'Intl Economy Base'!I39),2),ROUND('Intl Economy Base'!$I$105*(1+International_Fuel_Surcharge),2),ROUND(((1-IntEconomyDiscount-IntEoncomyIncentive)*'Intl Economy Base'!I39)*(1+International_Fuel_Surcharge),2)))*(1+FedEx_Markup),2)</f>
        <v>192.69</v>
      </c>
      <c r="J42" s="307">
        <f>ROUND((IF('Intl Economy Base'!$J$105&gt;ROUND(((1-IntEconomyDiscount-IntEoncomyIncentive)*'Intl Economy Base'!J39),2),ROUND('Intl Economy Base'!$J$105*(1+International_Fuel_Surcharge),2),ROUND(((1-IntEconomyDiscount-IntEoncomyIncentive)*'Intl Economy Base'!J39)*(1+International_Fuel_Surcharge),2)))*(1+FedEx_Markup),2)</f>
        <v>114.61</v>
      </c>
      <c r="K42" s="307">
        <f>ROUND((IF('Intl Economy Base'!$K$105&gt;ROUND(((1-IntEconomyDiscount-IntEoncomyIncentive)*'Intl Economy Base'!K39),2),ROUND('Intl Economy Base'!$K$105*(1+International_Fuel_Surcharge),2),ROUND(((1-IntEconomyDiscount-IntEoncomyIncentive)*'Intl Economy Base'!K39)*(1+International_Fuel_Surcharge),2)))*(1+FedEx_Markup),2)</f>
        <v>268.55</v>
      </c>
      <c r="L42" s="307">
        <f>ROUND((IF('Intl Economy Base'!$L$105&gt;ROUND(((1-IntEconomyDiscount-IntEoncomyIncentive)*'Intl Economy Base'!L39),2),ROUND('Intl Economy Base'!$L$105*(1+International_Fuel_Surcharge),2),ROUND(((1-IntEconomyDiscount-IntEoncomyIncentive)*'Intl Economy Base'!L39)*(1+International_Fuel_Surcharge),2)))*(1+FedEx_Markup),2)</f>
        <v>200.08</v>
      </c>
      <c r="M42" s="307">
        <f>ROUND((IF('Intl Economy Base'!$M$105&gt;ROUND(((1-IntEconomyDiscount-IntEoncomyIncentive)*'Intl Economy Base'!M39),2),ROUND('Intl Economy Base'!$M$105*(1+International_Fuel_Surcharge),2),ROUND(((1-IntEconomyDiscount-IntEoncomyIncentive)*'Intl Economy Base'!M39)*(1+International_Fuel_Surcharge),2)))*(1+FedEx_Markup),2)</f>
        <v>273.54000000000002</v>
      </c>
      <c r="N42" s="307">
        <f>ROUND((IF('Intl Economy Base'!$N$105&gt;ROUND(((1-IntEconomyDiscount-IntEoncomyIncentive)*'Intl Economy Base'!N39),2),ROUND('Intl Economy Base'!$N$105*(1+International_Fuel_Surcharge),2),ROUND(((1-IntEconomyDiscount-IntEoncomyIncentive)*'Intl Economy Base'!N39)*(1+International_Fuel_Surcharge),2)))*(1+FedEx_Markup),2)</f>
        <v>255.46</v>
      </c>
      <c r="O42" s="307">
        <f>ROUND((IF('Intl Economy Base'!$O$105&gt;ROUND(((1-IntEconomyDiscount-IntEoncomyIncentive)*'Intl Economy Base'!O39),2),ROUND('Intl Economy Base'!$O$105*(1+International_Fuel_Surcharge),2),ROUND(((1-IntEconomyDiscount-IntEoncomyIncentive)*'Intl Economy Base'!O39)*(1+International_Fuel_Surcharge),2)))*(1+FedEx_Markup),2)</f>
        <v>232.45</v>
      </c>
      <c r="P42" s="307">
        <f>ROUND((IF('Intl Economy Base'!$P$105&gt;ROUND(((1-IntEconomyDiscount-IntEoncomyIncentive)*'Intl Economy Base'!P39),2),ROUND('Intl Economy Base'!$P$105*(1+International_Fuel_Surcharge),2),ROUND(((1-IntEconomyDiscount-IntEoncomyIncentive)*'Intl Economy Base'!P39)*(1+International_Fuel_Surcharge),2)))*(1+FedEx_Markup),2)</f>
        <v>214.68</v>
      </c>
      <c r="Q42" s="307">
        <f>ROUND((IF('Intl Economy Base'!$Q$105&gt;ROUND(((1-PuertoRicoDiscount)*'Intl Economy Base'!Q39),2),ROUND('Intl Economy Base'!$Q$105*(1+International_Fuel_Surcharge),2),ROUND(((1-PuertoRicoDiscount)*'Intl Economy Base'!Q39)*(1+International_Fuel_Surcharge),2)))*(1+FedEx_Markup),2)</f>
        <v>264.68</v>
      </c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2.75" customHeight="1">
      <c r="A43" s="306">
        <v>38</v>
      </c>
      <c r="B43" s="307">
        <f>ROUND((IF('Intl Economy Base'!$B$105&gt;ROUND(((1-IntEconomyDiscount-IntEoncomyIncentive)*'Intl Economy Base'!B40),2),ROUND('Intl Economy Base'!$B$105*(1+International_Fuel_Surcharge),2),ROUND(((1-IntEconomyDiscount-IntEoncomyIncentive)*'Intl Economy Base'!B40)*(1+International_Fuel_Surcharge),2)))*(1+FedEx_Markup),2)</f>
        <v>107.62</v>
      </c>
      <c r="C43" s="307">
        <f>ROUND((IF('Intl Economy Base'!$C$105&gt;ROUND(((1-IntEconomyDiscount-IntEoncomyIncentive)*'Intl Economy Base'!C40),2),ROUND('Intl Economy Base'!$C$105*(1+International_Fuel_Surcharge),2),ROUND(((1-IntEconomyDiscount-IntEoncomyIncentive)*'Intl Economy Base'!C40)*(1+International_Fuel_Surcharge),2)))*(1+FedEx_Markup),2)</f>
        <v>123.64</v>
      </c>
      <c r="D43" s="307">
        <f>ROUND((IF('Intl Economy Base'!$D$105&gt;ROUND(((1-IntEconomyDiscount-IntEoncomyIncentive)*'Intl Economy Base'!D40),2),ROUND('Intl Economy Base'!$D$105*(1+International_Fuel_Surcharge),2),ROUND(((1-IntEconomyDiscount-IntEoncomyIncentive)*'Intl Economy Base'!D40)*(1+International_Fuel_Surcharge),2)))*(1+FedEx_Markup),2)</f>
        <v>93.22</v>
      </c>
      <c r="E43" s="307">
        <f>ROUND((IF('Intl Economy Base'!$E$105&gt;ROUND(((1-IntEconomyDiscount-IntEoncomyIncentive)*'Intl Economy Base'!E40),2),ROUND('Intl Economy Base'!$E$105*(1+International_Fuel_Surcharge),2),ROUND(((1-IntEconomyDiscount-IntEoncomyIncentive)*'Intl Economy Base'!E40)*(1+International_Fuel_Surcharge),2)))*(1+FedEx_Markup),2)</f>
        <v>156.12</v>
      </c>
      <c r="F43" s="307">
        <f>ROUND((IF('Intl Economy Base'!$F$105&gt;ROUND(((1-IntEconomyDiscount-IntEoncomyIncentive)*'Intl Economy Base'!F40),2),ROUND('Intl Economy Base'!$F$105*(1+International_Fuel_Surcharge),2),ROUND(((1-IntEconomyDiscount-IntEoncomyIncentive)*'Intl Economy Base'!F40)*(1+International_Fuel_Surcharge),2)))*(1+FedEx_Markup),2)</f>
        <v>276.14</v>
      </c>
      <c r="G43" s="307">
        <f>ROUND((IF('Intl Economy Base'!$G$105&gt;ROUND(((1-IntEconomyDiscount-IntEoncomyIncentive)*'Intl Economy Base'!G40),2),ROUND('Intl Economy Base'!$G$105*(1+International_Fuel_Surcharge),2),ROUND(((1-IntEconomyDiscount-IntEoncomyIncentive)*'Intl Economy Base'!G40)*(1+International_Fuel_Surcharge),2)))*(1+FedEx_Markup),2)</f>
        <v>167.9</v>
      </c>
      <c r="H43" s="307">
        <f>ROUND((IF('Intl Economy Base'!$H$105&gt;ROUND(((1-IntEconomyDiscount-IntEoncomyIncentive)*'Intl Economy Base'!H40),2),ROUND('Intl Economy Base'!$H$105*(1+International_Fuel_Surcharge),2),ROUND(((1-IntEconomyDiscount-IntEoncomyIncentive)*'Intl Economy Base'!H40)*(1+International_Fuel_Surcharge),2)))*(1+FedEx_Markup),2)</f>
        <v>178.46</v>
      </c>
      <c r="I43" s="307">
        <f>ROUND((IF('Intl Economy Base'!$I$105&gt;ROUND(((1-IntEconomyDiscount-IntEoncomyIncentive)*'Intl Economy Base'!I40),2),ROUND('Intl Economy Base'!$I$105*(1+International_Fuel_Surcharge),2),ROUND(((1-IntEconomyDiscount-IntEoncomyIncentive)*'Intl Economy Base'!I40)*(1+International_Fuel_Surcharge),2)))*(1+FedEx_Markup),2)</f>
        <v>193.1</v>
      </c>
      <c r="J43" s="307">
        <f>ROUND((IF('Intl Economy Base'!$J$105&gt;ROUND(((1-IntEconomyDiscount-IntEoncomyIncentive)*'Intl Economy Base'!J40),2),ROUND('Intl Economy Base'!$J$105*(1+International_Fuel_Surcharge),2),ROUND(((1-IntEconomyDiscount-IntEoncomyIncentive)*'Intl Economy Base'!J40)*(1+International_Fuel_Surcharge),2)))*(1+FedEx_Markup),2)</f>
        <v>114.67</v>
      </c>
      <c r="K43" s="307">
        <f>ROUND((IF('Intl Economy Base'!$K$105&gt;ROUND(((1-IntEconomyDiscount-IntEoncomyIncentive)*'Intl Economy Base'!K40),2),ROUND('Intl Economy Base'!$K$105*(1+International_Fuel_Surcharge),2),ROUND(((1-IntEconomyDiscount-IntEoncomyIncentive)*'Intl Economy Base'!K40)*(1+International_Fuel_Surcharge),2)))*(1+FedEx_Markup),2)</f>
        <v>277.41000000000003</v>
      </c>
      <c r="L43" s="307">
        <f>ROUND((IF('Intl Economy Base'!$L$105&gt;ROUND(((1-IntEconomyDiscount-IntEoncomyIncentive)*'Intl Economy Base'!L40),2),ROUND('Intl Economy Base'!$L$105*(1+International_Fuel_Surcharge),2),ROUND(((1-IntEconomyDiscount-IntEoncomyIncentive)*'Intl Economy Base'!L40)*(1+International_Fuel_Surcharge),2)))*(1+FedEx_Markup),2)</f>
        <v>204.8</v>
      </c>
      <c r="M43" s="307">
        <f>ROUND((IF('Intl Economy Base'!$M$105&gt;ROUND(((1-IntEconomyDiscount-IntEoncomyIncentive)*'Intl Economy Base'!M40),2),ROUND('Intl Economy Base'!$M$105*(1+International_Fuel_Surcharge),2),ROUND(((1-IntEconomyDiscount-IntEoncomyIncentive)*'Intl Economy Base'!M40)*(1+International_Fuel_Surcharge),2)))*(1+FedEx_Markup),2)</f>
        <v>283.77</v>
      </c>
      <c r="N43" s="307">
        <f>ROUND((IF('Intl Economy Base'!$N$105&gt;ROUND(((1-IntEconomyDiscount-IntEoncomyIncentive)*'Intl Economy Base'!N40),2),ROUND('Intl Economy Base'!$N$105*(1+International_Fuel_Surcharge),2),ROUND(((1-IntEconomyDiscount-IntEoncomyIncentive)*'Intl Economy Base'!N40)*(1+International_Fuel_Surcharge),2)))*(1+FedEx_Markup),2)</f>
        <v>260.97000000000003</v>
      </c>
      <c r="O43" s="307">
        <f>ROUND((IF('Intl Economy Base'!$O$105&gt;ROUND(((1-IntEconomyDiscount-IntEoncomyIncentive)*'Intl Economy Base'!O40),2),ROUND('Intl Economy Base'!$O$105*(1+International_Fuel_Surcharge),2),ROUND(((1-IntEconomyDiscount-IntEoncomyIncentive)*'Intl Economy Base'!O40)*(1+International_Fuel_Surcharge),2)))*(1+FedEx_Markup),2)</f>
        <v>232.6</v>
      </c>
      <c r="P43" s="307">
        <f>ROUND((IF('Intl Economy Base'!$P$105&gt;ROUND(((1-IntEconomyDiscount-IntEoncomyIncentive)*'Intl Economy Base'!P40),2),ROUND('Intl Economy Base'!$P$105*(1+International_Fuel_Surcharge),2),ROUND(((1-IntEconomyDiscount-IntEoncomyIncentive)*'Intl Economy Base'!P40)*(1+International_Fuel_Surcharge),2)))*(1+FedEx_Markup),2)</f>
        <v>217.76</v>
      </c>
      <c r="Q43" s="307">
        <f>ROUND((IF('Intl Economy Base'!$Q$105&gt;ROUND(((1-PuertoRicoDiscount)*'Intl Economy Base'!Q40),2),ROUND('Intl Economy Base'!$Q$105*(1+International_Fuel_Surcharge),2),ROUND(((1-PuertoRicoDiscount)*'Intl Economy Base'!Q40)*(1+International_Fuel_Surcharge),2)))*(1+FedEx_Markup),2)</f>
        <v>270.95</v>
      </c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2.75" customHeight="1">
      <c r="A44" s="306">
        <v>39</v>
      </c>
      <c r="B44" s="307">
        <f>ROUND((IF('Intl Economy Base'!$B$105&gt;ROUND(((1-IntEconomyDiscount-IntEoncomyIncentive)*'Intl Economy Base'!B41),2),ROUND('Intl Economy Base'!$B$105*(1+International_Fuel_Surcharge),2),ROUND(((1-IntEconomyDiscount-IntEoncomyIncentive)*'Intl Economy Base'!B41)*(1+International_Fuel_Surcharge),2)))*(1+FedEx_Markup),2)</f>
        <v>109.64</v>
      </c>
      <c r="C44" s="307">
        <f>ROUND((IF('Intl Economy Base'!$C$105&gt;ROUND(((1-IntEconomyDiscount-IntEoncomyIncentive)*'Intl Economy Base'!C41),2),ROUND('Intl Economy Base'!$C$105*(1+International_Fuel_Surcharge),2),ROUND(((1-IntEconomyDiscount-IntEoncomyIncentive)*'Intl Economy Base'!C41)*(1+International_Fuel_Surcharge),2)))*(1+FedEx_Markup),2)</f>
        <v>125.89</v>
      </c>
      <c r="D44" s="307">
        <f>ROUND((IF('Intl Economy Base'!$D$105&gt;ROUND(((1-IntEconomyDiscount-IntEoncomyIncentive)*'Intl Economy Base'!D41),2),ROUND('Intl Economy Base'!$D$105*(1+International_Fuel_Surcharge),2),ROUND(((1-IntEconomyDiscount-IntEoncomyIncentive)*'Intl Economy Base'!D41)*(1+International_Fuel_Surcharge),2)))*(1+FedEx_Markup),2)</f>
        <v>93.84</v>
      </c>
      <c r="E44" s="307">
        <f>ROUND((IF('Intl Economy Base'!$E$105&gt;ROUND(((1-IntEconomyDiscount-IntEoncomyIncentive)*'Intl Economy Base'!E41),2),ROUND('Intl Economy Base'!$E$105*(1+International_Fuel_Surcharge),2),ROUND(((1-IntEconomyDiscount-IntEoncomyIncentive)*'Intl Economy Base'!E41)*(1+International_Fuel_Surcharge),2)))*(1+FedEx_Markup),2)</f>
        <v>172.34</v>
      </c>
      <c r="F44" s="307">
        <f>ROUND((IF('Intl Economy Base'!$F$105&gt;ROUND(((1-IntEconomyDiscount-IntEoncomyIncentive)*'Intl Economy Base'!F41),2),ROUND('Intl Economy Base'!$F$105*(1+International_Fuel_Surcharge),2),ROUND(((1-IntEconomyDiscount-IntEoncomyIncentive)*'Intl Economy Base'!F41)*(1+International_Fuel_Surcharge),2)))*(1+FedEx_Markup),2)</f>
        <v>278.20999999999998</v>
      </c>
      <c r="G44" s="307">
        <f>ROUND((IF('Intl Economy Base'!$G$105&gt;ROUND(((1-IntEconomyDiscount-IntEoncomyIncentive)*'Intl Economy Base'!G41),2),ROUND('Intl Economy Base'!$G$105*(1+International_Fuel_Surcharge),2),ROUND(((1-IntEconomyDiscount-IntEoncomyIncentive)*'Intl Economy Base'!G41)*(1+International_Fuel_Surcharge),2)))*(1+FedEx_Markup),2)</f>
        <v>167.96</v>
      </c>
      <c r="H44" s="307">
        <f>ROUND((IF('Intl Economy Base'!$H$105&gt;ROUND(((1-IntEconomyDiscount-IntEoncomyIncentive)*'Intl Economy Base'!H41),2),ROUND('Intl Economy Base'!$H$105*(1+International_Fuel_Surcharge),2),ROUND(((1-IntEconomyDiscount-IntEoncomyIncentive)*'Intl Economy Base'!H41)*(1+International_Fuel_Surcharge),2)))*(1+FedEx_Markup),2)</f>
        <v>180.92</v>
      </c>
      <c r="I44" s="307">
        <f>ROUND((IF('Intl Economy Base'!$I$105&gt;ROUND(((1-IntEconomyDiscount-IntEoncomyIncentive)*'Intl Economy Base'!I41),2),ROUND('Intl Economy Base'!$I$105*(1+International_Fuel_Surcharge),2),ROUND(((1-IntEconomyDiscount-IntEoncomyIncentive)*'Intl Economy Base'!I41)*(1+International_Fuel_Surcharge),2)))*(1+FedEx_Markup),2)</f>
        <v>201.03</v>
      </c>
      <c r="J44" s="307">
        <f>ROUND((IF('Intl Economy Base'!$J$105&gt;ROUND(((1-IntEconomyDiscount-IntEoncomyIncentive)*'Intl Economy Base'!J41),2),ROUND('Intl Economy Base'!$J$105*(1+International_Fuel_Surcharge),2),ROUND(((1-IntEconomyDiscount-IntEoncomyIncentive)*'Intl Economy Base'!J41)*(1+International_Fuel_Surcharge),2)))*(1+FedEx_Markup),2)</f>
        <v>115.21</v>
      </c>
      <c r="K44" s="307">
        <f>ROUND((IF('Intl Economy Base'!$K$105&gt;ROUND(((1-IntEconomyDiscount-IntEoncomyIncentive)*'Intl Economy Base'!K41),2),ROUND('Intl Economy Base'!$K$105*(1+International_Fuel_Surcharge),2),ROUND(((1-IntEconomyDiscount-IntEoncomyIncentive)*'Intl Economy Base'!K41)*(1+International_Fuel_Surcharge),2)))*(1+FedEx_Markup),2)</f>
        <v>285.2</v>
      </c>
      <c r="L44" s="307">
        <f>ROUND((IF('Intl Economy Base'!$L$105&gt;ROUND(((1-IntEconomyDiscount-IntEoncomyIncentive)*'Intl Economy Base'!L41),2),ROUND('Intl Economy Base'!$L$105*(1+International_Fuel_Surcharge),2),ROUND(((1-IntEconomyDiscount-IntEoncomyIncentive)*'Intl Economy Base'!L41)*(1+International_Fuel_Surcharge),2)))*(1+FedEx_Markup),2)</f>
        <v>223.77</v>
      </c>
      <c r="M44" s="307">
        <f>ROUND((IF('Intl Economy Base'!$M$105&gt;ROUND(((1-IntEconomyDiscount-IntEoncomyIncentive)*'Intl Economy Base'!M41),2),ROUND('Intl Economy Base'!$M$105*(1+International_Fuel_Surcharge),2),ROUND(((1-IntEconomyDiscount-IntEoncomyIncentive)*'Intl Economy Base'!M41)*(1+International_Fuel_Surcharge),2)))*(1+FedEx_Markup),2)</f>
        <v>312.55</v>
      </c>
      <c r="N44" s="307">
        <f>ROUND((IF('Intl Economy Base'!$N$105&gt;ROUND(((1-IntEconomyDiscount-IntEoncomyIncentive)*'Intl Economy Base'!N41),2),ROUND('Intl Economy Base'!$N$105*(1+International_Fuel_Surcharge),2),ROUND(((1-IntEconomyDiscount-IntEoncomyIncentive)*'Intl Economy Base'!N41)*(1+International_Fuel_Surcharge),2)))*(1+FedEx_Markup),2)</f>
        <v>268.18</v>
      </c>
      <c r="O44" s="307">
        <f>ROUND((IF('Intl Economy Base'!$O$105&gt;ROUND(((1-IntEconomyDiscount-IntEoncomyIncentive)*'Intl Economy Base'!O41),2),ROUND('Intl Economy Base'!$O$105*(1+International_Fuel_Surcharge),2),ROUND(((1-IntEconomyDiscount-IntEoncomyIncentive)*'Intl Economy Base'!O41)*(1+International_Fuel_Surcharge),2)))*(1+FedEx_Markup),2)</f>
        <v>232.67</v>
      </c>
      <c r="P44" s="307">
        <f>ROUND((IF('Intl Economy Base'!$P$105&gt;ROUND(((1-IntEconomyDiscount-IntEoncomyIncentive)*'Intl Economy Base'!P41),2),ROUND('Intl Economy Base'!$P$105*(1+International_Fuel_Surcharge),2),ROUND(((1-IntEconomyDiscount-IntEoncomyIncentive)*'Intl Economy Base'!P41)*(1+International_Fuel_Surcharge),2)))*(1+FedEx_Markup),2)</f>
        <v>227.39</v>
      </c>
      <c r="Q44" s="307">
        <f>ROUND((IF('Intl Economy Base'!$Q$105&gt;ROUND(((1-PuertoRicoDiscount)*'Intl Economy Base'!Q41),2),ROUND('Intl Economy Base'!$Q$105*(1+International_Fuel_Surcharge),2),ROUND(((1-PuertoRicoDiscount)*'Intl Economy Base'!Q41)*(1+International_Fuel_Surcharge),2)))*(1+FedEx_Markup),2)</f>
        <v>277.25</v>
      </c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2.75" customHeight="1">
      <c r="A45" s="306">
        <v>40</v>
      </c>
      <c r="B45" s="307">
        <f>ROUND((IF('Intl Economy Base'!$B$105&gt;ROUND(((1-IntEconomyDiscount-IntEoncomyIncentive)*'Intl Economy Base'!B42),2),ROUND('Intl Economy Base'!$B$105*(1+International_Fuel_Surcharge),2),ROUND(((1-IntEconomyDiscount-IntEoncomyIncentive)*'Intl Economy Base'!B42)*(1+International_Fuel_Surcharge),2)))*(1+FedEx_Markup),2)</f>
        <v>111.68</v>
      </c>
      <c r="C45" s="307">
        <f>ROUND((IF('Intl Economy Base'!$C$105&gt;ROUND(((1-IntEconomyDiscount-IntEoncomyIncentive)*'Intl Economy Base'!C42),2),ROUND('Intl Economy Base'!$C$105*(1+International_Fuel_Surcharge),2),ROUND(((1-IntEconomyDiscount-IntEoncomyIncentive)*'Intl Economy Base'!C42)*(1+International_Fuel_Surcharge),2)))*(1+FedEx_Markup),2)</f>
        <v>129.29</v>
      </c>
      <c r="D45" s="307">
        <f>ROUND((IF('Intl Economy Base'!$D$105&gt;ROUND(((1-IntEconomyDiscount-IntEoncomyIncentive)*'Intl Economy Base'!D42),2),ROUND('Intl Economy Base'!$D$105*(1+International_Fuel_Surcharge),2),ROUND(((1-IntEconomyDiscount-IntEoncomyIncentive)*'Intl Economy Base'!D42)*(1+International_Fuel_Surcharge),2)))*(1+FedEx_Markup),2)</f>
        <v>93.92</v>
      </c>
      <c r="E45" s="307">
        <f>ROUND((IF('Intl Economy Base'!$E$105&gt;ROUND(((1-IntEconomyDiscount-IntEoncomyIncentive)*'Intl Economy Base'!E42),2),ROUND('Intl Economy Base'!$E$105*(1+International_Fuel_Surcharge),2),ROUND(((1-IntEconomyDiscount-IntEoncomyIncentive)*'Intl Economy Base'!E42)*(1+International_Fuel_Surcharge),2)))*(1+FedEx_Markup),2)</f>
        <v>173.96</v>
      </c>
      <c r="F45" s="307">
        <f>ROUND((IF('Intl Economy Base'!$F$105&gt;ROUND(((1-IntEconomyDiscount-IntEoncomyIncentive)*'Intl Economy Base'!F42),2),ROUND('Intl Economy Base'!$F$105*(1+International_Fuel_Surcharge),2),ROUND(((1-IntEconomyDiscount-IntEoncomyIncentive)*'Intl Economy Base'!F42)*(1+International_Fuel_Surcharge),2)))*(1+FedEx_Markup),2)</f>
        <v>319.26</v>
      </c>
      <c r="G45" s="307">
        <f>ROUND((IF('Intl Economy Base'!$G$105&gt;ROUND(((1-IntEconomyDiscount-IntEoncomyIncentive)*'Intl Economy Base'!G42),2),ROUND('Intl Economy Base'!$G$105*(1+International_Fuel_Surcharge),2),ROUND(((1-IntEconomyDiscount-IntEoncomyIncentive)*'Intl Economy Base'!G42)*(1+International_Fuel_Surcharge),2)))*(1+FedEx_Markup),2)</f>
        <v>168.19</v>
      </c>
      <c r="H45" s="307">
        <f>ROUND((IF('Intl Economy Base'!$H$105&gt;ROUND(((1-IntEconomyDiscount-IntEoncomyIncentive)*'Intl Economy Base'!H42),2),ROUND('Intl Economy Base'!$H$105*(1+International_Fuel_Surcharge),2),ROUND(((1-IntEconomyDiscount-IntEoncomyIncentive)*'Intl Economy Base'!H42)*(1+International_Fuel_Surcharge),2)))*(1+FedEx_Markup),2)</f>
        <v>181.55</v>
      </c>
      <c r="I45" s="307">
        <f>ROUND((IF('Intl Economy Base'!$I$105&gt;ROUND(((1-IntEconomyDiscount-IntEoncomyIncentive)*'Intl Economy Base'!I42),2),ROUND('Intl Economy Base'!$I$105*(1+International_Fuel_Surcharge),2),ROUND(((1-IntEconomyDiscount-IntEoncomyIncentive)*'Intl Economy Base'!I42)*(1+International_Fuel_Surcharge),2)))*(1+FedEx_Markup),2)</f>
        <v>210.31</v>
      </c>
      <c r="J45" s="307">
        <f>ROUND((IF('Intl Economy Base'!$J$105&gt;ROUND(((1-IntEconomyDiscount-IntEoncomyIncentive)*'Intl Economy Base'!J42),2),ROUND('Intl Economy Base'!$J$105*(1+International_Fuel_Surcharge),2),ROUND(((1-IntEconomyDiscount-IntEoncomyIncentive)*'Intl Economy Base'!J42)*(1+International_Fuel_Surcharge),2)))*(1+FedEx_Markup),2)</f>
        <v>125.95</v>
      </c>
      <c r="K45" s="307">
        <f>ROUND((IF('Intl Economy Base'!$K$105&gt;ROUND(((1-IntEconomyDiscount-IntEoncomyIncentive)*'Intl Economy Base'!K42),2),ROUND('Intl Economy Base'!$K$105*(1+International_Fuel_Surcharge),2),ROUND(((1-IntEconomyDiscount-IntEoncomyIncentive)*'Intl Economy Base'!K42)*(1+International_Fuel_Surcharge),2)))*(1+FedEx_Markup),2)</f>
        <v>286.24</v>
      </c>
      <c r="L45" s="307">
        <f>ROUND((IF('Intl Economy Base'!$L$105&gt;ROUND(((1-IntEconomyDiscount-IntEoncomyIncentive)*'Intl Economy Base'!L42),2),ROUND('Intl Economy Base'!$L$105*(1+International_Fuel_Surcharge),2),ROUND(((1-IntEconomyDiscount-IntEoncomyIncentive)*'Intl Economy Base'!L42)*(1+International_Fuel_Surcharge),2)))*(1+FedEx_Markup),2)</f>
        <v>225.66</v>
      </c>
      <c r="M45" s="307">
        <f>ROUND((IF('Intl Economy Base'!$M$105&gt;ROUND(((1-IntEconomyDiscount-IntEoncomyIncentive)*'Intl Economy Base'!M42),2),ROUND('Intl Economy Base'!$M$105*(1+International_Fuel_Surcharge),2),ROUND(((1-IntEconomyDiscount-IntEoncomyIncentive)*'Intl Economy Base'!M42)*(1+International_Fuel_Surcharge),2)))*(1+FedEx_Markup),2)</f>
        <v>315.43</v>
      </c>
      <c r="N45" s="307">
        <f>ROUND((IF('Intl Economy Base'!$N$105&gt;ROUND(((1-IntEconomyDiscount-IntEoncomyIncentive)*'Intl Economy Base'!N42),2),ROUND('Intl Economy Base'!$N$105*(1+International_Fuel_Surcharge),2),ROUND(((1-IntEconomyDiscount-IntEoncomyIncentive)*'Intl Economy Base'!N42)*(1+International_Fuel_Surcharge),2)))*(1+FedEx_Markup),2)</f>
        <v>291.31</v>
      </c>
      <c r="O45" s="307">
        <f>ROUND((IF('Intl Economy Base'!$O$105&gt;ROUND(((1-IntEconomyDiscount-IntEoncomyIncentive)*'Intl Economy Base'!O42),2),ROUND('Intl Economy Base'!$O$105*(1+International_Fuel_Surcharge),2),ROUND(((1-IntEconomyDiscount-IntEoncomyIncentive)*'Intl Economy Base'!O42)*(1+International_Fuel_Surcharge),2)))*(1+FedEx_Markup),2)</f>
        <v>233.71</v>
      </c>
      <c r="P45" s="307">
        <f>ROUND((IF('Intl Economy Base'!$P$105&gt;ROUND(((1-IntEconomyDiscount-IntEoncomyIncentive)*'Intl Economy Base'!P42),2),ROUND('Intl Economy Base'!$P$105*(1+International_Fuel_Surcharge),2),ROUND(((1-IntEconomyDiscount-IntEoncomyIncentive)*'Intl Economy Base'!P42)*(1+International_Fuel_Surcharge),2)))*(1+FedEx_Markup),2)</f>
        <v>237.83</v>
      </c>
      <c r="Q45" s="307">
        <f>ROUND((IF('Intl Economy Base'!$Q$105&gt;ROUND(((1-PuertoRicoDiscount)*'Intl Economy Base'!Q42),2),ROUND('Intl Economy Base'!$Q$105*(1+International_Fuel_Surcharge),2),ROUND(((1-PuertoRicoDiscount)*'Intl Economy Base'!Q42)*(1+International_Fuel_Surcharge),2)))*(1+FedEx_Markup),2)</f>
        <v>282.89999999999998</v>
      </c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2.75" customHeight="1">
      <c r="A46" s="306">
        <v>41</v>
      </c>
      <c r="B46" s="307">
        <f>ROUND((IF('Intl Economy Base'!$B$105&gt;ROUND(((1-IntEconomyDiscount-IntEoncomyIncentive)*'Intl Economy Base'!B43),2),ROUND('Intl Economy Base'!$B$105*(1+International_Fuel_Surcharge),2),ROUND(((1-IntEconomyDiscount-IntEoncomyIncentive)*'Intl Economy Base'!B43)*(1+International_Fuel_Surcharge),2)))*(1+FedEx_Markup),2)</f>
        <v>113.71</v>
      </c>
      <c r="C46" s="307">
        <f>ROUND((IF('Intl Economy Base'!$C$105&gt;ROUND(((1-IntEconomyDiscount-IntEoncomyIncentive)*'Intl Economy Base'!C43),2),ROUND('Intl Economy Base'!$C$105*(1+International_Fuel_Surcharge),2),ROUND(((1-IntEconomyDiscount-IntEoncomyIncentive)*'Intl Economy Base'!C43)*(1+International_Fuel_Surcharge),2)))*(1+FedEx_Markup),2)</f>
        <v>129.63999999999999</v>
      </c>
      <c r="D46" s="307">
        <f>ROUND((IF('Intl Economy Base'!$D$105&gt;ROUND(((1-IntEconomyDiscount-IntEoncomyIncentive)*'Intl Economy Base'!D43),2),ROUND('Intl Economy Base'!$D$105*(1+International_Fuel_Surcharge),2),ROUND(((1-IntEconomyDiscount-IntEoncomyIncentive)*'Intl Economy Base'!D43)*(1+International_Fuel_Surcharge),2)))*(1+FedEx_Markup),2)</f>
        <v>94.91</v>
      </c>
      <c r="E46" s="307">
        <f>ROUND((IF('Intl Economy Base'!$E$105&gt;ROUND(((1-IntEconomyDiscount-IntEoncomyIncentive)*'Intl Economy Base'!E43),2),ROUND('Intl Economy Base'!$E$105*(1+International_Fuel_Surcharge),2),ROUND(((1-IntEconomyDiscount-IntEoncomyIncentive)*'Intl Economy Base'!E43)*(1+International_Fuel_Surcharge),2)))*(1+FedEx_Markup),2)</f>
        <v>175.43</v>
      </c>
      <c r="F46" s="307">
        <f>ROUND((IF('Intl Economy Base'!$F$105&gt;ROUND(((1-IntEconomyDiscount-IntEoncomyIncentive)*'Intl Economy Base'!F43),2),ROUND('Intl Economy Base'!$F$105*(1+International_Fuel_Surcharge),2),ROUND(((1-IntEconomyDiscount-IntEoncomyIncentive)*'Intl Economy Base'!F43)*(1+International_Fuel_Surcharge),2)))*(1+FedEx_Markup),2)</f>
        <v>328.56</v>
      </c>
      <c r="G46" s="307">
        <f>ROUND((IF('Intl Economy Base'!$G$105&gt;ROUND(((1-IntEconomyDiscount-IntEoncomyIncentive)*'Intl Economy Base'!G43),2),ROUND('Intl Economy Base'!$G$105*(1+International_Fuel_Surcharge),2),ROUND(((1-IntEconomyDiscount-IntEoncomyIncentive)*'Intl Economy Base'!G43)*(1+International_Fuel_Surcharge),2)))*(1+FedEx_Markup),2)</f>
        <v>172.57</v>
      </c>
      <c r="H46" s="307">
        <f>ROUND((IF('Intl Economy Base'!$H$105&gt;ROUND(((1-IntEconomyDiscount-IntEoncomyIncentive)*'Intl Economy Base'!H43),2),ROUND('Intl Economy Base'!$H$105*(1+International_Fuel_Surcharge),2),ROUND(((1-IntEconomyDiscount-IntEoncomyIncentive)*'Intl Economy Base'!H43)*(1+International_Fuel_Surcharge),2)))*(1+FedEx_Markup),2)</f>
        <v>184.91</v>
      </c>
      <c r="I46" s="307">
        <f>ROUND((IF('Intl Economy Base'!$I$105&gt;ROUND(((1-IntEconomyDiscount-IntEoncomyIncentive)*'Intl Economy Base'!I43),2),ROUND('Intl Economy Base'!$I$105*(1+International_Fuel_Surcharge),2),ROUND(((1-IntEconomyDiscount-IntEoncomyIncentive)*'Intl Economy Base'!I43)*(1+International_Fuel_Surcharge),2)))*(1+FedEx_Markup),2)</f>
        <v>214.29</v>
      </c>
      <c r="J46" s="307">
        <f>ROUND((IF('Intl Economy Base'!$J$105&gt;ROUND(((1-IntEconomyDiscount-IntEoncomyIncentive)*'Intl Economy Base'!J43),2),ROUND('Intl Economy Base'!$J$105*(1+International_Fuel_Surcharge),2),ROUND(((1-IntEconomyDiscount-IntEoncomyIncentive)*'Intl Economy Base'!J43)*(1+International_Fuel_Surcharge),2)))*(1+FedEx_Markup),2)</f>
        <v>127.59</v>
      </c>
      <c r="K46" s="307">
        <f>ROUND((IF('Intl Economy Base'!$K$105&gt;ROUND(((1-IntEconomyDiscount-IntEoncomyIncentive)*'Intl Economy Base'!K43),2),ROUND('Intl Economy Base'!$K$105*(1+International_Fuel_Surcharge),2),ROUND(((1-IntEconomyDiscount-IntEoncomyIncentive)*'Intl Economy Base'!K43)*(1+International_Fuel_Surcharge),2)))*(1+FedEx_Markup),2)</f>
        <v>293.49</v>
      </c>
      <c r="L46" s="307">
        <f>ROUND((IF('Intl Economy Base'!$L$105&gt;ROUND(((1-IntEconomyDiscount-IntEoncomyIncentive)*'Intl Economy Base'!L43),2),ROUND('Intl Economy Base'!$L$105*(1+International_Fuel_Surcharge),2),ROUND(((1-IntEconomyDiscount-IntEoncomyIncentive)*'Intl Economy Base'!L43)*(1+International_Fuel_Surcharge),2)))*(1+FedEx_Markup),2)</f>
        <v>225.89</v>
      </c>
      <c r="M46" s="307">
        <f>ROUND((IF('Intl Economy Base'!$M$105&gt;ROUND(((1-IntEconomyDiscount-IntEoncomyIncentive)*'Intl Economy Base'!M43),2),ROUND('Intl Economy Base'!$M$105*(1+International_Fuel_Surcharge),2),ROUND(((1-IntEconomyDiscount-IntEoncomyIncentive)*'Intl Economy Base'!M43)*(1+International_Fuel_Surcharge),2)))*(1+FedEx_Markup),2)</f>
        <v>315.72000000000003</v>
      </c>
      <c r="N46" s="307">
        <f>ROUND((IF('Intl Economy Base'!$N$105&gt;ROUND(((1-IntEconomyDiscount-IntEoncomyIncentive)*'Intl Economy Base'!N43),2),ROUND('Intl Economy Base'!$N$105*(1+International_Fuel_Surcharge),2),ROUND(((1-IntEconomyDiscount-IntEoncomyIncentive)*'Intl Economy Base'!N43)*(1+International_Fuel_Surcharge),2)))*(1+FedEx_Markup),2)</f>
        <v>293.62</v>
      </c>
      <c r="O46" s="307">
        <f>ROUND((IF('Intl Economy Base'!$O$105&gt;ROUND(((1-IntEconomyDiscount-IntEoncomyIncentive)*'Intl Economy Base'!O43),2),ROUND('Intl Economy Base'!$O$105*(1+International_Fuel_Surcharge),2),ROUND(((1-IntEconomyDiscount-IntEoncomyIncentive)*'Intl Economy Base'!O43)*(1+International_Fuel_Surcharge),2)))*(1+FedEx_Markup),2)</f>
        <v>253.85</v>
      </c>
      <c r="P46" s="307">
        <f>ROUND((IF('Intl Economy Base'!$P$105&gt;ROUND(((1-IntEconomyDiscount-IntEoncomyIncentive)*'Intl Economy Base'!P43),2),ROUND('Intl Economy Base'!$P$105*(1+International_Fuel_Surcharge),2),ROUND(((1-IntEconomyDiscount-IntEoncomyIncentive)*'Intl Economy Base'!P43)*(1+International_Fuel_Surcharge),2)))*(1+FedEx_Markup),2)</f>
        <v>239.51</v>
      </c>
      <c r="Q46" s="307">
        <f>ROUND((IF('Intl Economy Base'!$Q$105&gt;ROUND(((1-PuertoRicoDiscount)*'Intl Economy Base'!Q43),2),ROUND('Intl Economy Base'!$Q$105*(1+International_Fuel_Surcharge),2),ROUND(((1-PuertoRicoDiscount)*'Intl Economy Base'!Q43)*(1+International_Fuel_Surcharge),2)))*(1+FedEx_Markup),2)</f>
        <v>288.91000000000003</v>
      </c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2.75" customHeight="1">
      <c r="A47" s="306">
        <v>42</v>
      </c>
      <c r="B47" s="307">
        <f>ROUND((IF('Intl Economy Base'!$B$105&gt;ROUND(((1-IntEconomyDiscount-IntEoncomyIncentive)*'Intl Economy Base'!B44),2),ROUND('Intl Economy Base'!$B$105*(1+International_Fuel_Surcharge),2),ROUND(((1-IntEconomyDiscount-IntEoncomyIncentive)*'Intl Economy Base'!B44)*(1+International_Fuel_Surcharge),2)))*(1+FedEx_Markup),2)</f>
        <v>115.75</v>
      </c>
      <c r="C47" s="307">
        <f>ROUND((IF('Intl Economy Base'!$C$105&gt;ROUND(((1-IntEconomyDiscount-IntEoncomyIncentive)*'Intl Economy Base'!C44),2),ROUND('Intl Economy Base'!$C$105*(1+International_Fuel_Surcharge),2),ROUND(((1-IntEconomyDiscount-IntEoncomyIncentive)*'Intl Economy Base'!C44)*(1+International_Fuel_Surcharge),2)))*(1+FedEx_Markup),2)</f>
        <v>131.53</v>
      </c>
      <c r="D47" s="307">
        <f>ROUND((IF('Intl Economy Base'!$D$105&gt;ROUND(((1-IntEconomyDiscount-IntEoncomyIncentive)*'Intl Economy Base'!D44),2),ROUND('Intl Economy Base'!$D$105*(1+International_Fuel_Surcharge),2),ROUND(((1-IntEconomyDiscount-IntEoncomyIncentive)*'Intl Economy Base'!D44)*(1+International_Fuel_Surcharge),2)))*(1+FedEx_Markup),2)</f>
        <v>95.01</v>
      </c>
      <c r="E47" s="307">
        <f>ROUND((IF('Intl Economy Base'!$E$105&gt;ROUND(((1-IntEconomyDiscount-IntEoncomyIncentive)*'Intl Economy Base'!E44),2),ROUND('Intl Economy Base'!$E$105*(1+International_Fuel_Surcharge),2),ROUND(((1-IntEconomyDiscount-IntEoncomyIncentive)*'Intl Economy Base'!E44)*(1+International_Fuel_Surcharge),2)))*(1+FedEx_Markup),2)</f>
        <v>181.08</v>
      </c>
      <c r="F47" s="307">
        <f>ROUND((IF('Intl Economy Base'!$F$105&gt;ROUND(((1-IntEconomyDiscount-IntEoncomyIncentive)*'Intl Economy Base'!F44),2),ROUND('Intl Economy Base'!$F$105*(1+International_Fuel_Surcharge),2),ROUND(((1-IntEconomyDiscount-IntEoncomyIncentive)*'Intl Economy Base'!F44)*(1+International_Fuel_Surcharge),2)))*(1+FedEx_Markup),2)</f>
        <v>329.49</v>
      </c>
      <c r="G47" s="307">
        <f>ROUND((IF('Intl Economy Base'!$G$105&gt;ROUND(((1-IntEconomyDiscount-IntEoncomyIncentive)*'Intl Economy Base'!G44),2),ROUND('Intl Economy Base'!$G$105*(1+International_Fuel_Surcharge),2),ROUND(((1-IntEconomyDiscount-IntEoncomyIncentive)*'Intl Economy Base'!G44)*(1+International_Fuel_Surcharge),2)))*(1+FedEx_Markup),2)</f>
        <v>187.2</v>
      </c>
      <c r="H47" s="307">
        <f>ROUND((IF('Intl Economy Base'!$H$105&gt;ROUND(((1-IntEconomyDiscount-IntEoncomyIncentive)*'Intl Economy Base'!H44),2),ROUND('Intl Economy Base'!$H$105*(1+International_Fuel_Surcharge),2),ROUND(((1-IntEconomyDiscount-IntEoncomyIncentive)*'Intl Economy Base'!H44)*(1+International_Fuel_Surcharge),2)))*(1+FedEx_Markup),2)</f>
        <v>185.25</v>
      </c>
      <c r="I47" s="307">
        <f>ROUND((IF('Intl Economy Base'!$I$105&gt;ROUND(((1-IntEconomyDiscount-IntEoncomyIncentive)*'Intl Economy Base'!I44),2),ROUND('Intl Economy Base'!$I$105*(1+International_Fuel_Surcharge),2),ROUND(((1-IntEconomyDiscount-IntEoncomyIncentive)*'Intl Economy Base'!I44)*(1+International_Fuel_Surcharge),2)))*(1+FedEx_Markup),2)</f>
        <v>214.97</v>
      </c>
      <c r="J47" s="307">
        <f>ROUND((IF('Intl Economy Base'!$J$105&gt;ROUND(((1-IntEconomyDiscount-IntEoncomyIncentive)*'Intl Economy Base'!J44),2),ROUND('Intl Economy Base'!$J$105*(1+International_Fuel_Surcharge),2),ROUND(((1-IntEconomyDiscount-IntEoncomyIncentive)*'Intl Economy Base'!J44)*(1+International_Fuel_Surcharge),2)))*(1+FedEx_Markup),2)</f>
        <v>128.88</v>
      </c>
      <c r="K47" s="307">
        <f>ROUND((IF('Intl Economy Base'!$K$105&gt;ROUND(((1-IntEconomyDiscount-IntEoncomyIncentive)*'Intl Economy Base'!K44),2),ROUND('Intl Economy Base'!$K$105*(1+International_Fuel_Surcharge),2),ROUND(((1-IntEconomyDiscount-IntEoncomyIncentive)*'Intl Economy Base'!K44)*(1+International_Fuel_Surcharge),2)))*(1+FedEx_Markup),2)</f>
        <v>294.23</v>
      </c>
      <c r="L47" s="307">
        <f>ROUND((IF('Intl Economy Base'!$L$105&gt;ROUND(((1-IntEconomyDiscount-IntEoncomyIncentive)*'Intl Economy Base'!L44),2),ROUND('Intl Economy Base'!$L$105*(1+International_Fuel_Surcharge),2),ROUND(((1-IntEconomyDiscount-IntEoncomyIncentive)*'Intl Economy Base'!L44)*(1+International_Fuel_Surcharge),2)))*(1+FedEx_Markup),2)</f>
        <v>226.65</v>
      </c>
      <c r="M47" s="307">
        <f>ROUND((IF('Intl Economy Base'!$M$105&gt;ROUND(((1-IntEconomyDiscount-IntEoncomyIncentive)*'Intl Economy Base'!M44),2),ROUND('Intl Economy Base'!$M$105*(1+International_Fuel_Surcharge),2),ROUND(((1-IntEconomyDiscount-IntEoncomyIncentive)*'Intl Economy Base'!M44)*(1+International_Fuel_Surcharge),2)))*(1+FedEx_Markup),2)</f>
        <v>315.86</v>
      </c>
      <c r="N47" s="307">
        <f>ROUND((IF('Intl Economy Base'!$N$105&gt;ROUND(((1-IntEconomyDiscount-IntEoncomyIncentive)*'Intl Economy Base'!N44),2),ROUND('Intl Economy Base'!$N$105*(1+International_Fuel_Surcharge),2),ROUND(((1-IntEconomyDiscount-IntEoncomyIncentive)*'Intl Economy Base'!N44)*(1+International_Fuel_Surcharge),2)))*(1+FedEx_Markup),2)</f>
        <v>309.42</v>
      </c>
      <c r="O47" s="307">
        <f>ROUND((IF('Intl Economy Base'!$O$105&gt;ROUND(((1-IntEconomyDiscount-IntEoncomyIncentive)*'Intl Economy Base'!O44),2),ROUND('Intl Economy Base'!$O$105*(1+International_Fuel_Surcharge),2),ROUND(((1-IntEconomyDiscount-IntEoncomyIncentive)*'Intl Economy Base'!O44)*(1+International_Fuel_Surcharge),2)))*(1+FedEx_Markup),2)</f>
        <v>256.67</v>
      </c>
      <c r="P47" s="307">
        <f>ROUND((IF('Intl Economy Base'!$P$105&gt;ROUND(((1-IntEconomyDiscount-IntEoncomyIncentive)*'Intl Economy Base'!P44),2),ROUND('Intl Economy Base'!$P$105*(1+International_Fuel_Surcharge),2),ROUND(((1-IntEconomyDiscount-IntEoncomyIncentive)*'Intl Economy Base'!P44)*(1+International_Fuel_Surcharge),2)))*(1+FedEx_Markup),2)</f>
        <v>239.71</v>
      </c>
      <c r="Q47" s="307">
        <f>ROUND((IF('Intl Economy Base'!$Q$105&gt;ROUND(((1-PuertoRicoDiscount)*'Intl Economy Base'!Q44),2),ROUND('Intl Economy Base'!$Q$105*(1+International_Fuel_Surcharge),2),ROUND(((1-PuertoRicoDiscount)*'Intl Economy Base'!Q44)*(1+International_Fuel_Surcharge),2)))*(1+FedEx_Markup),2)</f>
        <v>295.55</v>
      </c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2.75" customHeight="1">
      <c r="A48" s="306">
        <v>43</v>
      </c>
      <c r="B48" s="307">
        <f>ROUND((IF('Intl Economy Base'!$B$105&gt;ROUND(((1-IntEconomyDiscount-IntEoncomyIncentive)*'Intl Economy Base'!B45),2),ROUND('Intl Economy Base'!$B$105*(1+International_Fuel_Surcharge),2),ROUND(((1-IntEconomyDiscount-IntEoncomyIncentive)*'Intl Economy Base'!B45)*(1+International_Fuel_Surcharge),2)))*(1+FedEx_Markup),2)</f>
        <v>117.78</v>
      </c>
      <c r="C48" s="307">
        <f>ROUND((IF('Intl Economy Base'!$C$105&gt;ROUND(((1-IntEconomyDiscount-IntEoncomyIncentive)*'Intl Economy Base'!C45),2),ROUND('Intl Economy Base'!$C$105*(1+International_Fuel_Surcharge),2),ROUND(((1-IntEconomyDiscount-IntEoncomyIncentive)*'Intl Economy Base'!C45)*(1+International_Fuel_Surcharge),2)))*(1+FedEx_Markup),2)</f>
        <v>133.96</v>
      </c>
      <c r="D48" s="307">
        <f>ROUND((IF('Intl Economy Base'!$D$105&gt;ROUND(((1-IntEconomyDiscount-IntEoncomyIncentive)*'Intl Economy Base'!D45),2),ROUND('Intl Economy Base'!$D$105*(1+International_Fuel_Surcharge),2),ROUND(((1-IntEconomyDiscount-IntEoncomyIncentive)*'Intl Economy Base'!D45)*(1+International_Fuel_Surcharge),2)))*(1+FedEx_Markup),2)</f>
        <v>95.29</v>
      </c>
      <c r="E48" s="307">
        <f>ROUND((IF('Intl Economy Base'!$E$105&gt;ROUND(((1-IntEconomyDiscount-IntEoncomyIncentive)*'Intl Economy Base'!E45),2),ROUND('Intl Economy Base'!$E$105*(1+International_Fuel_Surcharge),2),ROUND(((1-IntEconomyDiscount-IntEoncomyIncentive)*'Intl Economy Base'!E45)*(1+International_Fuel_Surcharge),2)))*(1+FedEx_Markup),2)</f>
        <v>181.64</v>
      </c>
      <c r="F48" s="307">
        <f>ROUND((IF('Intl Economy Base'!$F$105&gt;ROUND(((1-IntEconomyDiscount-IntEoncomyIncentive)*'Intl Economy Base'!F45),2),ROUND('Intl Economy Base'!$F$105*(1+International_Fuel_Surcharge),2),ROUND(((1-IntEconomyDiscount-IntEoncomyIncentive)*'Intl Economy Base'!F45)*(1+International_Fuel_Surcharge),2)))*(1+FedEx_Markup),2)</f>
        <v>338.5</v>
      </c>
      <c r="G48" s="307">
        <f>ROUND((IF('Intl Economy Base'!$G$105&gt;ROUND(((1-IntEconomyDiscount-IntEoncomyIncentive)*'Intl Economy Base'!G45),2),ROUND('Intl Economy Base'!$G$105*(1+International_Fuel_Surcharge),2),ROUND(((1-IntEconomyDiscount-IntEoncomyIncentive)*'Intl Economy Base'!G45)*(1+International_Fuel_Surcharge),2)))*(1+FedEx_Markup),2)</f>
        <v>189.03</v>
      </c>
      <c r="H48" s="307">
        <f>ROUND((IF('Intl Economy Base'!$H$105&gt;ROUND(((1-IntEconomyDiscount-IntEoncomyIncentive)*'Intl Economy Base'!H45),2),ROUND('Intl Economy Base'!$H$105*(1+International_Fuel_Surcharge),2),ROUND(((1-IntEconomyDiscount-IntEoncomyIncentive)*'Intl Economy Base'!H45)*(1+International_Fuel_Surcharge),2)))*(1+FedEx_Markup),2)</f>
        <v>185.4</v>
      </c>
      <c r="I48" s="307">
        <f>ROUND((IF('Intl Economy Base'!$I$105&gt;ROUND(((1-IntEconomyDiscount-IntEoncomyIncentive)*'Intl Economy Base'!I45),2),ROUND('Intl Economy Base'!$I$105*(1+International_Fuel_Surcharge),2),ROUND(((1-IntEconomyDiscount-IntEoncomyIncentive)*'Intl Economy Base'!I45)*(1+International_Fuel_Surcharge),2)))*(1+FedEx_Markup),2)</f>
        <v>225.39</v>
      </c>
      <c r="J48" s="307">
        <f>ROUND((IF('Intl Economy Base'!$J$105&gt;ROUND(((1-IntEconomyDiscount-IntEoncomyIncentive)*'Intl Economy Base'!J45),2),ROUND('Intl Economy Base'!$J$105*(1+International_Fuel_Surcharge),2),ROUND(((1-IntEconomyDiscount-IntEoncomyIncentive)*'Intl Economy Base'!J45)*(1+International_Fuel_Surcharge),2)))*(1+FedEx_Markup),2)</f>
        <v>130.66</v>
      </c>
      <c r="K48" s="307">
        <f>ROUND((IF('Intl Economy Base'!$K$105&gt;ROUND(((1-IntEconomyDiscount-IntEoncomyIncentive)*'Intl Economy Base'!K45),2),ROUND('Intl Economy Base'!$K$105*(1+International_Fuel_Surcharge),2),ROUND(((1-IntEconomyDiscount-IntEoncomyIncentive)*'Intl Economy Base'!K45)*(1+International_Fuel_Surcharge),2)))*(1+FedEx_Markup),2)</f>
        <v>303.8</v>
      </c>
      <c r="L48" s="307">
        <f>ROUND((IF('Intl Economy Base'!$L$105&gt;ROUND(((1-IntEconomyDiscount-IntEoncomyIncentive)*'Intl Economy Base'!L45),2),ROUND('Intl Economy Base'!$L$105*(1+International_Fuel_Surcharge),2),ROUND(((1-IntEconomyDiscount-IntEoncomyIncentive)*'Intl Economy Base'!L45)*(1+International_Fuel_Surcharge),2)))*(1+FedEx_Markup),2)</f>
        <v>241.75</v>
      </c>
      <c r="M48" s="307">
        <f>ROUND((IF('Intl Economy Base'!$M$105&gt;ROUND(((1-IntEconomyDiscount-IntEoncomyIncentive)*'Intl Economy Base'!M45),2),ROUND('Intl Economy Base'!$M$105*(1+International_Fuel_Surcharge),2),ROUND(((1-IntEconomyDiscount-IntEoncomyIncentive)*'Intl Economy Base'!M45)*(1+International_Fuel_Surcharge),2)))*(1+FedEx_Markup),2)</f>
        <v>315.93</v>
      </c>
      <c r="N48" s="307">
        <f>ROUND((IF('Intl Economy Base'!$N$105&gt;ROUND(((1-IntEconomyDiscount-IntEoncomyIncentive)*'Intl Economy Base'!N45),2),ROUND('Intl Economy Base'!$N$105*(1+International_Fuel_Surcharge),2),ROUND(((1-IntEconomyDiscount-IntEoncomyIncentive)*'Intl Economy Base'!N45)*(1+International_Fuel_Surcharge),2)))*(1+FedEx_Markup),2)</f>
        <v>333.98</v>
      </c>
      <c r="O48" s="307">
        <f>ROUND((IF('Intl Economy Base'!$O$105&gt;ROUND(((1-IntEconomyDiscount-IntEoncomyIncentive)*'Intl Economy Base'!O45),2),ROUND('Intl Economy Base'!$O$105*(1+International_Fuel_Surcharge),2),ROUND(((1-IntEconomyDiscount-IntEoncomyIncentive)*'Intl Economy Base'!O45)*(1+International_Fuel_Surcharge),2)))*(1+FedEx_Markup),2)</f>
        <v>257.33999999999997</v>
      </c>
      <c r="P48" s="307">
        <f>ROUND((IF('Intl Economy Base'!$P$105&gt;ROUND(((1-IntEconomyDiscount-IntEoncomyIncentive)*'Intl Economy Base'!P45),2),ROUND('Intl Economy Base'!$P$105*(1+International_Fuel_Surcharge),2),ROUND(((1-IntEconomyDiscount-IntEoncomyIncentive)*'Intl Economy Base'!P45)*(1+International_Fuel_Surcharge),2)))*(1+FedEx_Markup),2)</f>
        <v>239.76</v>
      </c>
      <c r="Q48" s="307">
        <f>ROUND((IF('Intl Economy Base'!$Q$105&gt;ROUND(((1-PuertoRicoDiscount)*'Intl Economy Base'!Q45),2),ROUND('Intl Economy Base'!$Q$105*(1+International_Fuel_Surcharge),2),ROUND(((1-PuertoRicoDiscount)*'Intl Economy Base'!Q45)*(1+International_Fuel_Surcharge),2)))*(1+FedEx_Markup),2)</f>
        <v>301.36</v>
      </c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2.75" customHeight="1">
      <c r="A49" s="306">
        <v>44</v>
      </c>
      <c r="B49" s="307">
        <f>ROUND((IF('Intl Economy Base'!$B$105&gt;ROUND(((1-IntEconomyDiscount-IntEoncomyIncentive)*'Intl Economy Base'!B46),2),ROUND('Intl Economy Base'!$B$105*(1+International_Fuel_Surcharge),2),ROUND(((1-IntEconomyDiscount-IntEoncomyIncentive)*'Intl Economy Base'!B46)*(1+International_Fuel_Surcharge),2)))*(1+FedEx_Markup),2)</f>
        <v>119.83</v>
      </c>
      <c r="C49" s="307">
        <f>ROUND((IF('Intl Economy Base'!$C$105&gt;ROUND(((1-IntEconomyDiscount-IntEoncomyIncentive)*'Intl Economy Base'!C46),2),ROUND('Intl Economy Base'!$C$105*(1+International_Fuel_Surcharge),2),ROUND(((1-IntEconomyDiscount-IntEoncomyIncentive)*'Intl Economy Base'!C46)*(1+International_Fuel_Surcharge),2)))*(1+FedEx_Markup),2)</f>
        <v>135.83000000000001</v>
      </c>
      <c r="D49" s="307">
        <f>ROUND((IF('Intl Economy Base'!$D$105&gt;ROUND(((1-IntEconomyDiscount-IntEoncomyIncentive)*'Intl Economy Base'!D46),2),ROUND('Intl Economy Base'!$D$105*(1+International_Fuel_Surcharge),2),ROUND(((1-IntEconomyDiscount-IntEoncomyIncentive)*'Intl Economy Base'!D46)*(1+International_Fuel_Surcharge),2)))*(1+FedEx_Markup),2)</f>
        <v>100.91</v>
      </c>
      <c r="E49" s="307">
        <f>ROUND((IF('Intl Economy Base'!$E$105&gt;ROUND(((1-IntEconomyDiscount-IntEoncomyIncentive)*'Intl Economy Base'!E46),2),ROUND('Intl Economy Base'!$E$105*(1+International_Fuel_Surcharge),2),ROUND(((1-IntEconomyDiscount-IntEoncomyIncentive)*'Intl Economy Base'!E46)*(1+International_Fuel_Surcharge),2)))*(1+FedEx_Markup),2)</f>
        <v>181.72</v>
      </c>
      <c r="F49" s="307">
        <f>ROUND((IF('Intl Economy Base'!$F$105&gt;ROUND(((1-IntEconomyDiscount-IntEoncomyIncentive)*'Intl Economy Base'!F46),2),ROUND('Intl Economy Base'!$F$105*(1+International_Fuel_Surcharge),2),ROUND(((1-IntEconomyDiscount-IntEoncomyIncentive)*'Intl Economy Base'!F46)*(1+International_Fuel_Surcharge),2)))*(1+FedEx_Markup),2)</f>
        <v>339.41</v>
      </c>
      <c r="G49" s="307">
        <f>ROUND((IF('Intl Economy Base'!$G$105&gt;ROUND(((1-IntEconomyDiscount-IntEoncomyIncentive)*'Intl Economy Base'!G46),2),ROUND('Intl Economy Base'!$G$105*(1+International_Fuel_Surcharge),2),ROUND(((1-IntEconomyDiscount-IntEoncomyIncentive)*'Intl Economy Base'!G46)*(1+International_Fuel_Surcharge),2)))*(1+FedEx_Markup),2)</f>
        <v>189.21</v>
      </c>
      <c r="H49" s="307">
        <f>ROUND((IF('Intl Economy Base'!$H$105&gt;ROUND(((1-IntEconomyDiscount-IntEoncomyIncentive)*'Intl Economy Base'!H46),2),ROUND('Intl Economy Base'!$H$105*(1+International_Fuel_Surcharge),2),ROUND(((1-IntEconomyDiscount-IntEoncomyIncentive)*'Intl Economy Base'!H46)*(1+International_Fuel_Surcharge),2)))*(1+FedEx_Markup),2)</f>
        <v>186.83</v>
      </c>
      <c r="I49" s="307">
        <f>ROUND((IF('Intl Economy Base'!$I$105&gt;ROUND(((1-IntEconomyDiscount-IntEoncomyIncentive)*'Intl Economy Base'!I46),2),ROUND('Intl Economy Base'!$I$105*(1+International_Fuel_Surcharge),2),ROUND(((1-IntEconomyDiscount-IntEoncomyIncentive)*'Intl Economy Base'!I46)*(1+International_Fuel_Surcharge),2)))*(1+FedEx_Markup),2)</f>
        <v>230.12</v>
      </c>
      <c r="J49" s="307">
        <f>ROUND((IF('Intl Economy Base'!$J$105&gt;ROUND(((1-IntEconomyDiscount-IntEoncomyIncentive)*'Intl Economy Base'!J46),2),ROUND('Intl Economy Base'!$J$105*(1+International_Fuel_Surcharge),2),ROUND(((1-IntEconomyDiscount-IntEoncomyIncentive)*'Intl Economy Base'!J46)*(1+International_Fuel_Surcharge),2)))*(1+FedEx_Markup),2)</f>
        <v>132.31</v>
      </c>
      <c r="K49" s="307">
        <f>ROUND((IF('Intl Economy Base'!$K$105&gt;ROUND(((1-IntEconomyDiscount-IntEoncomyIncentive)*'Intl Economy Base'!K46),2),ROUND('Intl Economy Base'!$K$105*(1+International_Fuel_Surcharge),2),ROUND(((1-IntEconomyDiscount-IntEoncomyIncentive)*'Intl Economy Base'!K46)*(1+International_Fuel_Surcharge),2)))*(1+FedEx_Markup),2)</f>
        <v>307.95</v>
      </c>
      <c r="L49" s="307">
        <f>ROUND((IF('Intl Economy Base'!$L$105&gt;ROUND(((1-IntEconomyDiscount-IntEoncomyIncentive)*'Intl Economy Base'!L46),2),ROUND('Intl Economy Base'!$L$105*(1+International_Fuel_Surcharge),2),ROUND(((1-IntEconomyDiscount-IntEoncomyIncentive)*'Intl Economy Base'!L46)*(1+International_Fuel_Surcharge),2)))*(1+FedEx_Markup),2)</f>
        <v>243.27</v>
      </c>
      <c r="M49" s="307">
        <f>ROUND((IF('Intl Economy Base'!$M$105&gt;ROUND(((1-IntEconomyDiscount-IntEoncomyIncentive)*'Intl Economy Base'!M46),2),ROUND('Intl Economy Base'!$M$105*(1+International_Fuel_Surcharge),2),ROUND(((1-IntEconomyDiscount-IntEoncomyIncentive)*'Intl Economy Base'!M46)*(1+International_Fuel_Surcharge),2)))*(1+FedEx_Markup),2)</f>
        <v>316.01</v>
      </c>
      <c r="N49" s="307">
        <f>ROUND((IF('Intl Economy Base'!$N$105&gt;ROUND(((1-IntEconomyDiscount-IntEoncomyIncentive)*'Intl Economy Base'!N46),2),ROUND('Intl Economy Base'!$N$105*(1+International_Fuel_Surcharge),2),ROUND(((1-IntEconomyDiscount-IntEoncomyIncentive)*'Intl Economy Base'!N46)*(1+International_Fuel_Surcharge),2)))*(1+FedEx_Markup),2)</f>
        <v>345.61</v>
      </c>
      <c r="O49" s="307">
        <f>ROUND((IF('Intl Economy Base'!$O$105&gt;ROUND(((1-IntEconomyDiscount-IntEoncomyIncentive)*'Intl Economy Base'!O46),2),ROUND('Intl Economy Base'!$O$105*(1+International_Fuel_Surcharge),2),ROUND(((1-IntEconomyDiscount-IntEoncomyIncentive)*'Intl Economy Base'!O46)*(1+International_Fuel_Surcharge),2)))*(1+FedEx_Markup),2)</f>
        <v>258.2</v>
      </c>
      <c r="P49" s="307">
        <f>ROUND((IF('Intl Economy Base'!$P$105&gt;ROUND(((1-IntEconomyDiscount-IntEoncomyIncentive)*'Intl Economy Base'!P46),2),ROUND('Intl Economy Base'!$P$105*(1+International_Fuel_Surcharge),2),ROUND(((1-IntEconomyDiscount-IntEoncomyIncentive)*'Intl Economy Base'!P46)*(1+International_Fuel_Surcharge),2)))*(1+FedEx_Markup),2)</f>
        <v>239.83</v>
      </c>
      <c r="Q49" s="307">
        <f>ROUND((IF('Intl Economy Base'!$Q$105&gt;ROUND(((1-PuertoRicoDiscount)*'Intl Economy Base'!Q46),2),ROUND('Intl Economy Base'!$Q$105*(1+International_Fuel_Surcharge),2),ROUND(((1-PuertoRicoDiscount)*'Intl Economy Base'!Q46)*(1+International_Fuel_Surcharge),2)))*(1+FedEx_Markup),2)</f>
        <v>307</v>
      </c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2.75" customHeight="1">
      <c r="A50" s="306">
        <v>45</v>
      </c>
      <c r="B50" s="307">
        <f>ROUND((IF('Intl Economy Base'!$B$105&gt;ROUND(((1-IntEconomyDiscount-IntEoncomyIncentive)*'Intl Economy Base'!B47),2),ROUND('Intl Economy Base'!$B$105*(1+International_Fuel_Surcharge),2),ROUND(((1-IntEconomyDiscount-IntEoncomyIncentive)*'Intl Economy Base'!B47)*(1+International_Fuel_Surcharge),2)))*(1+FedEx_Markup),2)</f>
        <v>121.88</v>
      </c>
      <c r="C50" s="307">
        <f>ROUND((IF('Intl Economy Base'!$C$105&gt;ROUND(((1-IntEconomyDiscount-IntEoncomyIncentive)*'Intl Economy Base'!C47),2),ROUND('Intl Economy Base'!$C$105*(1+International_Fuel_Surcharge),2),ROUND(((1-IntEconomyDiscount-IntEoncomyIncentive)*'Intl Economy Base'!C47)*(1+International_Fuel_Surcharge),2)))*(1+FedEx_Markup),2)</f>
        <v>137.71</v>
      </c>
      <c r="D50" s="307">
        <f>ROUND((IF('Intl Economy Base'!$D$105&gt;ROUND(((1-IntEconomyDiscount-IntEoncomyIncentive)*'Intl Economy Base'!D47),2),ROUND('Intl Economy Base'!$D$105*(1+International_Fuel_Surcharge),2),ROUND(((1-IntEconomyDiscount-IntEoncomyIncentive)*'Intl Economy Base'!D47)*(1+International_Fuel_Surcharge),2)))*(1+FedEx_Markup),2)</f>
        <v>101.48</v>
      </c>
      <c r="E50" s="307">
        <f>ROUND((IF('Intl Economy Base'!$E$105&gt;ROUND(((1-IntEconomyDiscount-IntEoncomyIncentive)*'Intl Economy Base'!E47),2),ROUND('Intl Economy Base'!$E$105*(1+International_Fuel_Surcharge),2),ROUND(((1-IntEconomyDiscount-IntEoncomyIncentive)*'Intl Economy Base'!E47)*(1+International_Fuel_Surcharge),2)))*(1+FedEx_Markup),2)</f>
        <v>182.45</v>
      </c>
      <c r="F50" s="307">
        <f>ROUND((IF('Intl Economy Base'!$F$105&gt;ROUND(((1-IntEconomyDiscount-IntEoncomyIncentive)*'Intl Economy Base'!F47),2),ROUND('Intl Economy Base'!$F$105*(1+International_Fuel_Surcharge),2),ROUND(((1-IntEconomyDiscount-IntEoncomyIncentive)*'Intl Economy Base'!F47)*(1+International_Fuel_Surcharge),2)))*(1+FedEx_Markup),2)</f>
        <v>339.5</v>
      </c>
      <c r="G50" s="307">
        <f>ROUND((IF('Intl Economy Base'!$G$105&gt;ROUND(((1-IntEconomyDiscount-IntEoncomyIncentive)*'Intl Economy Base'!G47),2),ROUND('Intl Economy Base'!$G$105*(1+International_Fuel_Surcharge),2),ROUND(((1-IntEconomyDiscount-IntEoncomyIncentive)*'Intl Economy Base'!G47)*(1+International_Fuel_Surcharge),2)))*(1+FedEx_Markup),2)</f>
        <v>189.32</v>
      </c>
      <c r="H50" s="307">
        <f>ROUND((IF('Intl Economy Base'!$H$105&gt;ROUND(((1-IntEconomyDiscount-IntEoncomyIncentive)*'Intl Economy Base'!H47),2),ROUND('Intl Economy Base'!$H$105*(1+International_Fuel_Surcharge),2),ROUND(((1-IntEconomyDiscount-IntEoncomyIncentive)*'Intl Economy Base'!H47)*(1+International_Fuel_Surcharge),2)))*(1+FedEx_Markup),2)</f>
        <v>198.39</v>
      </c>
      <c r="I50" s="307">
        <f>ROUND((IF('Intl Economy Base'!$I$105&gt;ROUND(((1-IntEconomyDiscount-IntEoncomyIncentive)*'Intl Economy Base'!I47),2),ROUND('Intl Economy Base'!$I$105*(1+International_Fuel_Surcharge),2),ROUND(((1-IntEconomyDiscount-IntEoncomyIncentive)*'Intl Economy Base'!I47)*(1+International_Fuel_Surcharge),2)))*(1+FedEx_Markup),2)</f>
        <v>239.86</v>
      </c>
      <c r="J50" s="307">
        <f>ROUND((IF('Intl Economy Base'!$J$105&gt;ROUND(((1-IntEconomyDiscount-IntEoncomyIncentive)*'Intl Economy Base'!J47),2),ROUND('Intl Economy Base'!$J$105*(1+International_Fuel_Surcharge),2),ROUND(((1-IntEconomyDiscount-IntEoncomyIncentive)*'Intl Economy Base'!J47)*(1+International_Fuel_Surcharge),2)))*(1+FedEx_Markup),2)</f>
        <v>133.94999999999999</v>
      </c>
      <c r="K50" s="307">
        <f>ROUND((IF('Intl Economy Base'!$K$105&gt;ROUND(((1-IntEconomyDiscount-IntEoncomyIncentive)*'Intl Economy Base'!K47),2),ROUND('Intl Economy Base'!$K$105*(1+International_Fuel_Surcharge),2),ROUND(((1-IntEconomyDiscount-IntEoncomyIncentive)*'Intl Economy Base'!K47)*(1+International_Fuel_Surcharge),2)))*(1+FedEx_Markup),2)</f>
        <v>313.94</v>
      </c>
      <c r="L50" s="307">
        <f>ROUND((IF('Intl Economy Base'!$L$105&gt;ROUND(((1-IntEconomyDiscount-IntEoncomyIncentive)*'Intl Economy Base'!L47),2),ROUND('Intl Economy Base'!$L$105*(1+International_Fuel_Surcharge),2),ROUND(((1-IntEconomyDiscount-IntEoncomyIncentive)*'Intl Economy Base'!L47)*(1+International_Fuel_Surcharge),2)))*(1+FedEx_Markup),2)</f>
        <v>243.42</v>
      </c>
      <c r="M50" s="307">
        <f>ROUND((IF('Intl Economy Base'!$M$105&gt;ROUND(((1-IntEconomyDiscount-IntEoncomyIncentive)*'Intl Economy Base'!M47),2),ROUND('Intl Economy Base'!$M$105*(1+International_Fuel_Surcharge),2),ROUND(((1-IntEconomyDiscount-IntEoncomyIncentive)*'Intl Economy Base'!M47)*(1+International_Fuel_Surcharge),2)))*(1+FedEx_Markup),2)</f>
        <v>316.95</v>
      </c>
      <c r="N50" s="307">
        <f>ROUND((IF('Intl Economy Base'!$N$105&gt;ROUND(((1-IntEconomyDiscount-IntEoncomyIncentive)*'Intl Economy Base'!N47),2),ROUND('Intl Economy Base'!$N$105*(1+International_Fuel_Surcharge),2),ROUND(((1-IntEconomyDiscount-IntEoncomyIncentive)*'Intl Economy Base'!N47)*(1+International_Fuel_Surcharge),2)))*(1+FedEx_Markup),2)</f>
        <v>346.77</v>
      </c>
      <c r="O50" s="307">
        <f>ROUND((IF('Intl Economy Base'!$O$105&gt;ROUND(((1-IntEconomyDiscount-IntEoncomyIncentive)*'Intl Economy Base'!O47),2),ROUND('Intl Economy Base'!$O$105*(1+International_Fuel_Surcharge),2),ROUND(((1-IntEconomyDiscount-IntEoncomyIncentive)*'Intl Economy Base'!O47)*(1+International_Fuel_Surcharge),2)))*(1+FedEx_Markup),2)</f>
        <v>275.52</v>
      </c>
      <c r="P50" s="307">
        <f>ROUND((IF('Intl Economy Base'!$P$105&gt;ROUND(((1-IntEconomyDiscount-IntEoncomyIncentive)*'Intl Economy Base'!P47),2),ROUND('Intl Economy Base'!$P$105*(1+International_Fuel_Surcharge),2),ROUND(((1-IntEconomyDiscount-IntEoncomyIncentive)*'Intl Economy Base'!P47)*(1+International_Fuel_Surcharge),2)))*(1+FedEx_Markup),2)</f>
        <v>239.91</v>
      </c>
      <c r="Q50" s="307">
        <f>ROUND((IF('Intl Economy Base'!$Q$105&gt;ROUND(((1-PuertoRicoDiscount)*'Intl Economy Base'!Q47),2),ROUND('Intl Economy Base'!$Q$105*(1+International_Fuel_Surcharge),2),ROUND(((1-PuertoRicoDiscount)*'Intl Economy Base'!Q47)*(1+International_Fuel_Surcharge),2)))*(1+FedEx_Markup),2)</f>
        <v>311.64999999999998</v>
      </c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2.75" customHeight="1">
      <c r="A51" s="306">
        <v>46</v>
      </c>
      <c r="B51" s="307">
        <f>ROUND((IF('Intl Economy Base'!$B$105&gt;ROUND(((1-IntEconomyDiscount-IntEoncomyIncentive)*'Intl Economy Base'!B48),2),ROUND('Intl Economy Base'!$B$105*(1+International_Fuel_Surcharge),2),ROUND(((1-IntEconomyDiscount-IntEoncomyIncentive)*'Intl Economy Base'!B48)*(1+International_Fuel_Surcharge),2)))*(1+FedEx_Markup),2)</f>
        <v>123.9</v>
      </c>
      <c r="C51" s="307">
        <f>ROUND((IF('Intl Economy Base'!$C$105&gt;ROUND(((1-IntEconomyDiscount-IntEoncomyIncentive)*'Intl Economy Base'!C48),2),ROUND('Intl Economy Base'!$C$105*(1+International_Fuel_Surcharge),2),ROUND(((1-IntEconomyDiscount-IntEoncomyIncentive)*'Intl Economy Base'!C48)*(1+International_Fuel_Surcharge),2)))*(1+FedEx_Markup),2)</f>
        <v>139.41</v>
      </c>
      <c r="D51" s="307">
        <f>ROUND((IF('Intl Economy Base'!$D$105&gt;ROUND(((1-IntEconomyDiscount-IntEoncomyIncentive)*'Intl Economy Base'!D48),2),ROUND('Intl Economy Base'!$D$105*(1+International_Fuel_Surcharge),2),ROUND(((1-IntEconomyDiscount-IntEoncomyIncentive)*'Intl Economy Base'!D48)*(1+International_Fuel_Surcharge),2)))*(1+FedEx_Markup),2)</f>
        <v>101.55</v>
      </c>
      <c r="E51" s="307">
        <f>ROUND((IF('Intl Economy Base'!$E$105&gt;ROUND(((1-IntEconomyDiscount-IntEoncomyIncentive)*'Intl Economy Base'!E48),2),ROUND('Intl Economy Base'!$E$105*(1+International_Fuel_Surcharge),2),ROUND(((1-IntEconomyDiscount-IntEoncomyIncentive)*'Intl Economy Base'!E48)*(1+International_Fuel_Surcharge),2)))*(1+FedEx_Markup),2)</f>
        <v>183.32</v>
      </c>
      <c r="F51" s="307">
        <f>ROUND((IF('Intl Economy Base'!$F$105&gt;ROUND(((1-IntEconomyDiscount-IntEoncomyIncentive)*'Intl Economy Base'!F48),2),ROUND('Intl Economy Base'!$F$105*(1+International_Fuel_Surcharge),2),ROUND(((1-IntEconomyDiscount-IntEoncomyIncentive)*'Intl Economy Base'!F48)*(1+International_Fuel_Surcharge),2)))*(1+FedEx_Markup),2)</f>
        <v>340.83</v>
      </c>
      <c r="G51" s="307">
        <f>ROUND((IF('Intl Economy Base'!$G$105&gt;ROUND(((1-IntEconomyDiscount-IntEoncomyIncentive)*'Intl Economy Base'!G48),2),ROUND('Intl Economy Base'!$G$105*(1+International_Fuel_Surcharge),2),ROUND(((1-IntEconomyDiscount-IntEoncomyIncentive)*'Intl Economy Base'!G48)*(1+International_Fuel_Surcharge),2)))*(1+FedEx_Markup),2)</f>
        <v>191.67</v>
      </c>
      <c r="H51" s="307">
        <f>ROUND((IF('Intl Economy Base'!$H$105&gt;ROUND(((1-IntEconomyDiscount-IntEoncomyIncentive)*'Intl Economy Base'!H48),2),ROUND('Intl Economy Base'!$H$105*(1+International_Fuel_Surcharge),2),ROUND(((1-IntEconomyDiscount-IntEoncomyIncentive)*'Intl Economy Base'!H48)*(1+International_Fuel_Surcharge),2)))*(1+FedEx_Markup),2)</f>
        <v>201.16</v>
      </c>
      <c r="I51" s="307">
        <f>ROUND((IF('Intl Economy Base'!$I$105&gt;ROUND(((1-IntEconomyDiscount-IntEoncomyIncentive)*'Intl Economy Base'!I48),2),ROUND('Intl Economy Base'!$I$105*(1+International_Fuel_Surcharge),2),ROUND(((1-IntEconomyDiscount-IntEoncomyIncentive)*'Intl Economy Base'!I48)*(1+International_Fuel_Surcharge),2)))*(1+FedEx_Markup),2)</f>
        <v>240.83</v>
      </c>
      <c r="J51" s="307">
        <f>ROUND((IF('Intl Economy Base'!$J$105&gt;ROUND(((1-IntEconomyDiscount-IntEoncomyIncentive)*'Intl Economy Base'!J48),2),ROUND('Intl Economy Base'!$J$105*(1+International_Fuel_Surcharge),2),ROUND(((1-IntEconomyDiscount-IntEoncomyIncentive)*'Intl Economy Base'!J48)*(1+International_Fuel_Surcharge),2)))*(1+FedEx_Markup),2)</f>
        <v>135.87</v>
      </c>
      <c r="K51" s="307">
        <f>ROUND((IF('Intl Economy Base'!$K$105&gt;ROUND(((1-IntEconomyDiscount-IntEoncomyIncentive)*'Intl Economy Base'!K48),2),ROUND('Intl Economy Base'!$K$105*(1+International_Fuel_Surcharge),2),ROUND(((1-IntEconomyDiscount-IntEoncomyIncentive)*'Intl Economy Base'!K48)*(1+International_Fuel_Surcharge),2)))*(1+FedEx_Markup),2)</f>
        <v>314.54000000000002</v>
      </c>
      <c r="L51" s="307">
        <f>ROUND((IF('Intl Economy Base'!$L$105&gt;ROUND(((1-IntEconomyDiscount-IntEoncomyIncentive)*'Intl Economy Base'!L48),2),ROUND('Intl Economy Base'!$L$105*(1+International_Fuel_Surcharge),2),ROUND(((1-IntEconomyDiscount-IntEoncomyIncentive)*'Intl Economy Base'!L48)*(1+International_Fuel_Surcharge),2)))*(1+FedEx_Markup),2)</f>
        <v>243.5</v>
      </c>
      <c r="M51" s="307">
        <f>ROUND((IF('Intl Economy Base'!$M$105&gt;ROUND(((1-IntEconomyDiscount-IntEoncomyIncentive)*'Intl Economy Base'!M48),2),ROUND('Intl Economy Base'!$M$105*(1+International_Fuel_Surcharge),2),ROUND(((1-IntEconomyDiscount-IntEoncomyIncentive)*'Intl Economy Base'!M48)*(1+International_Fuel_Surcharge),2)))*(1+FedEx_Markup),2)</f>
        <v>317.04000000000002</v>
      </c>
      <c r="N51" s="307">
        <f>ROUND((IF('Intl Economy Base'!$N$105&gt;ROUND(((1-IntEconomyDiscount-IntEoncomyIncentive)*'Intl Economy Base'!N48),2),ROUND('Intl Economy Base'!$N$105*(1+International_Fuel_Surcharge),2),ROUND(((1-IntEconomyDiscount-IntEoncomyIncentive)*'Intl Economy Base'!N48)*(1+International_Fuel_Surcharge),2)))*(1+FedEx_Markup),2)</f>
        <v>346.89</v>
      </c>
      <c r="O51" s="307">
        <f>ROUND((IF('Intl Economy Base'!$O$105&gt;ROUND(((1-IntEconomyDiscount-IntEoncomyIncentive)*'Intl Economy Base'!O48),2),ROUND('Intl Economy Base'!$O$105*(1+International_Fuel_Surcharge),2),ROUND(((1-IntEconomyDiscount-IntEoncomyIncentive)*'Intl Economy Base'!O48)*(1+International_Fuel_Surcharge),2)))*(1+FedEx_Markup),2)</f>
        <v>277.27999999999997</v>
      </c>
      <c r="P51" s="307">
        <f>ROUND((IF('Intl Economy Base'!$P$105&gt;ROUND(((1-IntEconomyDiscount-IntEoncomyIncentive)*'Intl Economy Base'!P48),2),ROUND('Intl Economy Base'!$P$105*(1+International_Fuel_Surcharge),2),ROUND(((1-IntEconomyDiscount-IntEoncomyIncentive)*'Intl Economy Base'!P48)*(1+International_Fuel_Surcharge),2)))*(1+FedEx_Markup),2)</f>
        <v>240.76</v>
      </c>
      <c r="Q51" s="307">
        <f>ROUND((IF('Intl Economy Base'!$Q$105&gt;ROUND(((1-PuertoRicoDiscount)*'Intl Economy Base'!Q48),2),ROUND('Intl Economy Base'!$Q$105*(1+International_Fuel_Surcharge),2),ROUND(((1-PuertoRicoDiscount)*'Intl Economy Base'!Q48)*(1+International_Fuel_Surcharge),2)))*(1+FedEx_Markup),2)</f>
        <v>319.19</v>
      </c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2.75" customHeight="1">
      <c r="A52" s="306">
        <v>47</v>
      </c>
      <c r="B52" s="307">
        <f>ROUND((IF('Intl Economy Base'!$B$105&gt;ROUND(((1-IntEconomyDiscount-IntEoncomyIncentive)*'Intl Economy Base'!B49),2),ROUND('Intl Economy Base'!$B$105*(1+International_Fuel_Surcharge),2),ROUND(((1-IntEconomyDiscount-IntEoncomyIncentive)*'Intl Economy Base'!B49)*(1+International_Fuel_Surcharge),2)))*(1+FedEx_Markup),2)</f>
        <v>127.28</v>
      </c>
      <c r="C52" s="307">
        <f>ROUND((IF('Intl Economy Base'!$C$105&gt;ROUND(((1-IntEconomyDiscount-IntEoncomyIncentive)*'Intl Economy Base'!C49),2),ROUND('Intl Economy Base'!$C$105*(1+International_Fuel_Surcharge),2),ROUND(((1-IntEconomyDiscount-IntEoncomyIncentive)*'Intl Economy Base'!C49)*(1+International_Fuel_Surcharge),2)))*(1+FedEx_Markup),2)</f>
        <v>141.47</v>
      </c>
      <c r="D52" s="307">
        <f>ROUND((IF('Intl Economy Base'!$D$105&gt;ROUND(((1-IntEconomyDiscount-IntEoncomyIncentive)*'Intl Economy Base'!D49),2),ROUND('Intl Economy Base'!$D$105*(1+International_Fuel_Surcharge),2),ROUND(((1-IntEconomyDiscount-IntEoncomyIncentive)*'Intl Economy Base'!D49)*(1+International_Fuel_Surcharge),2)))*(1+FedEx_Markup),2)</f>
        <v>101.61</v>
      </c>
      <c r="E52" s="307">
        <f>ROUND((IF('Intl Economy Base'!$E$105&gt;ROUND(((1-IntEconomyDiscount-IntEoncomyIncentive)*'Intl Economy Base'!E49),2),ROUND('Intl Economy Base'!$E$105*(1+International_Fuel_Surcharge),2),ROUND(((1-IntEconomyDiscount-IntEoncomyIncentive)*'Intl Economy Base'!E49)*(1+International_Fuel_Surcharge),2)))*(1+FedEx_Markup),2)</f>
        <v>183.4</v>
      </c>
      <c r="F52" s="307">
        <f>ROUND((IF('Intl Economy Base'!$F$105&gt;ROUND(((1-IntEconomyDiscount-IntEoncomyIncentive)*'Intl Economy Base'!F49),2),ROUND('Intl Economy Base'!$F$105*(1+International_Fuel_Surcharge),2),ROUND(((1-IntEconomyDiscount-IntEoncomyIncentive)*'Intl Economy Base'!F49)*(1+International_Fuel_Surcharge),2)))*(1+FedEx_Markup),2)</f>
        <v>360.66</v>
      </c>
      <c r="G52" s="307">
        <f>ROUND((IF('Intl Economy Base'!$G$105&gt;ROUND(((1-IntEconomyDiscount-IntEoncomyIncentive)*'Intl Economy Base'!G49),2),ROUND('Intl Economy Base'!$G$105*(1+International_Fuel_Surcharge),2),ROUND(((1-IntEconomyDiscount-IntEoncomyIncentive)*'Intl Economy Base'!G49)*(1+International_Fuel_Surcharge),2)))*(1+FedEx_Markup),2)</f>
        <v>191.9</v>
      </c>
      <c r="H52" s="307">
        <f>ROUND((IF('Intl Economy Base'!$H$105&gt;ROUND(((1-IntEconomyDiscount-IntEoncomyIncentive)*'Intl Economy Base'!H49),2),ROUND('Intl Economy Base'!$H$105*(1+International_Fuel_Surcharge),2),ROUND(((1-IntEconomyDiscount-IntEoncomyIncentive)*'Intl Economy Base'!H49)*(1+International_Fuel_Surcharge),2)))*(1+FedEx_Markup),2)</f>
        <v>201.43</v>
      </c>
      <c r="I52" s="307">
        <f>ROUND((IF('Intl Economy Base'!$I$105&gt;ROUND(((1-IntEconomyDiscount-IntEoncomyIncentive)*'Intl Economy Base'!I49),2),ROUND('Intl Economy Base'!$I$105*(1+International_Fuel_Surcharge),2),ROUND(((1-IntEconomyDiscount-IntEoncomyIncentive)*'Intl Economy Base'!I49)*(1+International_Fuel_Surcharge),2)))*(1+FedEx_Markup),2)</f>
        <v>240.98</v>
      </c>
      <c r="J52" s="307">
        <f>ROUND((IF('Intl Economy Base'!$J$105&gt;ROUND(((1-IntEconomyDiscount-IntEoncomyIncentive)*'Intl Economy Base'!J49),2),ROUND('Intl Economy Base'!$J$105*(1+International_Fuel_Surcharge),2),ROUND(((1-IntEconomyDiscount-IntEoncomyIncentive)*'Intl Economy Base'!J49)*(1+International_Fuel_Surcharge),2)))*(1+FedEx_Markup),2)</f>
        <v>140.85</v>
      </c>
      <c r="K52" s="307">
        <f>ROUND((IF('Intl Economy Base'!$K$105&gt;ROUND(((1-IntEconomyDiscount-IntEoncomyIncentive)*'Intl Economy Base'!K49),2),ROUND('Intl Economy Base'!$K$105*(1+International_Fuel_Surcharge),2),ROUND(((1-IntEconomyDiscount-IntEoncomyIncentive)*'Intl Economy Base'!K49)*(1+International_Fuel_Surcharge),2)))*(1+FedEx_Markup),2)</f>
        <v>314.76</v>
      </c>
      <c r="L52" s="307">
        <f>ROUND((IF('Intl Economy Base'!$L$105&gt;ROUND(((1-IntEconomyDiscount-IntEoncomyIncentive)*'Intl Economy Base'!L49),2),ROUND('Intl Economy Base'!$L$105*(1+International_Fuel_Surcharge),2),ROUND(((1-IntEconomyDiscount-IntEoncomyIncentive)*'Intl Economy Base'!L49)*(1+International_Fuel_Surcharge),2)))*(1+FedEx_Markup),2)</f>
        <v>244.12</v>
      </c>
      <c r="M52" s="307">
        <f>ROUND((IF('Intl Economy Base'!$M$105&gt;ROUND(((1-IntEconomyDiscount-IntEoncomyIncentive)*'Intl Economy Base'!M49),2),ROUND('Intl Economy Base'!$M$105*(1+International_Fuel_Surcharge),2),ROUND(((1-IntEconomyDiscount-IntEoncomyIncentive)*'Intl Economy Base'!M49)*(1+International_Fuel_Surcharge),2)))*(1+FedEx_Markup),2)</f>
        <v>318.72000000000003</v>
      </c>
      <c r="N52" s="307">
        <f>ROUND((IF('Intl Economy Base'!$N$105&gt;ROUND(((1-IntEconomyDiscount-IntEoncomyIncentive)*'Intl Economy Base'!N49),2),ROUND('Intl Economy Base'!$N$105*(1+International_Fuel_Surcharge),2),ROUND(((1-IntEconomyDiscount-IntEoncomyIncentive)*'Intl Economy Base'!N49)*(1+International_Fuel_Surcharge),2)))*(1+FedEx_Markup),2)</f>
        <v>346.99</v>
      </c>
      <c r="O52" s="307">
        <f>ROUND((IF('Intl Economy Base'!$O$105&gt;ROUND(((1-IntEconomyDiscount-IntEoncomyIncentive)*'Intl Economy Base'!O49),2),ROUND('Intl Economy Base'!$O$105*(1+International_Fuel_Surcharge),2),ROUND(((1-IntEconomyDiscount-IntEoncomyIncentive)*'Intl Economy Base'!O49)*(1+International_Fuel_Surcharge),2)))*(1+FedEx_Markup),2)</f>
        <v>277.62</v>
      </c>
      <c r="P52" s="307">
        <f>ROUND((IF('Intl Economy Base'!$P$105&gt;ROUND(((1-IntEconomyDiscount-IntEoncomyIncentive)*'Intl Economy Base'!P49),2),ROUND('Intl Economy Base'!$P$105*(1+International_Fuel_Surcharge),2),ROUND(((1-IntEconomyDiscount-IntEoncomyIncentive)*'Intl Economy Base'!P49)*(1+International_Fuel_Surcharge),2)))*(1+FedEx_Markup),2)</f>
        <v>257.63</v>
      </c>
      <c r="Q52" s="307">
        <f>ROUND((IF('Intl Economy Base'!$Q$105&gt;ROUND(((1-PuertoRicoDiscount)*'Intl Economy Base'!Q49),2),ROUND('Intl Economy Base'!$Q$105*(1+International_Fuel_Surcharge),2),ROUND(((1-PuertoRicoDiscount)*'Intl Economy Base'!Q49)*(1+International_Fuel_Surcharge),2)))*(1+FedEx_Markup),2)</f>
        <v>325.20999999999998</v>
      </c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2.75" customHeight="1">
      <c r="A53" s="306">
        <v>48</v>
      </c>
      <c r="B53" s="307">
        <f>ROUND((IF('Intl Economy Base'!$B$105&gt;ROUND(((1-IntEconomyDiscount-IntEoncomyIncentive)*'Intl Economy Base'!B50),2),ROUND('Intl Economy Base'!$B$105*(1+International_Fuel_Surcharge),2),ROUND(((1-IntEconomyDiscount-IntEoncomyIncentive)*'Intl Economy Base'!B50)*(1+International_Fuel_Surcharge),2)))*(1+FedEx_Markup),2)</f>
        <v>127.63</v>
      </c>
      <c r="C53" s="307">
        <f>ROUND((IF('Intl Economy Base'!$C$105&gt;ROUND(((1-IntEconomyDiscount-IntEoncomyIncentive)*'Intl Economy Base'!C50),2),ROUND('Intl Economy Base'!$C$105*(1+International_Fuel_Surcharge),2),ROUND(((1-IntEconomyDiscount-IntEoncomyIncentive)*'Intl Economy Base'!C50)*(1+International_Fuel_Surcharge),2)))*(1+FedEx_Markup),2)</f>
        <v>144.72999999999999</v>
      </c>
      <c r="D53" s="307">
        <f>ROUND((IF('Intl Economy Base'!$D$105&gt;ROUND(((1-IntEconomyDiscount-IntEoncomyIncentive)*'Intl Economy Base'!D50),2),ROUND('Intl Economy Base'!$D$105*(1+International_Fuel_Surcharge),2),ROUND(((1-IntEconomyDiscount-IntEoncomyIncentive)*'Intl Economy Base'!D50)*(1+International_Fuel_Surcharge),2)))*(1+FedEx_Markup),2)</f>
        <v>101.73</v>
      </c>
      <c r="E53" s="307">
        <f>ROUND((IF('Intl Economy Base'!$E$105&gt;ROUND(((1-IntEconomyDiscount-IntEoncomyIncentive)*'Intl Economy Base'!E50),2),ROUND('Intl Economy Base'!$E$105*(1+International_Fuel_Surcharge),2),ROUND(((1-IntEconomyDiscount-IntEoncomyIncentive)*'Intl Economy Base'!E50)*(1+International_Fuel_Surcharge),2)))*(1+FedEx_Markup),2)</f>
        <v>183.48</v>
      </c>
      <c r="F53" s="307">
        <f>ROUND((IF('Intl Economy Base'!$F$105&gt;ROUND(((1-IntEconomyDiscount-IntEoncomyIncentive)*'Intl Economy Base'!F50),2),ROUND('Intl Economy Base'!$F$105*(1+International_Fuel_Surcharge),2),ROUND(((1-IntEconomyDiscount-IntEoncomyIncentive)*'Intl Economy Base'!F50)*(1+International_Fuel_Surcharge),2)))*(1+FedEx_Markup),2)</f>
        <v>362.65</v>
      </c>
      <c r="G53" s="307">
        <f>ROUND((IF('Intl Economy Base'!$G$105&gt;ROUND(((1-IntEconomyDiscount-IntEoncomyIncentive)*'Intl Economy Base'!G50),2),ROUND('Intl Economy Base'!$G$105*(1+International_Fuel_Surcharge),2),ROUND(((1-IntEconomyDiscount-IntEoncomyIncentive)*'Intl Economy Base'!G50)*(1+International_Fuel_Surcharge),2)))*(1+FedEx_Markup),2)</f>
        <v>192.38</v>
      </c>
      <c r="H53" s="307">
        <f>ROUND((IF('Intl Economy Base'!$H$105&gt;ROUND(((1-IntEconomyDiscount-IntEoncomyIncentive)*'Intl Economy Base'!H50),2),ROUND('Intl Economy Base'!$H$105*(1+International_Fuel_Surcharge),2),ROUND(((1-IntEconomyDiscount-IntEoncomyIncentive)*'Intl Economy Base'!H50)*(1+International_Fuel_Surcharge),2)))*(1+FedEx_Markup),2)</f>
        <v>201.49</v>
      </c>
      <c r="I53" s="307">
        <f>ROUND((IF('Intl Economy Base'!$I$105&gt;ROUND(((1-IntEconomyDiscount-IntEoncomyIncentive)*'Intl Economy Base'!I50),2),ROUND('Intl Economy Base'!$I$105*(1+International_Fuel_Surcharge),2),ROUND(((1-IntEconomyDiscount-IntEoncomyIncentive)*'Intl Economy Base'!I50)*(1+International_Fuel_Surcharge),2)))*(1+FedEx_Markup),2)</f>
        <v>244.04</v>
      </c>
      <c r="J53" s="307">
        <f>ROUND((IF('Intl Economy Base'!$J$105&gt;ROUND(((1-IntEconomyDiscount-IntEoncomyIncentive)*'Intl Economy Base'!J50),2),ROUND('Intl Economy Base'!$J$105*(1+International_Fuel_Surcharge),2),ROUND(((1-IntEconomyDiscount-IntEoncomyIncentive)*'Intl Economy Base'!J50)*(1+International_Fuel_Surcharge),2)))*(1+FedEx_Markup),2)</f>
        <v>151.72</v>
      </c>
      <c r="K53" s="307">
        <f>ROUND((IF('Intl Economy Base'!$K$105&gt;ROUND(((1-IntEconomyDiscount-IntEoncomyIncentive)*'Intl Economy Base'!K50),2),ROUND('Intl Economy Base'!$K$105*(1+International_Fuel_Surcharge),2),ROUND(((1-IntEconomyDiscount-IntEoncomyIncentive)*'Intl Economy Base'!K50)*(1+International_Fuel_Surcharge),2)))*(1+FedEx_Markup),2)</f>
        <v>318.83</v>
      </c>
      <c r="L53" s="307">
        <f>ROUND((IF('Intl Economy Base'!$L$105&gt;ROUND(((1-IntEconomyDiscount-IntEoncomyIncentive)*'Intl Economy Base'!L50),2),ROUND('Intl Economy Base'!$L$105*(1+International_Fuel_Surcharge),2),ROUND(((1-IntEconomyDiscount-IntEoncomyIncentive)*'Intl Economy Base'!L50)*(1+International_Fuel_Surcharge),2)))*(1+FedEx_Markup),2)</f>
        <v>249</v>
      </c>
      <c r="M53" s="307">
        <f>ROUND((IF('Intl Economy Base'!$M$105&gt;ROUND(((1-IntEconomyDiscount-IntEoncomyIncentive)*'Intl Economy Base'!M50),2),ROUND('Intl Economy Base'!$M$105*(1+International_Fuel_Surcharge),2),ROUND(((1-IntEconomyDiscount-IntEoncomyIncentive)*'Intl Economy Base'!M50)*(1+International_Fuel_Surcharge),2)))*(1+FedEx_Markup),2)</f>
        <v>323.39</v>
      </c>
      <c r="N53" s="307">
        <f>ROUND((IF('Intl Economy Base'!$N$105&gt;ROUND(((1-IntEconomyDiscount-IntEoncomyIncentive)*'Intl Economy Base'!N50),2),ROUND('Intl Economy Base'!$N$105*(1+International_Fuel_Surcharge),2),ROUND(((1-IntEconomyDiscount-IntEoncomyIncentive)*'Intl Economy Base'!N50)*(1+International_Fuel_Surcharge),2)))*(1+FedEx_Markup),2)</f>
        <v>349.04</v>
      </c>
      <c r="O53" s="307">
        <f>ROUND((IF('Intl Economy Base'!$O$105&gt;ROUND(((1-IntEconomyDiscount-IntEoncomyIncentive)*'Intl Economy Base'!O50),2),ROUND('Intl Economy Base'!$O$105*(1+International_Fuel_Surcharge),2),ROUND(((1-IntEconomyDiscount-IntEoncomyIncentive)*'Intl Economy Base'!O50)*(1+International_Fuel_Surcharge),2)))*(1+FedEx_Markup),2)</f>
        <v>277.76</v>
      </c>
      <c r="P53" s="307">
        <f>ROUND((IF('Intl Economy Base'!$P$105&gt;ROUND(((1-IntEconomyDiscount-IntEoncomyIncentive)*'Intl Economy Base'!P50),2),ROUND('Intl Economy Base'!$P$105*(1+International_Fuel_Surcharge),2),ROUND(((1-IntEconomyDiscount-IntEoncomyIncentive)*'Intl Economy Base'!P50)*(1+International_Fuel_Surcharge),2)))*(1+FedEx_Markup),2)</f>
        <v>259.33</v>
      </c>
      <c r="Q53" s="307">
        <f>ROUND((IF('Intl Economy Base'!$Q$105&gt;ROUND(((1-PuertoRicoDiscount)*'Intl Economy Base'!Q50),2),ROUND('Intl Economy Base'!$Q$105*(1+International_Fuel_Surcharge),2),ROUND(((1-PuertoRicoDiscount)*'Intl Economy Base'!Q50)*(1+International_Fuel_Surcharge),2)))*(1+FedEx_Markup),2)</f>
        <v>330.86</v>
      </c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2.75" customHeight="1">
      <c r="A54" s="306">
        <v>49</v>
      </c>
      <c r="B54" s="307">
        <f>ROUND((IF('Intl Economy Base'!$B$105&gt;ROUND(((1-IntEconomyDiscount-IntEoncomyIncentive)*'Intl Economy Base'!B51),2),ROUND('Intl Economy Base'!$B$105*(1+International_Fuel_Surcharge),2),ROUND(((1-IntEconomyDiscount-IntEoncomyIncentive)*'Intl Economy Base'!B51)*(1+International_Fuel_Surcharge),2)))*(1+FedEx_Markup),2)</f>
        <v>129.12</v>
      </c>
      <c r="C54" s="307">
        <f>ROUND((IF('Intl Economy Base'!$C$105&gt;ROUND(((1-IntEconomyDiscount-IntEoncomyIncentive)*'Intl Economy Base'!C51),2),ROUND('Intl Economy Base'!$C$105*(1+International_Fuel_Surcharge),2),ROUND(((1-IntEconomyDiscount-IntEoncomyIncentive)*'Intl Economy Base'!C51)*(1+International_Fuel_Surcharge),2)))*(1+FedEx_Markup),2)</f>
        <v>145.06</v>
      </c>
      <c r="D54" s="307">
        <f>ROUND((IF('Intl Economy Base'!$D$105&gt;ROUND(((1-IntEconomyDiscount-IntEoncomyIncentive)*'Intl Economy Base'!D51),2),ROUND('Intl Economy Base'!$D$105*(1+International_Fuel_Surcharge),2),ROUND(((1-IntEconomyDiscount-IntEoncomyIncentive)*'Intl Economy Base'!D51)*(1+International_Fuel_Surcharge),2)))*(1+FedEx_Markup),2)</f>
        <v>101.8</v>
      </c>
      <c r="E54" s="307">
        <f>ROUND((IF('Intl Economy Base'!$E$105&gt;ROUND(((1-IntEconomyDiscount-IntEoncomyIncentive)*'Intl Economy Base'!E51),2),ROUND('Intl Economy Base'!$E$105*(1+International_Fuel_Surcharge),2),ROUND(((1-IntEconomyDiscount-IntEoncomyIncentive)*'Intl Economy Base'!E51)*(1+International_Fuel_Surcharge),2)))*(1+FedEx_Markup),2)</f>
        <v>183.56</v>
      </c>
      <c r="F54" s="307">
        <f>ROUND((IF('Intl Economy Base'!$F$105&gt;ROUND(((1-IntEconomyDiscount-IntEoncomyIncentive)*'Intl Economy Base'!F51),2),ROUND('Intl Economy Base'!$F$105*(1+International_Fuel_Surcharge),2),ROUND(((1-IntEconomyDiscount-IntEoncomyIncentive)*'Intl Economy Base'!F51)*(1+International_Fuel_Surcharge),2)))*(1+FedEx_Markup),2)</f>
        <v>364.06</v>
      </c>
      <c r="G54" s="307">
        <f>ROUND((IF('Intl Economy Base'!$G$105&gt;ROUND(((1-IntEconomyDiscount-IntEoncomyIncentive)*'Intl Economy Base'!G51),2),ROUND('Intl Economy Base'!$G$105*(1+International_Fuel_Surcharge),2),ROUND(((1-IntEconomyDiscount-IntEoncomyIncentive)*'Intl Economy Base'!G51)*(1+International_Fuel_Surcharge),2)))*(1+FedEx_Markup),2)</f>
        <v>201.8</v>
      </c>
      <c r="H54" s="307">
        <f>ROUND((IF('Intl Economy Base'!$H$105&gt;ROUND(((1-IntEconomyDiscount-IntEoncomyIncentive)*'Intl Economy Base'!H51),2),ROUND('Intl Economy Base'!$H$105*(1+International_Fuel_Surcharge),2),ROUND(((1-IntEconomyDiscount-IntEoncomyIncentive)*'Intl Economy Base'!H51)*(1+International_Fuel_Surcharge),2)))*(1+FedEx_Markup),2)</f>
        <v>201.69</v>
      </c>
      <c r="I54" s="307">
        <f>ROUND((IF('Intl Economy Base'!$I$105&gt;ROUND(((1-IntEconomyDiscount-IntEoncomyIncentive)*'Intl Economy Base'!I51),2),ROUND('Intl Economy Base'!$I$105*(1+International_Fuel_Surcharge),2),ROUND(((1-IntEconomyDiscount-IntEoncomyIncentive)*'Intl Economy Base'!I51)*(1+International_Fuel_Surcharge),2)))*(1+FedEx_Markup),2)</f>
        <v>251.45</v>
      </c>
      <c r="J54" s="307">
        <f>ROUND((IF('Intl Economy Base'!$J$105&gt;ROUND(((1-IntEconomyDiscount-IntEoncomyIncentive)*'Intl Economy Base'!J51),2),ROUND('Intl Economy Base'!$J$105*(1+International_Fuel_Surcharge),2),ROUND(((1-IntEconomyDiscount-IntEoncomyIncentive)*'Intl Economy Base'!J51)*(1+International_Fuel_Surcharge),2)))*(1+FedEx_Markup),2)</f>
        <v>152.80000000000001</v>
      </c>
      <c r="K54" s="307">
        <f>ROUND((IF('Intl Economy Base'!$K$105&gt;ROUND(((1-IntEconomyDiscount-IntEoncomyIncentive)*'Intl Economy Base'!K51),2),ROUND('Intl Economy Base'!$K$105*(1+International_Fuel_Surcharge),2),ROUND(((1-IntEconomyDiscount-IntEoncomyIncentive)*'Intl Economy Base'!K51)*(1+International_Fuel_Surcharge),2)))*(1+FedEx_Markup),2)</f>
        <v>328.53</v>
      </c>
      <c r="L54" s="307">
        <f>ROUND((IF('Intl Economy Base'!$L$105&gt;ROUND(((1-IntEconomyDiscount-IntEoncomyIncentive)*'Intl Economy Base'!L51),2),ROUND('Intl Economy Base'!$L$105*(1+International_Fuel_Surcharge),2),ROUND(((1-IntEconomyDiscount-IntEoncomyIncentive)*'Intl Economy Base'!L51)*(1+International_Fuel_Surcharge),2)))*(1+FedEx_Markup),2)</f>
        <v>256.77999999999997</v>
      </c>
      <c r="M54" s="307">
        <f>ROUND((IF('Intl Economy Base'!$M$105&gt;ROUND(((1-IntEconomyDiscount-IntEoncomyIncentive)*'Intl Economy Base'!M51),2),ROUND('Intl Economy Base'!$M$105*(1+International_Fuel_Surcharge),2),ROUND(((1-IntEconomyDiscount-IntEoncomyIncentive)*'Intl Economy Base'!M51)*(1+International_Fuel_Surcharge),2)))*(1+FedEx_Markup),2)</f>
        <v>352.89</v>
      </c>
      <c r="N54" s="307">
        <f>ROUND((IF('Intl Economy Base'!$N$105&gt;ROUND(((1-IntEconomyDiscount-IntEoncomyIncentive)*'Intl Economy Base'!N51),2),ROUND('Intl Economy Base'!$N$105*(1+International_Fuel_Surcharge),2),ROUND(((1-IntEconomyDiscount-IntEoncomyIncentive)*'Intl Economy Base'!N51)*(1+International_Fuel_Surcharge),2)))*(1+FedEx_Markup),2)</f>
        <v>361.51</v>
      </c>
      <c r="O54" s="307">
        <f>ROUND((IF('Intl Economy Base'!$O$105&gt;ROUND(((1-IntEconomyDiscount-IntEoncomyIncentive)*'Intl Economy Base'!O51),2),ROUND('Intl Economy Base'!$O$105*(1+International_Fuel_Surcharge),2),ROUND(((1-IntEconomyDiscount-IntEoncomyIncentive)*'Intl Economy Base'!O51)*(1+International_Fuel_Surcharge),2)))*(1+FedEx_Markup),2)</f>
        <v>280.29000000000002</v>
      </c>
      <c r="P54" s="307">
        <f>ROUND((IF('Intl Economy Base'!$P$105&gt;ROUND(((1-IntEconomyDiscount-IntEoncomyIncentive)*'Intl Economy Base'!P51),2),ROUND('Intl Economy Base'!$P$105*(1+International_Fuel_Surcharge),2),ROUND(((1-IntEconomyDiscount-IntEoncomyIncentive)*'Intl Economy Base'!P51)*(1+International_Fuel_Surcharge),2)))*(1+FedEx_Markup),2)</f>
        <v>259.77</v>
      </c>
      <c r="Q54" s="307">
        <f>ROUND((IF('Intl Economy Base'!$Q$105&gt;ROUND(((1-PuertoRicoDiscount)*'Intl Economy Base'!Q51),2),ROUND('Intl Economy Base'!$Q$105*(1+International_Fuel_Surcharge),2),ROUND(((1-PuertoRicoDiscount)*'Intl Economy Base'!Q51)*(1+International_Fuel_Surcharge),2)))*(1+FedEx_Markup),2)</f>
        <v>337.12</v>
      </c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2.75" customHeight="1">
      <c r="A55" s="306">
        <v>50</v>
      </c>
      <c r="B55" s="307">
        <f>ROUND((IF('Intl Economy Base'!$B$105&gt;ROUND(((1-IntEconomyDiscount-IntEoncomyIncentive)*'Intl Economy Base'!B52),2),ROUND('Intl Economy Base'!$B$105*(1+International_Fuel_Surcharge),2),ROUND(((1-IntEconomyDiscount-IntEoncomyIncentive)*'Intl Economy Base'!B52)*(1+International_Fuel_Surcharge),2)))*(1+FedEx_Markup),2)</f>
        <v>131.68</v>
      </c>
      <c r="C55" s="307">
        <f>ROUND((IF('Intl Economy Base'!$C$105&gt;ROUND(((1-IntEconomyDiscount-IntEoncomyIncentive)*'Intl Economy Base'!C52),2),ROUND('Intl Economy Base'!$C$105*(1+International_Fuel_Surcharge),2),ROUND(((1-IntEconomyDiscount-IntEoncomyIncentive)*'Intl Economy Base'!C52)*(1+International_Fuel_Surcharge),2)))*(1+FedEx_Markup),2)</f>
        <v>147.91</v>
      </c>
      <c r="D55" s="307">
        <f>ROUND((IF('Intl Economy Base'!$D$105&gt;ROUND(((1-IntEconomyDiscount-IntEoncomyIncentive)*'Intl Economy Base'!D52),2),ROUND('Intl Economy Base'!$D$105*(1+International_Fuel_Surcharge),2),ROUND(((1-IntEconomyDiscount-IntEoncomyIncentive)*'Intl Economy Base'!D52)*(1+International_Fuel_Surcharge),2)))*(1+FedEx_Markup),2)</f>
        <v>102.73</v>
      </c>
      <c r="E55" s="307">
        <f>ROUND((IF('Intl Economy Base'!$E$105&gt;ROUND(((1-IntEconomyDiscount-IntEoncomyIncentive)*'Intl Economy Base'!E52),2),ROUND('Intl Economy Base'!$E$105*(1+International_Fuel_Surcharge),2),ROUND(((1-IntEconomyDiscount-IntEoncomyIncentive)*'Intl Economy Base'!E52)*(1+International_Fuel_Surcharge),2)))*(1+FedEx_Markup),2)</f>
        <v>185.14</v>
      </c>
      <c r="F55" s="307">
        <f>ROUND((IF('Intl Economy Base'!$F$105&gt;ROUND(((1-IntEconomyDiscount-IntEoncomyIncentive)*'Intl Economy Base'!F52),2),ROUND('Intl Economy Base'!$F$105*(1+International_Fuel_Surcharge),2),ROUND(((1-IntEconomyDiscount-IntEoncomyIncentive)*'Intl Economy Base'!F52)*(1+International_Fuel_Surcharge),2)))*(1+FedEx_Markup),2)</f>
        <v>392.2</v>
      </c>
      <c r="G55" s="307">
        <f>ROUND((IF('Intl Economy Base'!$G$105&gt;ROUND(((1-IntEconomyDiscount-IntEoncomyIncentive)*'Intl Economy Base'!G52),2),ROUND('Intl Economy Base'!$G$105*(1+International_Fuel_Surcharge),2),ROUND(((1-IntEconomyDiscount-IntEoncomyIncentive)*'Intl Economy Base'!G52)*(1+International_Fuel_Surcharge),2)))*(1+FedEx_Markup),2)</f>
        <v>204.31</v>
      </c>
      <c r="H55" s="307">
        <f>ROUND((IF('Intl Economy Base'!$H$105&gt;ROUND(((1-IntEconomyDiscount-IntEoncomyIncentive)*'Intl Economy Base'!H52),2),ROUND('Intl Economy Base'!$H$105*(1+International_Fuel_Surcharge),2),ROUND(((1-IntEconomyDiscount-IntEoncomyIncentive)*'Intl Economy Base'!H52)*(1+International_Fuel_Surcharge),2)))*(1+FedEx_Markup),2)</f>
        <v>203.81</v>
      </c>
      <c r="I55" s="307">
        <f>ROUND((IF('Intl Economy Base'!$I$105&gt;ROUND(((1-IntEconomyDiscount-IntEoncomyIncentive)*'Intl Economy Base'!I52),2),ROUND('Intl Economy Base'!$I$105*(1+International_Fuel_Surcharge),2),ROUND(((1-IntEconomyDiscount-IntEoncomyIncentive)*'Intl Economy Base'!I52)*(1+International_Fuel_Surcharge),2)))*(1+FedEx_Markup),2)</f>
        <v>253.71</v>
      </c>
      <c r="J55" s="307">
        <f>ROUND((IF('Intl Economy Base'!$J$105&gt;ROUND(((1-IntEconomyDiscount-IntEoncomyIncentive)*'Intl Economy Base'!J52),2),ROUND('Intl Economy Base'!$J$105*(1+International_Fuel_Surcharge),2),ROUND(((1-IntEconomyDiscount-IntEoncomyIncentive)*'Intl Economy Base'!J52)*(1+International_Fuel_Surcharge),2)))*(1+FedEx_Markup),2)</f>
        <v>154.16</v>
      </c>
      <c r="K55" s="307">
        <f>ROUND((IF('Intl Economy Base'!$K$105&gt;ROUND(((1-IntEconomyDiscount-IntEoncomyIncentive)*'Intl Economy Base'!K52),2),ROUND('Intl Economy Base'!$K$105*(1+International_Fuel_Surcharge),2),ROUND(((1-IntEconomyDiscount-IntEoncomyIncentive)*'Intl Economy Base'!K52)*(1+International_Fuel_Surcharge),2)))*(1+FedEx_Markup),2)</f>
        <v>332.3</v>
      </c>
      <c r="L55" s="307">
        <f>ROUND((IF('Intl Economy Base'!$L$105&gt;ROUND(((1-IntEconomyDiscount-IntEoncomyIncentive)*'Intl Economy Base'!L52),2),ROUND('Intl Economy Base'!$L$105*(1+International_Fuel_Surcharge),2),ROUND(((1-IntEconomyDiscount-IntEoncomyIncentive)*'Intl Economy Base'!L52)*(1+International_Fuel_Surcharge),2)))*(1+FedEx_Markup),2)</f>
        <v>259.75</v>
      </c>
      <c r="M55" s="307">
        <f>ROUND((IF('Intl Economy Base'!$M$105&gt;ROUND(((1-IntEconomyDiscount-IntEoncomyIncentive)*'Intl Economy Base'!M52),2),ROUND('Intl Economy Base'!$M$105*(1+International_Fuel_Surcharge),2),ROUND(((1-IntEconomyDiscount-IntEoncomyIncentive)*'Intl Economy Base'!M52)*(1+International_Fuel_Surcharge),2)))*(1+FedEx_Markup),2)</f>
        <v>359.06</v>
      </c>
      <c r="N55" s="307">
        <f>ROUND((IF('Intl Economy Base'!$N$105&gt;ROUND(((1-IntEconomyDiscount-IntEoncomyIncentive)*'Intl Economy Base'!N52),2),ROUND('Intl Economy Base'!$N$105*(1+International_Fuel_Surcharge),2),ROUND(((1-IntEconomyDiscount-IntEoncomyIncentive)*'Intl Economy Base'!N52)*(1+International_Fuel_Surcharge),2)))*(1+FedEx_Markup),2)</f>
        <v>367.22</v>
      </c>
      <c r="O55" s="307">
        <f>ROUND((IF('Intl Economy Base'!$O$105&gt;ROUND(((1-IntEconomyDiscount-IntEoncomyIncentive)*'Intl Economy Base'!O52),2),ROUND('Intl Economy Base'!$O$105*(1+International_Fuel_Surcharge),2),ROUND(((1-IntEconomyDiscount-IntEoncomyIncentive)*'Intl Economy Base'!O52)*(1+International_Fuel_Surcharge),2)))*(1+FedEx_Markup),2)</f>
        <v>282.51</v>
      </c>
      <c r="P55" s="307">
        <f>ROUND((IF('Intl Economy Base'!$P$105&gt;ROUND(((1-IntEconomyDiscount-IntEoncomyIncentive)*'Intl Economy Base'!P52),2),ROUND('Intl Economy Base'!$P$105*(1+International_Fuel_Surcharge),2),ROUND(((1-IntEconomyDiscount-IntEoncomyIncentive)*'Intl Economy Base'!P52)*(1+International_Fuel_Surcharge),2)))*(1+FedEx_Markup),2)</f>
        <v>268.87</v>
      </c>
      <c r="Q55" s="307">
        <f>ROUND((IF('Intl Economy Base'!$Q$105&gt;ROUND(((1-PuertoRicoDiscount)*'Intl Economy Base'!Q52),2),ROUND('Intl Economy Base'!$Q$105*(1+International_Fuel_Surcharge),2),ROUND(((1-PuertoRicoDiscount)*'Intl Economy Base'!Q52)*(1+International_Fuel_Surcharge),2)))*(1+FedEx_Markup),2)</f>
        <v>337.2</v>
      </c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2.75" customHeight="1">
      <c r="A56" s="306">
        <v>52</v>
      </c>
      <c r="B56" s="307">
        <f>ROUND((IF('Intl Economy Base'!$B$105&gt;ROUND(((1-IntEconomyDiscount-IntEoncomyIncentive)*'Intl Economy Base'!B53),2),ROUND('Intl Economy Base'!$B$105*(1+International_Fuel_Surcharge),2),ROUND(((1-IntEconomyDiscount-IntEoncomyIncentive)*'Intl Economy Base'!B53)*(1+International_Fuel_Surcharge),2)))*(1+FedEx_Markup),2)</f>
        <v>136.61000000000001</v>
      </c>
      <c r="C56" s="307">
        <f>ROUND((IF('Intl Economy Base'!$C$105&gt;ROUND(((1-IntEconomyDiscount-IntEoncomyIncentive)*'Intl Economy Base'!C53),2),ROUND('Intl Economy Base'!$C$105*(1+International_Fuel_Surcharge),2),ROUND(((1-IntEconomyDiscount-IntEoncomyIncentive)*'Intl Economy Base'!C53)*(1+International_Fuel_Surcharge),2)))*(1+FedEx_Markup),2)</f>
        <v>152.72</v>
      </c>
      <c r="D56" s="307">
        <f>ROUND((IF('Intl Economy Base'!$D$105&gt;ROUND(((1-IntEconomyDiscount-IntEoncomyIncentive)*'Intl Economy Base'!D53),2),ROUND('Intl Economy Base'!$D$105*(1+International_Fuel_Surcharge),2),ROUND(((1-IntEconomyDiscount-IntEoncomyIncentive)*'Intl Economy Base'!D53)*(1+International_Fuel_Surcharge),2)))*(1+FedEx_Markup),2)</f>
        <v>103.96</v>
      </c>
      <c r="E56" s="307">
        <f>ROUND((IF('Intl Economy Base'!$E$105&gt;ROUND(((1-IntEconomyDiscount-IntEoncomyIncentive)*'Intl Economy Base'!E53),2),ROUND('Intl Economy Base'!$E$105*(1+International_Fuel_Surcharge),2),ROUND(((1-IntEconomyDiscount-IntEoncomyIncentive)*'Intl Economy Base'!E53)*(1+International_Fuel_Surcharge),2)))*(1+FedEx_Markup),2)</f>
        <v>185.3</v>
      </c>
      <c r="F56" s="307">
        <f>ROUND((IF('Intl Economy Base'!$F$105&gt;ROUND(((1-IntEconomyDiscount-IntEoncomyIncentive)*'Intl Economy Base'!F53),2),ROUND('Intl Economy Base'!$F$105*(1+International_Fuel_Surcharge),2),ROUND(((1-IntEconomyDiscount-IntEoncomyIncentive)*'Intl Economy Base'!F53)*(1+International_Fuel_Surcharge),2)))*(1+FedEx_Markup),2)</f>
        <v>395.01</v>
      </c>
      <c r="G56" s="307">
        <f>ROUND((IF('Intl Economy Base'!$G$105&gt;ROUND(((1-IntEconomyDiscount-IntEoncomyIncentive)*'Intl Economy Base'!G53),2),ROUND('Intl Economy Base'!$G$105*(1+International_Fuel_Surcharge),2),ROUND(((1-IntEconomyDiscount-IntEoncomyIncentive)*'Intl Economy Base'!G53)*(1+International_Fuel_Surcharge),2)))*(1+FedEx_Markup),2)</f>
        <v>204.56</v>
      </c>
      <c r="H56" s="307">
        <f>ROUND((IF('Intl Economy Base'!$H$105&gt;ROUND(((1-IntEconomyDiscount-IntEoncomyIncentive)*'Intl Economy Base'!H53),2),ROUND('Intl Economy Base'!$H$105*(1+International_Fuel_Surcharge),2),ROUND(((1-IntEconomyDiscount-IntEoncomyIncentive)*'Intl Economy Base'!H53)*(1+International_Fuel_Surcharge),2)))*(1+FedEx_Markup),2)</f>
        <v>210.77</v>
      </c>
      <c r="I56" s="307">
        <f>ROUND((IF('Intl Economy Base'!$I$105&gt;ROUND(((1-IntEconomyDiscount-IntEoncomyIncentive)*'Intl Economy Base'!I53),2),ROUND('Intl Economy Base'!$I$105*(1+International_Fuel_Surcharge),2),ROUND(((1-IntEconomyDiscount-IntEoncomyIncentive)*'Intl Economy Base'!I53)*(1+International_Fuel_Surcharge),2)))*(1+FedEx_Markup),2)</f>
        <v>253.94</v>
      </c>
      <c r="J56" s="307">
        <f>ROUND((IF('Intl Economy Base'!$J$105&gt;ROUND(((1-IntEconomyDiscount-IntEoncomyIncentive)*'Intl Economy Base'!J53),2),ROUND('Intl Economy Base'!$J$105*(1+International_Fuel_Surcharge),2),ROUND(((1-IntEconomyDiscount-IntEoncomyIncentive)*'Intl Economy Base'!J53)*(1+International_Fuel_Surcharge),2)))*(1+FedEx_Markup),2)</f>
        <v>154.30000000000001</v>
      </c>
      <c r="K56" s="307">
        <f>ROUND((IF('Intl Economy Base'!$K$105&gt;ROUND(((1-IntEconomyDiscount-IntEoncomyIncentive)*'Intl Economy Base'!K53),2),ROUND('Intl Economy Base'!$K$105*(1+International_Fuel_Surcharge),2),ROUND(((1-IntEconomyDiscount-IntEoncomyIncentive)*'Intl Economy Base'!K53)*(1+International_Fuel_Surcharge),2)))*(1+FedEx_Markup),2)</f>
        <v>336.17</v>
      </c>
      <c r="L56" s="307">
        <f>ROUND((IF('Intl Economy Base'!$L$105&gt;ROUND(((1-IntEconomyDiscount-IntEoncomyIncentive)*'Intl Economy Base'!L53),2),ROUND('Intl Economy Base'!$L$105*(1+International_Fuel_Surcharge),2),ROUND(((1-IntEconomyDiscount-IntEoncomyIncentive)*'Intl Economy Base'!L53)*(1+International_Fuel_Surcharge),2)))*(1+FedEx_Markup),2)</f>
        <v>262.66000000000003</v>
      </c>
      <c r="M56" s="307">
        <f>ROUND((IF('Intl Economy Base'!$M$105&gt;ROUND(((1-IntEconomyDiscount-IntEoncomyIncentive)*'Intl Economy Base'!M53),2),ROUND('Intl Economy Base'!$M$105*(1+International_Fuel_Surcharge),2),ROUND(((1-IntEconomyDiscount-IntEoncomyIncentive)*'Intl Economy Base'!M53)*(1+International_Fuel_Surcharge),2)))*(1+FedEx_Markup),2)</f>
        <v>359.69</v>
      </c>
      <c r="N56" s="307">
        <f>ROUND((IF('Intl Economy Base'!$N$105&gt;ROUND(((1-IntEconomyDiscount-IntEoncomyIncentive)*'Intl Economy Base'!N53),2),ROUND('Intl Economy Base'!$N$105*(1+International_Fuel_Surcharge),2),ROUND(((1-IntEconomyDiscount-IntEoncomyIncentive)*'Intl Economy Base'!N53)*(1+International_Fuel_Surcharge),2)))*(1+FedEx_Markup),2)</f>
        <v>367.79</v>
      </c>
      <c r="O56" s="307">
        <f>ROUND((IF('Intl Economy Base'!$O$105&gt;ROUND(((1-IntEconomyDiscount-IntEoncomyIncentive)*'Intl Economy Base'!O53),2),ROUND('Intl Economy Base'!$O$105*(1+International_Fuel_Surcharge),2),ROUND(((1-IntEconomyDiscount-IntEoncomyIncentive)*'Intl Economy Base'!O53)*(1+International_Fuel_Surcharge),2)))*(1+FedEx_Markup),2)</f>
        <v>282.73</v>
      </c>
      <c r="P56" s="307">
        <f>ROUND((IF('Intl Economy Base'!$P$105&gt;ROUND(((1-IntEconomyDiscount-IntEoncomyIncentive)*'Intl Economy Base'!P53),2),ROUND('Intl Economy Base'!$P$105*(1+International_Fuel_Surcharge),2),ROUND(((1-IntEconomyDiscount-IntEoncomyIncentive)*'Intl Economy Base'!P53)*(1+International_Fuel_Surcharge),2)))*(1+FedEx_Markup),2)</f>
        <v>269.77999999999997</v>
      </c>
      <c r="Q56" s="307">
        <f>ROUND((IF('Intl Economy Base'!$Q$105&gt;ROUND(((1-PuertoRicoDiscount)*'Intl Economy Base'!Q53),2),ROUND('Intl Economy Base'!$Q$105*(1+International_Fuel_Surcharge),2),ROUND(((1-PuertoRicoDiscount)*'Intl Economy Base'!Q53)*(1+International_Fuel_Surcharge),2)))*(1+FedEx_Markup),2)</f>
        <v>348.57</v>
      </c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2.75" customHeight="1">
      <c r="A57" s="306">
        <v>54</v>
      </c>
      <c r="B57" s="307">
        <f>ROUND((IF('Intl Economy Base'!$B$105&gt;ROUND(((1-IntEconomyDiscount-IntEoncomyIncentive)*'Intl Economy Base'!B54),2),ROUND('Intl Economy Base'!$B$105*(1+International_Fuel_Surcharge),2),ROUND(((1-IntEconomyDiscount-IntEoncomyIncentive)*'Intl Economy Base'!B54)*(1+International_Fuel_Surcharge),2)))*(1+FedEx_Markup),2)</f>
        <v>137.61000000000001</v>
      </c>
      <c r="C57" s="307">
        <f>ROUND((IF('Intl Economy Base'!$C$105&gt;ROUND(((1-IntEconomyDiscount-IntEoncomyIncentive)*'Intl Economy Base'!C54),2),ROUND('Intl Economy Base'!$C$105*(1+International_Fuel_Surcharge),2),ROUND(((1-IntEconomyDiscount-IntEoncomyIncentive)*'Intl Economy Base'!C54)*(1+International_Fuel_Surcharge),2)))*(1+FedEx_Markup),2)</f>
        <v>153.21</v>
      </c>
      <c r="D57" s="307">
        <f>ROUND((IF('Intl Economy Base'!$D$105&gt;ROUND(((1-IntEconomyDiscount-IntEoncomyIncentive)*'Intl Economy Base'!D54),2),ROUND('Intl Economy Base'!$D$105*(1+International_Fuel_Surcharge),2),ROUND(((1-IntEconomyDiscount-IntEoncomyIncentive)*'Intl Economy Base'!D54)*(1+International_Fuel_Surcharge),2)))*(1+FedEx_Markup),2)</f>
        <v>106.61</v>
      </c>
      <c r="E57" s="307">
        <f>ROUND((IF('Intl Economy Base'!$E$105&gt;ROUND(((1-IntEconomyDiscount-IntEoncomyIncentive)*'Intl Economy Base'!E54),2),ROUND('Intl Economy Base'!$E$105*(1+International_Fuel_Surcharge),2),ROUND(((1-IntEconomyDiscount-IntEoncomyIncentive)*'Intl Economy Base'!E54)*(1+International_Fuel_Surcharge),2)))*(1+FedEx_Markup),2)</f>
        <v>185.47</v>
      </c>
      <c r="F57" s="307">
        <f>ROUND((IF('Intl Economy Base'!$F$105&gt;ROUND(((1-IntEconomyDiscount-IntEoncomyIncentive)*'Intl Economy Base'!F54),2),ROUND('Intl Economy Base'!$F$105*(1+International_Fuel_Surcharge),2),ROUND(((1-IntEconomyDiscount-IntEoncomyIncentive)*'Intl Economy Base'!F54)*(1+International_Fuel_Surcharge),2)))*(1+FedEx_Markup),2)</f>
        <v>407.25</v>
      </c>
      <c r="G57" s="307">
        <f>ROUND((IF('Intl Economy Base'!$G$105&gt;ROUND(((1-IntEconomyDiscount-IntEoncomyIncentive)*'Intl Economy Base'!G54),2),ROUND('Intl Economy Base'!$G$105*(1+International_Fuel_Surcharge),2),ROUND(((1-IntEconomyDiscount-IntEoncomyIncentive)*'Intl Economy Base'!G54)*(1+International_Fuel_Surcharge),2)))*(1+FedEx_Markup),2)</f>
        <v>204.63</v>
      </c>
      <c r="H57" s="307">
        <f>ROUND((IF('Intl Economy Base'!$H$105&gt;ROUND(((1-IntEconomyDiscount-IntEoncomyIncentive)*'Intl Economy Base'!H54),2),ROUND('Intl Economy Base'!$H$105*(1+International_Fuel_Surcharge),2),ROUND(((1-IntEconomyDiscount-IntEoncomyIncentive)*'Intl Economy Base'!H54)*(1+International_Fuel_Surcharge),2)))*(1+FedEx_Markup),2)</f>
        <v>211.46</v>
      </c>
      <c r="I57" s="307">
        <f>ROUND((IF('Intl Economy Base'!$I$105&gt;ROUND(((1-IntEconomyDiscount-IntEoncomyIncentive)*'Intl Economy Base'!I54),2),ROUND('Intl Economy Base'!$I$105*(1+International_Fuel_Surcharge),2),ROUND(((1-IntEconomyDiscount-IntEoncomyIncentive)*'Intl Economy Base'!I54)*(1+International_Fuel_Surcharge),2)))*(1+FedEx_Markup),2)</f>
        <v>254.86</v>
      </c>
      <c r="J57" s="307">
        <f>ROUND((IF('Intl Economy Base'!$J$105&gt;ROUND(((1-IntEconomyDiscount-IntEoncomyIncentive)*'Intl Economy Base'!J54),2),ROUND('Intl Economy Base'!$J$105*(1+International_Fuel_Surcharge),2),ROUND(((1-IntEconomyDiscount-IntEoncomyIncentive)*'Intl Economy Base'!J54)*(1+International_Fuel_Surcharge),2)))*(1+FedEx_Markup),2)</f>
        <v>154.36000000000001</v>
      </c>
      <c r="K57" s="307">
        <f>ROUND((IF('Intl Economy Base'!$K$105&gt;ROUND(((1-IntEconomyDiscount-IntEoncomyIncentive)*'Intl Economy Base'!K54),2),ROUND('Intl Economy Base'!$K$105*(1+International_Fuel_Surcharge),2),ROUND(((1-IntEconomyDiscount-IntEoncomyIncentive)*'Intl Economy Base'!K54)*(1+International_Fuel_Surcharge),2)))*(1+FedEx_Markup),2)</f>
        <v>340.01</v>
      </c>
      <c r="L57" s="307">
        <f>ROUND((IF('Intl Economy Base'!$L$105&gt;ROUND(((1-IntEconomyDiscount-IntEoncomyIncentive)*'Intl Economy Base'!L54),2),ROUND('Intl Economy Base'!$L$105*(1+International_Fuel_Surcharge),2),ROUND(((1-IntEconomyDiscount-IntEoncomyIncentive)*'Intl Economy Base'!L54)*(1+International_Fuel_Surcharge),2)))*(1+FedEx_Markup),2)</f>
        <v>263.25</v>
      </c>
      <c r="M57" s="307">
        <f>ROUND((IF('Intl Economy Base'!$M$105&gt;ROUND(((1-IntEconomyDiscount-IntEoncomyIncentive)*'Intl Economy Base'!M54),2),ROUND('Intl Economy Base'!$M$105*(1+International_Fuel_Surcharge),2),ROUND(((1-IntEconomyDiscount-IntEoncomyIncentive)*'Intl Economy Base'!M54)*(1+International_Fuel_Surcharge),2)))*(1+FedEx_Markup),2)</f>
        <v>369.13</v>
      </c>
      <c r="N57" s="307">
        <f>ROUND((IF('Intl Economy Base'!$N$105&gt;ROUND(((1-IntEconomyDiscount-IntEoncomyIncentive)*'Intl Economy Base'!N54),2),ROUND('Intl Economy Base'!$N$105*(1+International_Fuel_Surcharge),2),ROUND(((1-IntEconomyDiscount-IntEoncomyIncentive)*'Intl Economy Base'!N54)*(1+International_Fuel_Surcharge),2)))*(1+FedEx_Markup),2)</f>
        <v>367.86</v>
      </c>
      <c r="O57" s="307">
        <f>ROUND((IF('Intl Economy Base'!$O$105&gt;ROUND(((1-IntEconomyDiscount-IntEoncomyIncentive)*'Intl Economy Base'!O54),2),ROUND('Intl Economy Base'!$O$105*(1+International_Fuel_Surcharge),2),ROUND(((1-IntEconomyDiscount-IntEoncomyIncentive)*'Intl Economy Base'!O54)*(1+International_Fuel_Surcharge),2)))*(1+FedEx_Markup),2)</f>
        <v>282.82</v>
      </c>
      <c r="P57" s="307">
        <f>ROUND((IF('Intl Economy Base'!$P$105&gt;ROUND(((1-IntEconomyDiscount-IntEoncomyIncentive)*'Intl Economy Base'!P54),2),ROUND('Intl Economy Base'!$P$105*(1+International_Fuel_Surcharge),2),ROUND(((1-IntEconomyDiscount-IntEoncomyIncentive)*'Intl Economy Base'!P54)*(1+International_Fuel_Surcharge),2)))*(1+FedEx_Markup),2)</f>
        <v>270.66000000000003</v>
      </c>
      <c r="Q57" s="307">
        <f>ROUND((IF('Intl Economy Base'!$Q$105&gt;ROUND(((1-PuertoRicoDiscount)*'Intl Economy Base'!Q54),2),ROUND('Intl Economy Base'!$Q$105*(1+International_Fuel_Surcharge),2),ROUND(((1-PuertoRicoDiscount)*'Intl Economy Base'!Q54)*(1+International_Fuel_Surcharge),2)))*(1+FedEx_Markup),2)</f>
        <v>349.31</v>
      </c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2.75" customHeight="1">
      <c r="A58" s="306">
        <v>56</v>
      </c>
      <c r="B58" s="307">
        <f>ROUND((IF('Intl Economy Base'!$B$105&gt;ROUND(((1-IntEconomyDiscount-IntEoncomyIncentive)*'Intl Economy Base'!B55),2),ROUND('Intl Economy Base'!$B$105*(1+International_Fuel_Surcharge),2),ROUND(((1-IntEconomyDiscount-IntEoncomyIncentive)*'Intl Economy Base'!B55)*(1+International_Fuel_Surcharge),2)))*(1+FedEx_Markup),2)</f>
        <v>137.77000000000001</v>
      </c>
      <c r="C58" s="307">
        <f>ROUND((IF('Intl Economy Base'!$C$105&gt;ROUND(((1-IntEconomyDiscount-IntEoncomyIncentive)*'Intl Economy Base'!C55),2),ROUND('Intl Economy Base'!$C$105*(1+International_Fuel_Surcharge),2),ROUND(((1-IntEconomyDiscount-IntEoncomyIncentive)*'Intl Economy Base'!C55)*(1+International_Fuel_Surcharge),2)))*(1+FedEx_Markup),2)</f>
        <v>153.58000000000001</v>
      </c>
      <c r="D58" s="307">
        <f>ROUND((IF('Intl Economy Base'!$D$105&gt;ROUND(((1-IntEconomyDiscount-IntEoncomyIncentive)*'Intl Economy Base'!D55),2),ROUND('Intl Economy Base'!$D$105*(1+International_Fuel_Surcharge),2),ROUND(((1-IntEconomyDiscount-IntEoncomyIncentive)*'Intl Economy Base'!D55)*(1+International_Fuel_Surcharge),2)))*(1+FedEx_Markup),2)</f>
        <v>108.8</v>
      </c>
      <c r="E58" s="307">
        <f>ROUND((IF('Intl Economy Base'!$E$105&gt;ROUND(((1-IntEconomyDiscount-IntEoncomyIncentive)*'Intl Economy Base'!E55),2),ROUND('Intl Economy Base'!$E$105*(1+International_Fuel_Surcharge),2),ROUND(((1-IntEconomyDiscount-IntEoncomyIncentive)*'Intl Economy Base'!E55)*(1+International_Fuel_Surcharge),2)))*(1+FedEx_Markup),2)</f>
        <v>185.66</v>
      </c>
      <c r="F58" s="307">
        <f>ROUND((IF('Intl Economy Base'!$F$105&gt;ROUND(((1-IntEconomyDiscount-IntEoncomyIncentive)*'Intl Economy Base'!F55),2),ROUND('Intl Economy Base'!$F$105*(1+International_Fuel_Surcharge),2),ROUND(((1-IntEconomyDiscount-IntEoncomyIncentive)*'Intl Economy Base'!F55)*(1+International_Fuel_Surcharge),2)))*(1+FedEx_Markup),2)</f>
        <v>411.99</v>
      </c>
      <c r="G58" s="307">
        <f>ROUND((IF('Intl Economy Base'!$G$105&gt;ROUND(((1-IntEconomyDiscount-IntEoncomyIncentive)*'Intl Economy Base'!G55),2),ROUND('Intl Economy Base'!$G$105*(1+International_Fuel_Surcharge),2),ROUND(((1-IntEconomyDiscount-IntEoncomyIncentive)*'Intl Economy Base'!G55)*(1+International_Fuel_Surcharge),2)))*(1+FedEx_Markup),2)</f>
        <v>205.17</v>
      </c>
      <c r="H58" s="307">
        <f>ROUND((IF('Intl Economy Base'!$H$105&gt;ROUND(((1-IntEconomyDiscount-IntEoncomyIncentive)*'Intl Economy Base'!H55),2),ROUND('Intl Economy Base'!$H$105*(1+International_Fuel_Surcharge),2),ROUND(((1-IntEconomyDiscount-IntEoncomyIncentive)*'Intl Economy Base'!H55)*(1+International_Fuel_Surcharge),2)))*(1+FedEx_Markup),2)</f>
        <v>211.75</v>
      </c>
      <c r="I58" s="307">
        <f>ROUND((IF('Intl Economy Base'!$I$105&gt;ROUND(((1-IntEconomyDiscount-IntEoncomyIncentive)*'Intl Economy Base'!I55),2),ROUND('Intl Economy Base'!$I$105*(1+International_Fuel_Surcharge),2),ROUND(((1-IntEconomyDiscount-IntEoncomyIncentive)*'Intl Economy Base'!I55)*(1+International_Fuel_Surcharge),2)))*(1+FedEx_Markup),2)</f>
        <v>263.68</v>
      </c>
      <c r="J58" s="307">
        <f>ROUND((IF('Intl Economy Base'!$J$105&gt;ROUND(((1-IntEconomyDiscount-IntEoncomyIncentive)*'Intl Economy Base'!J55),2),ROUND('Intl Economy Base'!$J$105*(1+International_Fuel_Surcharge),2),ROUND(((1-IntEconomyDiscount-IntEoncomyIncentive)*'Intl Economy Base'!J55)*(1+International_Fuel_Surcharge),2)))*(1+FedEx_Markup),2)</f>
        <v>154.41999999999999</v>
      </c>
      <c r="K58" s="307">
        <f>ROUND((IF('Intl Economy Base'!$K$105&gt;ROUND(((1-IntEconomyDiscount-IntEoncomyIncentive)*'Intl Economy Base'!K55),2),ROUND('Intl Economy Base'!$K$105*(1+International_Fuel_Surcharge),2),ROUND(((1-IntEconomyDiscount-IntEoncomyIncentive)*'Intl Economy Base'!K55)*(1+International_Fuel_Surcharge),2)))*(1+FedEx_Markup),2)</f>
        <v>343.82</v>
      </c>
      <c r="L58" s="307">
        <f>ROUND((IF('Intl Economy Base'!$L$105&gt;ROUND(((1-IntEconomyDiscount-IntEoncomyIncentive)*'Intl Economy Base'!L55),2),ROUND('Intl Economy Base'!$L$105*(1+International_Fuel_Surcharge),2),ROUND(((1-IntEconomyDiscount-IntEoncomyIncentive)*'Intl Economy Base'!L55)*(1+International_Fuel_Surcharge),2)))*(1+FedEx_Markup),2)</f>
        <v>275.01</v>
      </c>
      <c r="M58" s="307">
        <f>ROUND((IF('Intl Economy Base'!$M$105&gt;ROUND(((1-IntEconomyDiscount-IntEoncomyIncentive)*'Intl Economy Base'!M55),2),ROUND('Intl Economy Base'!$M$105*(1+International_Fuel_Surcharge),2),ROUND(((1-IntEconomyDiscount-IntEoncomyIncentive)*'Intl Economy Base'!M55)*(1+International_Fuel_Surcharge),2)))*(1+FedEx_Markup),2)</f>
        <v>370.07</v>
      </c>
      <c r="N58" s="307">
        <f>ROUND((IF('Intl Economy Base'!$N$105&gt;ROUND(((1-IntEconomyDiscount-IntEoncomyIncentive)*'Intl Economy Base'!N55),2),ROUND('Intl Economy Base'!$N$105*(1+International_Fuel_Surcharge),2),ROUND(((1-IntEconomyDiscount-IntEoncomyIncentive)*'Intl Economy Base'!N55)*(1+International_Fuel_Surcharge),2)))*(1+FedEx_Markup),2)</f>
        <v>367.92</v>
      </c>
      <c r="O58" s="307">
        <f>ROUND((IF('Intl Economy Base'!$O$105&gt;ROUND(((1-IntEconomyDiscount-IntEoncomyIncentive)*'Intl Economy Base'!O55),2),ROUND('Intl Economy Base'!$O$105*(1+International_Fuel_Surcharge),2),ROUND(((1-IntEconomyDiscount-IntEoncomyIncentive)*'Intl Economy Base'!O55)*(1+International_Fuel_Surcharge),2)))*(1+FedEx_Markup),2)</f>
        <v>284.45</v>
      </c>
      <c r="P58" s="307">
        <f>ROUND((IF('Intl Economy Base'!$P$105&gt;ROUND(((1-IntEconomyDiscount-IntEoncomyIncentive)*'Intl Economy Base'!P55),2),ROUND('Intl Economy Base'!$P$105*(1+International_Fuel_Surcharge),2),ROUND(((1-IntEconomyDiscount-IntEoncomyIncentive)*'Intl Economy Base'!P55)*(1+International_Fuel_Surcharge),2)))*(1+FedEx_Markup),2)</f>
        <v>280.61</v>
      </c>
      <c r="Q58" s="307">
        <f>ROUND((IF('Intl Economy Base'!$Q$105&gt;ROUND(((1-PuertoRicoDiscount)*'Intl Economy Base'!Q55),2),ROUND('Intl Economy Base'!$Q$105*(1+International_Fuel_Surcharge),2),ROUND(((1-PuertoRicoDiscount)*'Intl Economy Base'!Q55)*(1+International_Fuel_Surcharge),2)))*(1+FedEx_Markup),2)</f>
        <v>354.5</v>
      </c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2.75" customHeight="1">
      <c r="A59" s="306">
        <v>58</v>
      </c>
      <c r="B59" s="307">
        <f>ROUND((IF('Intl Economy Base'!$B$105&gt;ROUND(((1-IntEconomyDiscount-IntEoncomyIncentive)*'Intl Economy Base'!B56),2),ROUND('Intl Economy Base'!$B$105*(1+International_Fuel_Surcharge),2),ROUND(((1-IntEconomyDiscount-IntEoncomyIncentive)*'Intl Economy Base'!B56)*(1+International_Fuel_Surcharge),2)))*(1+FedEx_Markup),2)</f>
        <v>138.85</v>
      </c>
      <c r="C59" s="307">
        <f>ROUND((IF('Intl Economy Base'!$C$105&gt;ROUND(((1-IntEconomyDiscount-IntEoncomyIncentive)*'Intl Economy Base'!C56),2),ROUND('Intl Economy Base'!$C$105*(1+International_Fuel_Surcharge),2),ROUND(((1-IntEconomyDiscount-IntEoncomyIncentive)*'Intl Economy Base'!C56)*(1+International_Fuel_Surcharge),2)))*(1+FedEx_Markup),2)</f>
        <v>155.07</v>
      </c>
      <c r="D59" s="307">
        <f>ROUND((IF('Intl Economy Base'!$D$105&gt;ROUND(((1-IntEconomyDiscount-IntEoncomyIncentive)*'Intl Economy Base'!D56),2),ROUND('Intl Economy Base'!$D$105*(1+International_Fuel_Surcharge),2),ROUND(((1-IntEconomyDiscount-IntEoncomyIncentive)*'Intl Economy Base'!D56)*(1+International_Fuel_Surcharge),2)))*(1+FedEx_Markup),2)</f>
        <v>109.26</v>
      </c>
      <c r="E59" s="307">
        <f>ROUND((IF('Intl Economy Base'!$E$105&gt;ROUND(((1-IntEconomyDiscount-IntEoncomyIncentive)*'Intl Economy Base'!E56),2),ROUND('Intl Economy Base'!$E$105*(1+International_Fuel_Surcharge),2),ROUND(((1-IntEconomyDiscount-IntEoncomyIncentive)*'Intl Economy Base'!E56)*(1+International_Fuel_Surcharge),2)))*(1+FedEx_Markup),2)</f>
        <v>189.31</v>
      </c>
      <c r="F59" s="307">
        <f>ROUND((IF('Intl Economy Base'!$F$105&gt;ROUND(((1-IntEconomyDiscount-IntEoncomyIncentive)*'Intl Economy Base'!F56),2),ROUND('Intl Economy Base'!$F$105*(1+International_Fuel_Surcharge),2),ROUND(((1-IntEconomyDiscount-IntEoncomyIncentive)*'Intl Economy Base'!F56)*(1+International_Fuel_Surcharge),2)))*(1+FedEx_Markup),2)</f>
        <v>412.47</v>
      </c>
      <c r="G59" s="307">
        <f>ROUND((IF('Intl Economy Base'!$G$105&gt;ROUND(((1-IntEconomyDiscount-IntEoncomyIncentive)*'Intl Economy Base'!G56),2),ROUND('Intl Economy Base'!$G$105*(1+International_Fuel_Surcharge),2),ROUND(((1-IntEconomyDiscount-IntEoncomyIncentive)*'Intl Economy Base'!G56)*(1+International_Fuel_Surcharge),2)))*(1+FedEx_Markup),2)</f>
        <v>216.03</v>
      </c>
      <c r="H59" s="307">
        <f>ROUND((IF('Intl Economy Base'!$H$105&gt;ROUND(((1-IntEconomyDiscount-IntEoncomyIncentive)*'Intl Economy Base'!H56),2),ROUND('Intl Economy Base'!$H$105*(1+International_Fuel_Surcharge),2),ROUND(((1-IntEconomyDiscount-IntEoncomyIncentive)*'Intl Economy Base'!H56)*(1+International_Fuel_Surcharge),2)))*(1+FedEx_Markup),2)</f>
        <v>217.37</v>
      </c>
      <c r="I59" s="307">
        <f>ROUND((IF('Intl Economy Base'!$I$105&gt;ROUND(((1-IntEconomyDiscount-IntEoncomyIncentive)*'Intl Economy Base'!I56),2),ROUND('Intl Economy Base'!$I$105*(1+International_Fuel_Surcharge),2),ROUND(((1-IntEconomyDiscount-IntEoncomyIncentive)*'Intl Economy Base'!I56)*(1+International_Fuel_Surcharge),2)))*(1+FedEx_Markup),2)</f>
        <v>264.58999999999997</v>
      </c>
      <c r="J59" s="307">
        <f>ROUND((IF('Intl Economy Base'!$J$105&gt;ROUND(((1-IntEconomyDiscount-IntEoncomyIncentive)*'Intl Economy Base'!J56),2),ROUND('Intl Economy Base'!$J$105*(1+International_Fuel_Surcharge),2),ROUND(((1-IntEconomyDiscount-IntEoncomyIncentive)*'Intl Economy Base'!J56)*(1+International_Fuel_Surcharge),2)))*(1+FedEx_Markup),2)</f>
        <v>154.51</v>
      </c>
      <c r="K59" s="307">
        <f>ROUND((IF('Intl Economy Base'!$K$105&gt;ROUND(((1-IntEconomyDiscount-IntEoncomyIncentive)*'Intl Economy Base'!K56),2),ROUND('Intl Economy Base'!$K$105*(1+International_Fuel_Surcharge),2),ROUND(((1-IntEconomyDiscount-IntEoncomyIncentive)*'Intl Economy Base'!K56)*(1+International_Fuel_Surcharge),2)))*(1+FedEx_Markup),2)</f>
        <v>347.05</v>
      </c>
      <c r="L59" s="307">
        <f>ROUND((IF('Intl Economy Base'!$L$105&gt;ROUND(((1-IntEconomyDiscount-IntEoncomyIncentive)*'Intl Economy Base'!L56),2),ROUND('Intl Economy Base'!$L$105*(1+International_Fuel_Surcharge),2),ROUND(((1-IntEconomyDiscount-IntEoncomyIncentive)*'Intl Economy Base'!L56)*(1+International_Fuel_Surcharge),2)))*(1+FedEx_Markup),2)</f>
        <v>285.94</v>
      </c>
      <c r="M59" s="307">
        <f>ROUND((IF('Intl Economy Base'!$M$105&gt;ROUND(((1-IntEconomyDiscount-IntEoncomyIncentive)*'Intl Economy Base'!M56),2),ROUND('Intl Economy Base'!$M$105*(1+International_Fuel_Surcharge),2),ROUND(((1-IntEconomyDiscount-IntEoncomyIncentive)*'Intl Economy Base'!M56)*(1+International_Fuel_Surcharge),2)))*(1+FedEx_Markup),2)</f>
        <v>370.17</v>
      </c>
      <c r="N59" s="307">
        <f>ROUND((IF('Intl Economy Base'!$N$105&gt;ROUND(((1-IntEconomyDiscount-IntEoncomyIncentive)*'Intl Economy Base'!N56),2),ROUND('Intl Economy Base'!$N$105*(1+International_Fuel_Surcharge),2),ROUND(((1-IntEconomyDiscount-IntEoncomyIncentive)*'Intl Economy Base'!N56)*(1+International_Fuel_Surcharge),2)))*(1+FedEx_Markup),2)</f>
        <v>367.99</v>
      </c>
      <c r="O59" s="307">
        <f>ROUND((IF('Intl Economy Base'!$O$105&gt;ROUND(((1-IntEconomyDiscount-IntEoncomyIncentive)*'Intl Economy Base'!O56),2),ROUND('Intl Economy Base'!$O$105*(1+International_Fuel_Surcharge),2),ROUND(((1-IntEconomyDiscount-IntEoncomyIncentive)*'Intl Economy Base'!O56)*(1+International_Fuel_Surcharge),2)))*(1+FedEx_Markup),2)</f>
        <v>287.91000000000003</v>
      </c>
      <c r="P59" s="307">
        <f>ROUND((IF('Intl Economy Base'!$P$105&gt;ROUND(((1-IntEconomyDiscount-IntEoncomyIncentive)*'Intl Economy Base'!P56),2),ROUND('Intl Economy Base'!$P$105*(1+International_Fuel_Surcharge),2),ROUND(((1-IntEconomyDiscount-IntEoncomyIncentive)*'Intl Economy Base'!P56)*(1+International_Fuel_Surcharge),2)))*(1+FedEx_Markup),2)</f>
        <v>281.61</v>
      </c>
      <c r="Q59" s="307">
        <f>ROUND((IF('Intl Economy Base'!$Q$105&gt;ROUND(((1-PuertoRicoDiscount)*'Intl Economy Base'!Q56),2),ROUND('Intl Economy Base'!$Q$105*(1+International_Fuel_Surcharge),2),ROUND(((1-PuertoRicoDiscount)*'Intl Economy Base'!Q56)*(1+International_Fuel_Surcharge),2)))*(1+FedEx_Markup),2)</f>
        <v>358.89</v>
      </c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2.75" customHeight="1">
      <c r="A60" s="306">
        <v>60</v>
      </c>
      <c r="B60" s="307">
        <f>ROUND((IF('Intl Economy Base'!$B$105&gt;ROUND(((1-IntEconomyDiscount-IntEoncomyIncentive)*'Intl Economy Base'!B57),2),ROUND('Intl Economy Base'!$B$105*(1+International_Fuel_Surcharge),2),ROUND(((1-IntEconomyDiscount-IntEoncomyIncentive)*'Intl Economy Base'!B57)*(1+International_Fuel_Surcharge),2)))*(1+FedEx_Markup),2)</f>
        <v>140.21</v>
      </c>
      <c r="C60" s="307">
        <f>ROUND((IF('Intl Economy Base'!$C$105&gt;ROUND(((1-IntEconomyDiscount-IntEoncomyIncentive)*'Intl Economy Base'!C57),2),ROUND('Intl Economy Base'!$C$105*(1+International_Fuel_Surcharge),2),ROUND(((1-IntEconomyDiscount-IntEoncomyIncentive)*'Intl Economy Base'!C57)*(1+International_Fuel_Surcharge),2)))*(1+FedEx_Markup),2)</f>
        <v>156.81</v>
      </c>
      <c r="D60" s="307">
        <f>ROUND((IF('Intl Economy Base'!$D$105&gt;ROUND(((1-IntEconomyDiscount-IntEoncomyIncentive)*'Intl Economy Base'!D57),2),ROUND('Intl Economy Base'!$D$105*(1+International_Fuel_Surcharge),2),ROUND(((1-IntEconomyDiscount-IntEoncomyIncentive)*'Intl Economy Base'!D57)*(1+International_Fuel_Surcharge),2)))*(1+FedEx_Markup),2)</f>
        <v>109.34</v>
      </c>
      <c r="E60" s="307">
        <f>ROUND((IF('Intl Economy Base'!$E$105&gt;ROUND(((1-IntEconomyDiscount-IntEoncomyIncentive)*'Intl Economy Base'!E57),2),ROUND('Intl Economy Base'!$E$105*(1+International_Fuel_Surcharge),2),ROUND(((1-IntEconomyDiscount-IntEoncomyIncentive)*'Intl Economy Base'!E57)*(1+International_Fuel_Surcharge),2)))*(1+FedEx_Markup),2)</f>
        <v>196.29</v>
      </c>
      <c r="F60" s="307">
        <f>ROUND((IF('Intl Economy Base'!$F$105&gt;ROUND(((1-IntEconomyDiscount-IntEoncomyIncentive)*'Intl Economy Base'!F57),2),ROUND('Intl Economy Base'!$F$105*(1+International_Fuel_Surcharge),2),ROUND(((1-IntEconomyDiscount-IntEoncomyIncentive)*'Intl Economy Base'!F57)*(1+International_Fuel_Surcharge),2)))*(1+FedEx_Markup),2)</f>
        <v>412.62</v>
      </c>
      <c r="G60" s="307">
        <f>ROUND((IF('Intl Economy Base'!$G$105&gt;ROUND(((1-IntEconomyDiscount-IntEoncomyIncentive)*'Intl Economy Base'!G57),2),ROUND('Intl Economy Base'!$G$105*(1+International_Fuel_Surcharge),2),ROUND(((1-IntEconomyDiscount-IntEoncomyIncentive)*'Intl Economy Base'!G57)*(1+International_Fuel_Surcharge),2)))*(1+FedEx_Markup),2)</f>
        <v>217.6</v>
      </c>
      <c r="H60" s="307">
        <f>ROUND((IF('Intl Economy Base'!$H$105&gt;ROUND(((1-IntEconomyDiscount-IntEoncomyIncentive)*'Intl Economy Base'!H57),2),ROUND('Intl Economy Base'!$H$105*(1+International_Fuel_Surcharge),2),ROUND(((1-IntEconomyDiscount-IntEoncomyIncentive)*'Intl Economy Base'!H57)*(1+International_Fuel_Surcharge),2)))*(1+FedEx_Markup),2)</f>
        <v>220.13</v>
      </c>
      <c r="I60" s="307">
        <f>ROUND((IF('Intl Economy Base'!$I$105&gt;ROUND(((1-IntEconomyDiscount-IntEoncomyIncentive)*'Intl Economy Base'!I57),2),ROUND('Intl Economy Base'!$I$105*(1+International_Fuel_Surcharge),2),ROUND(((1-IntEconomyDiscount-IntEoncomyIncentive)*'Intl Economy Base'!I57)*(1+International_Fuel_Surcharge),2)))*(1+FedEx_Markup),2)</f>
        <v>264.68</v>
      </c>
      <c r="J60" s="307">
        <f>ROUND((IF('Intl Economy Base'!$J$105&gt;ROUND(((1-IntEconomyDiscount-IntEoncomyIncentive)*'Intl Economy Base'!J57),2),ROUND('Intl Economy Base'!$J$105*(1+International_Fuel_Surcharge),2),ROUND(((1-IntEconomyDiscount-IntEoncomyIncentive)*'Intl Economy Base'!J57)*(1+International_Fuel_Surcharge),2)))*(1+FedEx_Markup),2)</f>
        <v>155.12</v>
      </c>
      <c r="K60" s="307">
        <f>ROUND((IF('Intl Economy Base'!$K$105&gt;ROUND(((1-IntEconomyDiscount-IntEoncomyIncentive)*'Intl Economy Base'!K57),2),ROUND('Intl Economy Base'!$K$105*(1+International_Fuel_Surcharge),2),ROUND(((1-IntEconomyDiscount-IntEoncomyIncentive)*'Intl Economy Base'!K57)*(1+International_Fuel_Surcharge),2)))*(1+FedEx_Markup),2)</f>
        <v>351.56</v>
      </c>
      <c r="L60" s="307">
        <f>ROUND((IF('Intl Economy Base'!$L$105&gt;ROUND(((1-IntEconomyDiscount-IntEoncomyIncentive)*'Intl Economy Base'!L57),2),ROUND('Intl Economy Base'!$L$105*(1+International_Fuel_Surcharge),2),ROUND(((1-IntEconomyDiscount-IntEoncomyIncentive)*'Intl Economy Base'!L57)*(1+International_Fuel_Surcharge),2)))*(1+FedEx_Markup),2)</f>
        <v>289.63</v>
      </c>
      <c r="M60" s="307">
        <f>ROUND((IF('Intl Economy Base'!$M$105&gt;ROUND(((1-IntEconomyDiscount-IntEoncomyIncentive)*'Intl Economy Base'!M57),2),ROUND('Intl Economy Base'!$M$105*(1+International_Fuel_Surcharge),2),ROUND(((1-IntEconomyDiscount-IntEoncomyIncentive)*'Intl Economy Base'!M57)*(1+International_Fuel_Surcharge),2)))*(1+FedEx_Markup),2)</f>
        <v>370.27</v>
      </c>
      <c r="N60" s="307">
        <f>ROUND((IF('Intl Economy Base'!$N$105&gt;ROUND(((1-IntEconomyDiscount-IntEoncomyIncentive)*'Intl Economy Base'!N57),2),ROUND('Intl Economy Base'!$N$105*(1+International_Fuel_Surcharge),2),ROUND(((1-IntEconomyDiscount-IntEoncomyIncentive)*'Intl Economy Base'!N57)*(1+International_Fuel_Surcharge),2)))*(1+FedEx_Markup),2)</f>
        <v>368.08</v>
      </c>
      <c r="O60" s="307">
        <f>ROUND((IF('Intl Economy Base'!$O$105&gt;ROUND(((1-IntEconomyDiscount-IntEoncomyIncentive)*'Intl Economy Base'!O57),2),ROUND('Intl Economy Base'!$O$105*(1+International_Fuel_Surcharge),2),ROUND(((1-IntEconomyDiscount-IntEoncomyIncentive)*'Intl Economy Base'!O57)*(1+International_Fuel_Surcharge),2)))*(1+FedEx_Markup),2)</f>
        <v>288.26</v>
      </c>
      <c r="P60" s="307">
        <f>ROUND((IF('Intl Economy Base'!$P$105&gt;ROUND(((1-IntEconomyDiscount-IntEoncomyIncentive)*'Intl Economy Base'!P57),2),ROUND('Intl Economy Base'!$P$105*(1+International_Fuel_Surcharge),2),ROUND(((1-IntEconomyDiscount-IntEoncomyIncentive)*'Intl Economy Base'!P57)*(1+International_Fuel_Surcharge),2)))*(1+FedEx_Markup),2)</f>
        <v>282.75</v>
      </c>
      <c r="Q60" s="307">
        <f>ROUND((IF('Intl Economy Base'!$Q$105&gt;ROUND(((1-PuertoRicoDiscount)*'Intl Economy Base'!Q57),2),ROUND('Intl Economy Base'!$Q$105*(1+International_Fuel_Surcharge),2),ROUND(((1-PuertoRicoDiscount)*'Intl Economy Base'!Q57)*(1+International_Fuel_Surcharge),2)))*(1+FedEx_Markup),2)</f>
        <v>369.77</v>
      </c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2.75" customHeight="1">
      <c r="A61" s="306">
        <v>62</v>
      </c>
      <c r="B61" s="307">
        <f>ROUND((IF('Intl Economy Base'!$B$105&gt;ROUND(((1-IntEconomyDiscount-IntEoncomyIncentive)*'Intl Economy Base'!B58),2),ROUND('Intl Economy Base'!$B$105*(1+International_Fuel_Surcharge),2),ROUND(((1-IntEconomyDiscount-IntEoncomyIncentive)*'Intl Economy Base'!B58)*(1+International_Fuel_Surcharge),2)))*(1+FedEx_Markup),2)</f>
        <v>141.58000000000001</v>
      </c>
      <c r="C61" s="307">
        <f>ROUND((IF('Intl Economy Base'!$C$105&gt;ROUND(((1-IntEconomyDiscount-IntEoncomyIncentive)*'Intl Economy Base'!C58),2),ROUND('Intl Economy Base'!$C$105*(1+International_Fuel_Surcharge),2),ROUND(((1-IntEconomyDiscount-IntEoncomyIncentive)*'Intl Economy Base'!C58)*(1+International_Fuel_Surcharge),2)))*(1+FedEx_Markup),2)</f>
        <v>158.55000000000001</v>
      </c>
      <c r="D61" s="307">
        <f>ROUND((IF('Intl Economy Base'!$D$105&gt;ROUND(((1-IntEconomyDiscount-IntEoncomyIncentive)*'Intl Economy Base'!D58),2),ROUND('Intl Economy Base'!$D$105*(1+International_Fuel_Surcharge),2),ROUND(((1-IntEconomyDiscount-IntEoncomyIncentive)*'Intl Economy Base'!D58)*(1+International_Fuel_Surcharge),2)))*(1+FedEx_Markup),2)</f>
        <v>109.42</v>
      </c>
      <c r="E61" s="307">
        <f>ROUND((IF('Intl Economy Base'!$E$105&gt;ROUND(((1-IntEconomyDiscount-IntEoncomyIncentive)*'Intl Economy Base'!E58),2),ROUND('Intl Economy Base'!$E$105*(1+International_Fuel_Surcharge),2),ROUND(((1-IntEconomyDiscount-IntEoncomyIncentive)*'Intl Economy Base'!E58)*(1+International_Fuel_Surcharge),2)))*(1+FedEx_Markup),2)</f>
        <v>203.27</v>
      </c>
      <c r="F61" s="307">
        <f>ROUND((IF('Intl Economy Base'!$F$105&gt;ROUND(((1-IntEconomyDiscount-IntEoncomyIncentive)*'Intl Economy Base'!F58),2),ROUND('Intl Economy Base'!$F$105*(1+International_Fuel_Surcharge),2),ROUND(((1-IntEconomyDiscount-IntEoncomyIncentive)*'Intl Economy Base'!F58)*(1+International_Fuel_Surcharge),2)))*(1+FedEx_Markup),2)</f>
        <v>412.77</v>
      </c>
      <c r="G61" s="307">
        <f>ROUND((IF('Intl Economy Base'!$G$105&gt;ROUND(((1-IntEconomyDiscount-IntEoncomyIncentive)*'Intl Economy Base'!G58),2),ROUND('Intl Economy Base'!$G$105*(1+International_Fuel_Surcharge),2),ROUND(((1-IntEconomyDiscount-IntEoncomyIncentive)*'Intl Economy Base'!G58)*(1+International_Fuel_Surcharge),2)))*(1+FedEx_Markup),2)</f>
        <v>219.17</v>
      </c>
      <c r="H61" s="307">
        <f>ROUND((IF('Intl Economy Base'!$H$105&gt;ROUND(((1-IntEconomyDiscount-IntEoncomyIncentive)*'Intl Economy Base'!H58),2),ROUND('Intl Economy Base'!$H$105*(1+International_Fuel_Surcharge),2),ROUND(((1-IntEconomyDiscount-IntEoncomyIncentive)*'Intl Economy Base'!H58)*(1+International_Fuel_Surcharge),2)))*(1+FedEx_Markup),2)</f>
        <v>222.9</v>
      </c>
      <c r="I61" s="307">
        <f>ROUND((IF('Intl Economy Base'!$I$105&gt;ROUND(((1-IntEconomyDiscount-IntEoncomyIncentive)*'Intl Economy Base'!I58),2),ROUND('Intl Economy Base'!$I$105*(1+International_Fuel_Surcharge),2),ROUND(((1-IntEconomyDiscount-IntEoncomyIncentive)*'Intl Economy Base'!I58)*(1+International_Fuel_Surcharge),2)))*(1+FedEx_Markup),2)</f>
        <v>264.77999999999997</v>
      </c>
      <c r="J61" s="307">
        <f>ROUND((IF('Intl Economy Base'!$J$105&gt;ROUND(((1-IntEconomyDiscount-IntEoncomyIncentive)*'Intl Economy Base'!J58),2),ROUND('Intl Economy Base'!$J$105*(1+International_Fuel_Surcharge),2),ROUND(((1-IntEconomyDiscount-IntEoncomyIncentive)*'Intl Economy Base'!J58)*(1+International_Fuel_Surcharge),2)))*(1+FedEx_Markup),2)</f>
        <v>155.72999999999999</v>
      </c>
      <c r="K61" s="307">
        <f>ROUND((IF('Intl Economy Base'!$K$105&gt;ROUND(((1-IntEconomyDiscount-IntEoncomyIncentive)*'Intl Economy Base'!K58),2),ROUND('Intl Economy Base'!$K$105*(1+International_Fuel_Surcharge),2),ROUND(((1-IntEconomyDiscount-IntEoncomyIncentive)*'Intl Economy Base'!K58)*(1+International_Fuel_Surcharge),2)))*(1+FedEx_Markup),2)</f>
        <v>356.05</v>
      </c>
      <c r="L61" s="307">
        <f>ROUND((IF('Intl Economy Base'!$L$105&gt;ROUND(((1-IntEconomyDiscount-IntEoncomyIncentive)*'Intl Economy Base'!L58),2),ROUND('Intl Economy Base'!$L$105*(1+International_Fuel_Surcharge),2),ROUND(((1-IntEconomyDiscount-IntEoncomyIncentive)*'Intl Economy Base'!L58)*(1+International_Fuel_Surcharge),2)))*(1+FedEx_Markup),2)</f>
        <v>293.33</v>
      </c>
      <c r="M61" s="307">
        <f>ROUND((IF('Intl Economy Base'!$M$105&gt;ROUND(((1-IntEconomyDiscount-IntEoncomyIncentive)*'Intl Economy Base'!M58),2),ROUND('Intl Economy Base'!$M$105*(1+International_Fuel_Surcharge),2),ROUND(((1-IntEconomyDiscount-IntEoncomyIncentive)*'Intl Economy Base'!M58)*(1+International_Fuel_Surcharge),2)))*(1+FedEx_Markup),2)</f>
        <v>370.36</v>
      </c>
      <c r="N61" s="307">
        <f>ROUND((IF('Intl Economy Base'!$N$105&gt;ROUND(((1-IntEconomyDiscount-IntEoncomyIncentive)*'Intl Economy Base'!N58),2),ROUND('Intl Economy Base'!$N$105*(1+International_Fuel_Surcharge),2),ROUND(((1-IntEconomyDiscount-IntEoncomyIncentive)*'Intl Economy Base'!N58)*(1+International_Fuel_Surcharge),2)))*(1+FedEx_Markup),2)</f>
        <v>368.16</v>
      </c>
      <c r="O61" s="307">
        <f>ROUND((IF('Intl Economy Base'!$O$105&gt;ROUND(((1-IntEconomyDiscount-IntEoncomyIncentive)*'Intl Economy Base'!O58),2),ROUND('Intl Economy Base'!$O$105*(1+International_Fuel_Surcharge),2),ROUND(((1-IntEconomyDiscount-IntEoncomyIncentive)*'Intl Economy Base'!O58)*(1+International_Fuel_Surcharge),2)))*(1+FedEx_Markup),2)</f>
        <v>288.32</v>
      </c>
      <c r="P61" s="307">
        <f>ROUND((IF('Intl Economy Base'!$P$105&gt;ROUND(((1-IntEconomyDiscount-IntEoncomyIncentive)*'Intl Economy Base'!P58),2),ROUND('Intl Economy Base'!$P$105*(1+International_Fuel_Surcharge),2),ROUND(((1-IntEconomyDiscount-IntEoncomyIncentive)*'Intl Economy Base'!P58)*(1+International_Fuel_Surcharge),2)))*(1+FedEx_Markup),2)</f>
        <v>283.88</v>
      </c>
      <c r="Q61" s="307">
        <f>ROUND((IF('Intl Economy Base'!$Q$105&gt;ROUND(((1-PuertoRicoDiscount)*'Intl Economy Base'!Q58),2),ROUND('Intl Economy Base'!$Q$105*(1+International_Fuel_Surcharge),2),ROUND(((1-PuertoRicoDiscount)*'Intl Economy Base'!Q58)*(1+International_Fuel_Surcharge),2)))*(1+FedEx_Markup),2)</f>
        <v>370.76</v>
      </c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2.75" customHeight="1">
      <c r="A62" s="306">
        <v>64</v>
      </c>
      <c r="B62" s="307">
        <f>ROUND((IF('Intl Economy Base'!$B$105&gt;ROUND(((1-IntEconomyDiscount-IntEoncomyIncentive)*'Intl Economy Base'!B59),2),ROUND('Intl Economy Base'!$B$105*(1+International_Fuel_Surcharge),2),ROUND(((1-IntEconomyDiscount-IntEoncomyIncentive)*'Intl Economy Base'!B59)*(1+International_Fuel_Surcharge),2)))*(1+FedEx_Markup),2)</f>
        <v>142.91999999999999</v>
      </c>
      <c r="C62" s="307">
        <f>ROUND((IF('Intl Economy Base'!$C$105&gt;ROUND(((1-IntEconomyDiscount-IntEoncomyIncentive)*'Intl Economy Base'!C59),2),ROUND('Intl Economy Base'!$C$105*(1+International_Fuel_Surcharge),2),ROUND(((1-IntEconomyDiscount-IntEoncomyIncentive)*'Intl Economy Base'!C59)*(1+International_Fuel_Surcharge),2)))*(1+FedEx_Markup),2)</f>
        <v>160.30000000000001</v>
      </c>
      <c r="D62" s="307">
        <f>ROUND((IF('Intl Economy Base'!$D$105&gt;ROUND(((1-IntEconomyDiscount-IntEoncomyIncentive)*'Intl Economy Base'!D59),2),ROUND('Intl Economy Base'!$D$105*(1+International_Fuel_Surcharge),2),ROUND(((1-IntEconomyDiscount-IntEoncomyIncentive)*'Intl Economy Base'!D59)*(1+International_Fuel_Surcharge),2)))*(1+FedEx_Markup),2)</f>
        <v>109.49</v>
      </c>
      <c r="E62" s="307">
        <f>ROUND((IF('Intl Economy Base'!$E$105&gt;ROUND(((1-IntEconomyDiscount-IntEoncomyIncentive)*'Intl Economy Base'!E59),2),ROUND('Intl Economy Base'!$E$105*(1+International_Fuel_Surcharge),2),ROUND(((1-IntEconomyDiscount-IntEoncomyIncentive)*'Intl Economy Base'!E59)*(1+International_Fuel_Surcharge),2)))*(1+FedEx_Markup),2)</f>
        <v>210.24</v>
      </c>
      <c r="F62" s="307">
        <f>ROUND((IF('Intl Economy Base'!$F$105&gt;ROUND(((1-IntEconomyDiscount-IntEoncomyIncentive)*'Intl Economy Base'!F59),2),ROUND('Intl Economy Base'!$F$105*(1+International_Fuel_Surcharge),2),ROUND(((1-IntEconomyDiscount-IntEoncomyIncentive)*'Intl Economy Base'!F59)*(1+International_Fuel_Surcharge),2)))*(1+FedEx_Markup),2)</f>
        <v>412.92</v>
      </c>
      <c r="G62" s="307">
        <f>ROUND((IF('Intl Economy Base'!$G$105&gt;ROUND(((1-IntEconomyDiscount-IntEoncomyIncentive)*'Intl Economy Base'!G59),2),ROUND('Intl Economy Base'!$G$105*(1+International_Fuel_Surcharge),2),ROUND(((1-IntEconomyDiscount-IntEoncomyIncentive)*'Intl Economy Base'!G59)*(1+International_Fuel_Surcharge),2)))*(1+FedEx_Markup),2)</f>
        <v>220.74</v>
      </c>
      <c r="H62" s="307">
        <f>ROUND((IF('Intl Economy Base'!$H$105&gt;ROUND(((1-IntEconomyDiscount-IntEoncomyIncentive)*'Intl Economy Base'!H59),2),ROUND('Intl Economy Base'!$H$105*(1+International_Fuel_Surcharge),2),ROUND(((1-IntEconomyDiscount-IntEoncomyIncentive)*'Intl Economy Base'!H59)*(1+International_Fuel_Surcharge),2)))*(1+FedEx_Markup),2)</f>
        <v>225.66</v>
      </c>
      <c r="I62" s="307">
        <f>ROUND((IF('Intl Economy Base'!$I$105&gt;ROUND(((1-IntEconomyDiscount-IntEoncomyIncentive)*'Intl Economy Base'!I59),2),ROUND('Intl Economy Base'!$I$105*(1+International_Fuel_Surcharge),2),ROUND(((1-IntEconomyDiscount-IntEoncomyIncentive)*'Intl Economy Base'!I59)*(1+International_Fuel_Surcharge),2)))*(1+FedEx_Markup),2)</f>
        <v>264.87</v>
      </c>
      <c r="J62" s="307">
        <f>ROUND((IF('Intl Economy Base'!$J$105&gt;ROUND(((1-IntEconomyDiscount-IntEoncomyIncentive)*'Intl Economy Base'!J59),2),ROUND('Intl Economy Base'!$J$105*(1+International_Fuel_Surcharge),2),ROUND(((1-IntEconomyDiscount-IntEoncomyIncentive)*'Intl Economy Base'!J59)*(1+International_Fuel_Surcharge),2)))*(1+FedEx_Markup),2)</f>
        <v>156.35</v>
      </c>
      <c r="K62" s="307">
        <f>ROUND((IF('Intl Economy Base'!$K$105&gt;ROUND(((1-IntEconomyDiscount-IntEoncomyIncentive)*'Intl Economy Base'!K59),2),ROUND('Intl Economy Base'!$K$105*(1+International_Fuel_Surcharge),2),ROUND(((1-IntEconomyDiscount-IntEoncomyIncentive)*'Intl Economy Base'!K59)*(1+International_Fuel_Surcharge),2)))*(1+FedEx_Markup),2)</f>
        <v>360.56</v>
      </c>
      <c r="L62" s="307">
        <f>ROUND((IF('Intl Economy Base'!$L$105&gt;ROUND(((1-IntEconomyDiscount-IntEoncomyIncentive)*'Intl Economy Base'!L59),2),ROUND('Intl Economy Base'!$L$105*(1+International_Fuel_Surcharge),2),ROUND(((1-IntEconomyDiscount-IntEoncomyIncentive)*'Intl Economy Base'!L59)*(1+International_Fuel_Surcharge),2)))*(1+FedEx_Markup),2)</f>
        <v>297.02</v>
      </c>
      <c r="M62" s="307">
        <f>ROUND((IF('Intl Economy Base'!$M$105&gt;ROUND(((1-IntEconomyDiscount-IntEoncomyIncentive)*'Intl Economy Base'!M59),2),ROUND('Intl Economy Base'!$M$105*(1+International_Fuel_Surcharge),2),ROUND(((1-IntEconomyDiscount-IntEoncomyIncentive)*'Intl Economy Base'!M59)*(1+International_Fuel_Surcharge),2)))*(1+FedEx_Markup),2)</f>
        <v>370.45</v>
      </c>
      <c r="N62" s="307">
        <f>ROUND((IF('Intl Economy Base'!$N$105&gt;ROUND(((1-IntEconomyDiscount-IntEoncomyIncentive)*'Intl Economy Base'!N59),2),ROUND('Intl Economy Base'!$N$105*(1+International_Fuel_Surcharge),2),ROUND(((1-IntEconomyDiscount-IntEoncomyIncentive)*'Intl Economy Base'!N59)*(1+International_Fuel_Surcharge),2)))*(1+FedEx_Markup),2)</f>
        <v>368.25</v>
      </c>
      <c r="O62" s="307">
        <f>ROUND((IF('Intl Economy Base'!$O$105&gt;ROUND(((1-IntEconomyDiscount-IntEoncomyIncentive)*'Intl Economy Base'!O59),2),ROUND('Intl Economy Base'!$O$105*(1+International_Fuel_Surcharge),2),ROUND(((1-IntEconomyDiscount-IntEoncomyIncentive)*'Intl Economy Base'!O59)*(1+International_Fuel_Surcharge),2)))*(1+FedEx_Markup),2)</f>
        <v>288.37</v>
      </c>
      <c r="P62" s="307">
        <f>ROUND((IF('Intl Economy Base'!$P$105&gt;ROUND(((1-IntEconomyDiscount-IntEoncomyIncentive)*'Intl Economy Base'!P59),2),ROUND('Intl Economy Base'!$P$105*(1+International_Fuel_Surcharge),2),ROUND(((1-IntEconomyDiscount-IntEoncomyIncentive)*'Intl Economy Base'!P59)*(1+International_Fuel_Surcharge),2)))*(1+FedEx_Markup),2)</f>
        <v>285.02</v>
      </c>
      <c r="Q62" s="307">
        <f>ROUND((IF('Intl Economy Base'!$Q$105&gt;ROUND(((1-PuertoRicoDiscount)*'Intl Economy Base'!Q59),2),ROUND('Intl Economy Base'!$Q$105*(1+International_Fuel_Surcharge),2),ROUND(((1-PuertoRicoDiscount)*'Intl Economy Base'!Q59)*(1+International_Fuel_Surcharge),2)))*(1+FedEx_Markup),2)</f>
        <v>377.52</v>
      </c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2.75" customHeight="1">
      <c r="A63" s="306">
        <v>66</v>
      </c>
      <c r="B63" s="307">
        <f>ROUND((IF('Intl Economy Base'!$B$105&gt;ROUND(((1-IntEconomyDiscount-IntEoncomyIncentive)*'Intl Economy Base'!B60),2),ROUND('Intl Economy Base'!$B$105*(1+International_Fuel_Surcharge),2),ROUND(((1-IntEconomyDiscount-IntEoncomyIncentive)*'Intl Economy Base'!B60)*(1+International_Fuel_Surcharge),2)))*(1+FedEx_Markup),2)</f>
        <v>144.28</v>
      </c>
      <c r="C63" s="307">
        <f>ROUND((IF('Intl Economy Base'!$C$105&gt;ROUND(((1-IntEconomyDiscount-IntEoncomyIncentive)*'Intl Economy Base'!C60),2),ROUND('Intl Economy Base'!$C$105*(1+International_Fuel_Surcharge),2),ROUND(((1-IntEconomyDiscount-IntEoncomyIncentive)*'Intl Economy Base'!C60)*(1+International_Fuel_Surcharge),2)))*(1+FedEx_Markup),2)</f>
        <v>162.05000000000001</v>
      </c>
      <c r="D63" s="307">
        <f>ROUND((IF('Intl Economy Base'!$D$105&gt;ROUND(((1-IntEconomyDiscount-IntEoncomyIncentive)*'Intl Economy Base'!D60),2),ROUND('Intl Economy Base'!$D$105*(1+International_Fuel_Surcharge),2),ROUND(((1-IntEconomyDiscount-IntEoncomyIncentive)*'Intl Economy Base'!D60)*(1+International_Fuel_Surcharge),2)))*(1+FedEx_Markup),2)</f>
        <v>109.58</v>
      </c>
      <c r="E63" s="307">
        <f>ROUND((IF('Intl Economy Base'!$E$105&gt;ROUND(((1-IntEconomyDiscount-IntEoncomyIncentive)*'Intl Economy Base'!E60),2),ROUND('Intl Economy Base'!$E$105*(1+International_Fuel_Surcharge),2),ROUND(((1-IntEconomyDiscount-IntEoncomyIncentive)*'Intl Economy Base'!E60)*(1+International_Fuel_Surcharge),2)))*(1+FedEx_Markup),2)</f>
        <v>217.22</v>
      </c>
      <c r="F63" s="307">
        <f>ROUND((IF('Intl Economy Base'!$F$105&gt;ROUND(((1-IntEconomyDiscount-IntEoncomyIncentive)*'Intl Economy Base'!F60),2),ROUND('Intl Economy Base'!$F$105*(1+International_Fuel_Surcharge),2),ROUND(((1-IntEconomyDiscount-IntEoncomyIncentive)*'Intl Economy Base'!F60)*(1+International_Fuel_Surcharge),2)))*(1+FedEx_Markup),2)</f>
        <v>413.07</v>
      </c>
      <c r="G63" s="307">
        <f>ROUND((IF('Intl Economy Base'!$G$105&gt;ROUND(((1-IntEconomyDiscount-IntEoncomyIncentive)*'Intl Economy Base'!G60),2),ROUND('Intl Economy Base'!$G$105*(1+International_Fuel_Surcharge),2),ROUND(((1-IntEconomyDiscount-IntEoncomyIncentive)*'Intl Economy Base'!G60)*(1+International_Fuel_Surcharge),2)))*(1+FedEx_Markup),2)</f>
        <v>222.31</v>
      </c>
      <c r="H63" s="307">
        <f>ROUND((IF('Intl Economy Base'!$H$105&gt;ROUND(((1-IntEconomyDiscount-IntEoncomyIncentive)*'Intl Economy Base'!H60),2),ROUND('Intl Economy Base'!$H$105*(1+International_Fuel_Surcharge),2),ROUND(((1-IntEconomyDiscount-IntEoncomyIncentive)*'Intl Economy Base'!H60)*(1+International_Fuel_Surcharge),2)))*(1+FedEx_Markup),2)</f>
        <v>228.42</v>
      </c>
      <c r="I63" s="307">
        <f>ROUND((IF('Intl Economy Base'!$I$105&gt;ROUND(((1-IntEconomyDiscount-IntEoncomyIncentive)*'Intl Economy Base'!I60),2),ROUND('Intl Economy Base'!$I$105*(1+International_Fuel_Surcharge),2),ROUND(((1-IntEconomyDiscount-IntEoncomyIncentive)*'Intl Economy Base'!I60)*(1+International_Fuel_Surcharge),2)))*(1+FedEx_Markup),2)</f>
        <v>264.95999999999998</v>
      </c>
      <c r="J63" s="307">
        <f>ROUND((IF('Intl Economy Base'!$J$105&gt;ROUND(((1-IntEconomyDiscount-IntEoncomyIncentive)*'Intl Economy Base'!J60),2),ROUND('Intl Economy Base'!$J$105*(1+International_Fuel_Surcharge),2),ROUND(((1-IntEconomyDiscount-IntEoncomyIncentive)*'Intl Economy Base'!J60)*(1+International_Fuel_Surcharge),2)))*(1+FedEx_Markup),2)</f>
        <v>156.96</v>
      </c>
      <c r="K63" s="307">
        <f>ROUND((IF('Intl Economy Base'!$K$105&gt;ROUND(((1-IntEconomyDiscount-IntEoncomyIncentive)*'Intl Economy Base'!K60),2),ROUND('Intl Economy Base'!$K$105*(1+International_Fuel_Surcharge),2),ROUND(((1-IntEconomyDiscount-IntEoncomyIncentive)*'Intl Economy Base'!K60)*(1+International_Fuel_Surcharge),2)))*(1+FedEx_Markup),2)</f>
        <v>365.06</v>
      </c>
      <c r="L63" s="307">
        <f>ROUND((IF('Intl Economy Base'!$L$105&gt;ROUND(((1-IntEconomyDiscount-IntEoncomyIncentive)*'Intl Economy Base'!L60),2),ROUND('Intl Economy Base'!$L$105*(1+International_Fuel_Surcharge),2),ROUND(((1-IntEconomyDiscount-IntEoncomyIncentive)*'Intl Economy Base'!L60)*(1+International_Fuel_Surcharge),2)))*(1+FedEx_Markup),2)</f>
        <v>300.73</v>
      </c>
      <c r="M63" s="307">
        <f>ROUND((IF('Intl Economy Base'!$M$105&gt;ROUND(((1-IntEconomyDiscount-IntEoncomyIncentive)*'Intl Economy Base'!M60),2),ROUND('Intl Economy Base'!$M$105*(1+International_Fuel_Surcharge),2),ROUND(((1-IntEconomyDiscount-IntEoncomyIncentive)*'Intl Economy Base'!M60)*(1+International_Fuel_Surcharge),2)))*(1+FedEx_Markup),2)</f>
        <v>370.54</v>
      </c>
      <c r="N63" s="307">
        <f>ROUND((IF('Intl Economy Base'!$N$105&gt;ROUND(((1-IntEconomyDiscount-IntEoncomyIncentive)*'Intl Economy Base'!N60),2),ROUND('Intl Economy Base'!$N$105*(1+International_Fuel_Surcharge),2),ROUND(((1-IntEconomyDiscount-IntEoncomyIncentive)*'Intl Economy Base'!N60)*(1+International_Fuel_Surcharge),2)))*(1+FedEx_Markup),2)</f>
        <v>368.33</v>
      </c>
      <c r="O63" s="307">
        <f>ROUND((IF('Intl Economy Base'!$O$105&gt;ROUND(((1-IntEconomyDiscount-IntEoncomyIncentive)*'Intl Economy Base'!O60),2),ROUND('Intl Economy Base'!$O$105*(1+International_Fuel_Surcharge),2),ROUND(((1-IntEconomyDiscount-IntEoncomyIncentive)*'Intl Economy Base'!O60)*(1+International_Fuel_Surcharge),2)))*(1+FedEx_Markup),2)</f>
        <v>288.42</v>
      </c>
      <c r="P63" s="307">
        <f>ROUND((IF('Intl Economy Base'!$P$105&gt;ROUND(((1-IntEconomyDiscount-IntEoncomyIncentive)*'Intl Economy Base'!P60),2),ROUND('Intl Economy Base'!$P$105*(1+International_Fuel_Surcharge),2),ROUND(((1-IntEconomyDiscount-IntEoncomyIncentive)*'Intl Economy Base'!P60)*(1+International_Fuel_Surcharge),2)))*(1+FedEx_Markup),2)</f>
        <v>286.14</v>
      </c>
      <c r="Q63" s="307">
        <f>ROUND((IF('Intl Economy Base'!$Q$105&gt;ROUND(((1-PuertoRicoDiscount)*'Intl Economy Base'!Q60),2),ROUND('Intl Economy Base'!$Q$105*(1+International_Fuel_Surcharge),2),ROUND(((1-PuertoRicoDiscount)*'Intl Economy Base'!Q60)*(1+International_Fuel_Surcharge),2)))*(1+FedEx_Markup),2)</f>
        <v>383.84</v>
      </c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2.75" customHeight="1">
      <c r="A64" s="306">
        <v>68</v>
      </c>
      <c r="B64" s="307">
        <f>ROUND((IF('Intl Economy Base'!$B$105&gt;ROUND(((1-IntEconomyDiscount-IntEoncomyIncentive)*'Intl Economy Base'!B61),2),ROUND('Intl Economy Base'!$B$105*(1+International_Fuel_Surcharge),2),ROUND(((1-IntEconomyDiscount-IntEoncomyIncentive)*'Intl Economy Base'!B61)*(1+International_Fuel_Surcharge),2)))*(1+FedEx_Markup),2)</f>
        <v>145.1</v>
      </c>
      <c r="C64" s="307">
        <f>ROUND((IF('Intl Economy Base'!$C$105&gt;ROUND(((1-IntEconomyDiscount-IntEoncomyIncentive)*'Intl Economy Base'!C61),2),ROUND('Intl Economy Base'!$C$105*(1+International_Fuel_Surcharge),2),ROUND(((1-IntEconomyDiscount-IntEoncomyIncentive)*'Intl Economy Base'!C61)*(1+International_Fuel_Surcharge),2)))*(1+FedEx_Markup),2)</f>
        <v>162.22999999999999</v>
      </c>
      <c r="D64" s="307">
        <f>ROUND((IF('Intl Economy Base'!$D$105&gt;ROUND(((1-IntEconomyDiscount-IntEoncomyIncentive)*'Intl Economy Base'!D61),2),ROUND('Intl Economy Base'!$D$105*(1+International_Fuel_Surcharge),2),ROUND(((1-IntEconomyDiscount-IntEoncomyIncentive)*'Intl Economy Base'!D61)*(1+International_Fuel_Surcharge),2)))*(1+FedEx_Markup),2)</f>
        <v>109.64</v>
      </c>
      <c r="E64" s="307">
        <f>ROUND((IF('Intl Economy Base'!$E$105&gt;ROUND(((1-IntEconomyDiscount-IntEoncomyIncentive)*'Intl Economy Base'!E61),2),ROUND('Intl Economy Base'!$E$105*(1+International_Fuel_Surcharge),2),ROUND(((1-IntEconomyDiscount-IntEoncomyIncentive)*'Intl Economy Base'!E61)*(1+International_Fuel_Surcharge),2)))*(1+FedEx_Markup),2)</f>
        <v>217.93</v>
      </c>
      <c r="F64" s="307">
        <f>ROUND((IF('Intl Economy Base'!$F$105&gt;ROUND(((1-IntEconomyDiscount-IntEoncomyIncentive)*'Intl Economy Base'!F61),2),ROUND('Intl Economy Base'!$F$105*(1+International_Fuel_Surcharge),2),ROUND(((1-IntEconomyDiscount-IntEoncomyIncentive)*'Intl Economy Base'!F61)*(1+International_Fuel_Surcharge),2)))*(1+FedEx_Markup),2)</f>
        <v>413.68</v>
      </c>
      <c r="G64" s="307">
        <f>ROUND((IF('Intl Economy Base'!$G$105&gt;ROUND(((1-IntEconomyDiscount-IntEoncomyIncentive)*'Intl Economy Base'!G61),2),ROUND('Intl Economy Base'!$G$105*(1+International_Fuel_Surcharge),2),ROUND(((1-IntEconomyDiscount-IntEoncomyIncentive)*'Intl Economy Base'!G61)*(1+International_Fuel_Surcharge),2)))*(1+FedEx_Markup),2)</f>
        <v>222.47</v>
      </c>
      <c r="H64" s="307">
        <f>ROUND((IF('Intl Economy Base'!$H$105&gt;ROUND(((1-IntEconomyDiscount-IntEoncomyIncentive)*'Intl Economy Base'!H61),2),ROUND('Intl Economy Base'!$H$105*(1+International_Fuel_Surcharge),2),ROUND(((1-IntEconomyDiscount-IntEoncomyIncentive)*'Intl Economy Base'!H61)*(1+International_Fuel_Surcharge),2)))*(1+FedEx_Markup),2)</f>
        <v>233.5</v>
      </c>
      <c r="I64" s="307">
        <f>ROUND((IF('Intl Economy Base'!$I$105&gt;ROUND(((1-IntEconomyDiscount-IntEoncomyIncentive)*'Intl Economy Base'!I61),2),ROUND('Intl Economy Base'!$I$105*(1+International_Fuel_Surcharge),2),ROUND(((1-IntEconomyDiscount-IntEoncomyIncentive)*'Intl Economy Base'!I61)*(1+International_Fuel_Surcharge),2)))*(1+FedEx_Markup),2)</f>
        <v>265.02999999999997</v>
      </c>
      <c r="J64" s="307">
        <f>ROUND((IF('Intl Economy Base'!$J$105&gt;ROUND(((1-IntEconomyDiscount-IntEoncomyIncentive)*'Intl Economy Base'!J61),2),ROUND('Intl Economy Base'!$J$105*(1+International_Fuel_Surcharge),2),ROUND(((1-IntEconomyDiscount-IntEoncomyIncentive)*'Intl Economy Base'!J61)*(1+International_Fuel_Surcharge),2)))*(1+FedEx_Markup),2)</f>
        <v>158.4</v>
      </c>
      <c r="K64" s="307">
        <f>ROUND((IF('Intl Economy Base'!$K$105&gt;ROUND(((1-IntEconomyDiscount-IntEoncomyIncentive)*'Intl Economy Base'!K61),2),ROUND('Intl Economy Base'!$K$105*(1+International_Fuel_Surcharge),2),ROUND(((1-IntEconomyDiscount-IntEoncomyIncentive)*'Intl Economy Base'!K61)*(1+International_Fuel_Surcharge),2)))*(1+FedEx_Markup),2)</f>
        <v>365.52</v>
      </c>
      <c r="L64" s="307">
        <f>ROUND((IF('Intl Economy Base'!$L$105&gt;ROUND(((1-IntEconomyDiscount-IntEoncomyIncentive)*'Intl Economy Base'!L61),2),ROUND('Intl Economy Base'!$L$105*(1+International_Fuel_Surcharge),2),ROUND(((1-IntEconomyDiscount-IntEoncomyIncentive)*'Intl Economy Base'!L61)*(1+International_Fuel_Surcharge),2)))*(1+FedEx_Markup),2)</f>
        <v>301.08999999999997</v>
      </c>
      <c r="M64" s="307">
        <f>ROUND((IF('Intl Economy Base'!$M$105&gt;ROUND(((1-IntEconomyDiscount-IntEoncomyIncentive)*'Intl Economy Base'!M61),2),ROUND('Intl Economy Base'!$M$105*(1+International_Fuel_Surcharge),2),ROUND(((1-IntEconomyDiscount-IntEoncomyIncentive)*'Intl Economy Base'!M61)*(1+International_Fuel_Surcharge),2)))*(1+FedEx_Markup),2)</f>
        <v>370.65</v>
      </c>
      <c r="N64" s="307">
        <f>ROUND((IF('Intl Economy Base'!$N$105&gt;ROUND(((1-IntEconomyDiscount-IntEoncomyIncentive)*'Intl Economy Base'!N61),2),ROUND('Intl Economy Base'!$N$105*(1+International_Fuel_Surcharge),2),ROUND(((1-IntEconomyDiscount-IntEoncomyIncentive)*'Intl Economy Base'!N61)*(1+International_Fuel_Surcharge),2)))*(1+FedEx_Markup),2)</f>
        <v>368.4</v>
      </c>
      <c r="O64" s="307">
        <f>ROUND((IF('Intl Economy Base'!$O$105&gt;ROUND(((1-IntEconomyDiscount-IntEoncomyIncentive)*'Intl Economy Base'!O61),2),ROUND('Intl Economy Base'!$O$105*(1+International_Fuel_Surcharge),2),ROUND(((1-IntEconomyDiscount-IntEoncomyIncentive)*'Intl Economy Base'!O61)*(1+International_Fuel_Surcharge),2)))*(1+FedEx_Markup),2)</f>
        <v>288.48</v>
      </c>
      <c r="P64" s="307">
        <f>ROUND((IF('Intl Economy Base'!$P$105&gt;ROUND(((1-IntEconomyDiscount-IntEoncomyIncentive)*'Intl Economy Base'!P61),2),ROUND('Intl Economy Base'!$P$105*(1+International_Fuel_Surcharge),2),ROUND(((1-IntEconomyDiscount-IntEoncomyIncentive)*'Intl Economy Base'!P61)*(1+International_Fuel_Surcharge),2)))*(1+FedEx_Markup),2)</f>
        <v>286.57</v>
      </c>
      <c r="Q64" s="307">
        <f>ROUND((IF('Intl Economy Base'!$Q$105&gt;ROUND(((1-PuertoRicoDiscount)*'Intl Economy Base'!Q61),2),ROUND('Intl Economy Base'!$Q$105*(1+International_Fuel_Surcharge),2),ROUND(((1-PuertoRicoDiscount)*'Intl Economy Base'!Q61)*(1+International_Fuel_Surcharge),2)))*(1+FedEx_Markup),2)</f>
        <v>389.06</v>
      </c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2.75" customHeight="1">
      <c r="A65" s="306">
        <v>70</v>
      </c>
      <c r="B65" s="307">
        <f>ROUND((IF('Intl Economy Base'!$B$105&gt;ROUND(((1-IntEconomyDiscount-IntEoncomyIncentive)*'Intl Economy Base'!B62),2),ROUND('Intl Economy Base'!$B$105*(1+International_Fuel_Surcharge),2),ROUND(((1-IntEconomyDiscount-IntEoncomyIncentive)*'Intl Economy Base'!B62)*(1+International_Fuel_Surcharge),2)))*(1+FedEx_Markup),2)</f>
        <v>145.35</v>
      </c>
      <c r="C65" s="307">
        <f>ROUND((IF('Intl Economy Base'!$C$105&gt;ROUND(((1-IntEconomyDiscount-IntEoncomyIncentive)*'Intl Economy Base'!C62),2),ROUND('Intl Economy Base'!$C$105*(1+International_Fuel_Surcharge),2),ROUND(((1-IntEconomyDiscount-IntEoncomyIncentive)*'Intl Economy Base'!C62)*(1+International_Fuel_Surcharge),2)))*(1+FedEx_Markup),2)</f>
        <v>162.61000000000001</v>
      </c>
      <c r="D65" s="307">
        <f>ROUND((IF('Intl Economy Base'!$D$105&gt;ROUND(((1-IntEconomyDiscount-IntEoncomyIncentive)*'Intl Economy Base'!D62),2),ROUND('Intl Economy Base'!$D$105*(1+International_Fuel_Surcharge),2),ROUND(((1-IntEconomyDiscount-IntEoncomyIncentive)*'Intl Economy Base'!D62)*(1+International_Fuel_Surcharge),2)))*(1+FedEx_Markup),2)</f>
        <v>109.72</v>
      </c>
      <c r="E65" s="307">
        <f>ROUND((IF('Intl Economy Base'!$E$105&gt;ROUND(((1-IntEconomyDiscount-IntEoncomyIncentive)*'Intl Economy Base'!E62),2),ROUND('Intl Economy Base'!$E$105*(1+International_Fuel_Surcharge),2),ROUND(((1-IntEconomyDiscount-IntEoncomyIncentive)*'Intl Economy Base'!E62)*(1+International_Fuel_Surcharge),2)))*(1+FedEx_Markup),2)</f>
        <v>218.01</v>
      </c>
      <c r="F65" s="307">
        <f>ROUND((IF('Intl Economy Base'!$F$105&gt;ROUND(((1-IntEconomyDiscount-IntEoncomyIncentive)*'Intl Economy Base'!F62),2),ROUND('Intl Economy Base'!$F$105*(1+International_Fuel_Surcharge),2),ROUND(((1-IntEconomyDiscount-IntEoncomyIncentive)*'Intl Economy Base'!F62)*(1+International_Fuel_Surcharge),2)))*(1+FedEx_Markup),2)</f>
        <v>425.97</v>
      </c>
      <c r="G65" s="307">
        <f>ROUND((IF('Intl Economy Base'!$G$105&gt;ROUND(((1-IntEconomyDiscount-IntEoncomyIncentive)*'Intl Economy Base'!G62),2),ROUND('Intl Economy Base'!$G$105*(1+International_Fuel_Surcharge),2),ROUND(((1-IntEconomyDiscount-IntEoncomyIncentive)*'Intl Economy Base'!G62)*(1+International_Fuel_Surcharge),2)))*(1+FedEx_Markup),2)</f>
        <v>222.54</v>
      </c>
      <c r="H65" s="307">
        <f>ROUND((IF('Intl Economy Base'!$H$105&gt;ROUND(((1-IntEconomyDiscount-IntEoncomyIncentive)*'Intl Economy Base'!H62),2),ROUND('Intl Economy Base'!$H$105*(1+International_Fuel_Surcharge),2),ROUND(((1-IntEconomyDiscount-IntEoncomyIncentive)*'Intl Economy Base'!H62)*(1+International_Fuel_Surcharge),2)))*(1+FedEx_Markup),2)</f>
        <v>235.2</v>
      </c>
      <c r="I65" s="307">
        <f>ROUND((IF('Intl Economy Base'!$I$105&gt;ROUND(((1-IntEconomyDiscount-IntEoncomyIncentive)*'Intl Economy Base'!I62),2),ROUND('Intl Economy Base'!$I$105*(1+International_Fuel_Surcharge),2),ROUND(((1-IntEconomyDiscount-IntEoncomyIncentive)*'Intl Economy Base'!I62)*(1+International_Fuel_Surcharge),2)))*(1+FedEx_Markup),2)</f>
        <v>265.08999999999997</v>
      </c>
      <c r="J65" s="307">
        <f>ROUND((IF('Intl Economy Base'!$J$105&gt;ROUND(((1-IntEconomyDiscount-IntEoncomyIncentive)*'Intl Economy Base'!J62),2),ROUND('Intl Economy Base'!$J$105*(1+International_Fuel_Surcharge),2),ROUND(((1-IntEconomyDiscount-IntEoncomyIncentive)*'Intl Economy Base'!J62)*(1+International_Fuel_Surcharge),2)))*(1+FedEx_Markup),2)</f>
        <v>159.86000000000001</v>
      </c>
      <c r="K65" s="307">
        <f>ROUND((IF('Intl Economy Base'!$K$105&gt;ROUND(((1-IntEconomyDiscount-IntEoncomyIncentive)*'Intl Economy Base'!K62),2),ROUND('Intl Economy Base'!$K$105*(1+International_Fuel_Surcharge),2),ROUND(((1-IntEconomyDiscount-IntEoncomyIncentive)*'Intl Economy Base'!K62)*(1+International_Fuel_Surcharge),2)))*(1+FedEx_Markup),2)</f>
        <v>365.82</v>
      </c>
      <c r="L65" s="307">
        <f>ROUND((IF('Intl Economy Base'!$L$105&gt;ROUND(((1-IntEconomyDiscount-IntEoncomyIncentive)*'Intl Economy Base'!L62),2),ROUND('Intl Economy Base'!$L$105*(1+International_Fuel_Surcharge),2),ROUND(((1-IntEconomyDiscount-IntEoncomyIncentive)*'Intl Economy Base'!L62)*(1+International_Fuel_Surcharge),2)))*(1+FedEx_Markup),2)</f>
        <v>301.16000000000003</v>
      </c>
      <c r="M65" s="307">
        <f>ROUND((IF('Intl Economy Base'!$M$105&gt;ROUND(((1-IntEconomyDiscount-IntEoncomyIncentive)*'Intl Economy Base'!M62),2),ROUND('Intl Economy Base'!$M$105*(1+International_Fuel_Surcharge),2),ROUND(((1-IntEconomyDiscount-IntEoncomyIncentive)*'Intl Economy Base'!M62)*(1+International_Fuel_Surcharge),2)))*(1+FedEx_Markup),2)</f>
        <v>370.79</v>
      </c>
      <c r="N65" s="307">
        <f>ROUND((IF('Intl Economy Base'!$N$105&gt;ROUND(((1-IntEconomyDiscount-IntEoncomyIncentive)*'Intl Economy Base'!N62),2),ROUND('Intl Economy Base'!$N$105*(1+International_Fuel_Surcharge),2),ROUND(((1-IntEconomyDiscount-IntEoncomyIncentive)*'Intl Economy Base'!N62)*(1+International_Fuel_Surcharge),2)))*(1+FedEx_Markup),2)</f>
        <v>368.47</v>
      </c>
      <c r="O65" s="307">
        <f>ROUND((IF('Intl Economy Base'!$O$105&gt;ROUND(((1-IntEconomyDiscount-IntEoncomyIncentive)*'Intl Economy Base'!O62),2),ROUND('Intl Economy Base'!$O$105*(1+International_Fuel_Surcharge),2),ROUND(((1-IntEconomyDiscount-IntEoncomyIncentive)*'Intl Economy Base'!O62)*(1+International_Fuel_Surcharge),2)))*(1+FedEx_Markup),2)</f>
        <v>288.54000000000002</v>
      </c>
      <c r="P65" s="307">
        <f>ROUND((IF('Intl Economy Base'!$P$105&gt;ROUND(((1-IntEconomyDiscount-IntEoncomyIncentive)*'Intl Economy Base'!P62),2),ROUND('Intl Economy Base'!$P$105*(1+International_Fuel_Surcharge),2),ROUND(((1-IntEconomyDiscount-IntEoncomyIncentive)*'Intl Economy Base'!P62)*(1+International_Fuel_Surcharge),2)))*(1+FedEx_Markup),2)</f>
        <v>286.64</v>
      </c>
      <c r="Q65" s="307">
        <f>ROUND((IF('Intl Economy Base'!$Q$105&gt;ROUND(((1-PuertoRicoDiscount)*'Intl Economy Base'!Q62),2),ROUND('Intl Economy Base'!$Q$105*(1+International_Fuel_Surcharge),2),ROUND(((1-PuertoRicoDiscount)*'Intl Economy Base'!Q62)*(1+International_Fuel_Surcharge),2)))*(1+FedEx_Markup),2)</f>
        <v>393.75</v>
      </c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2.75" customHeight="1">
      <c r="A66" s="306">
        <v>72</v>
      </c>
      <c r="B66" s="307">
        <f>ROUND((IF('Intl Economy Base'!$B$105&gt;ROUND(((1-IntEconomyDiscount-IntEoncomyIncentive)*'Intl Economy Base'!B63),2),ROUND('Intl Economy Base'!$B$105*(1+International_Fuel_Surcharge),2),ROUND(((1-IntEconomyDiscount-IntEoncomyIncentive)*'Intl Economy Base'!B63)*(1+International_Fuel_Surcharge),2)))*(1+FedEx_Markup),2)</f>
        <v>150.26</v>
      </c>
      <c r="C66" s="307">
        <f>ROUND((IF('Intl Economy Base'!$C$105&gt;ROUND(((1-IntEconomyDiscount-IntEoncomyIncentive)*'Intl Economy Base'!C63),2),ROUND('Intl Economy Base'!$C$105*(1+International_Fuel_Surcharge),2),ROUND(((1-IntEconomyDiscount-IntEoncomyIncentive)*'Intl Economy Base'!C63)*(1+International_Fuel_Surcharge),2)))*(1+FedEx_Markup),2)</f>
        <v>170.35</v>
      </c>
      <c r="D66" s="307">
        <f>ROUND((IF('Intl Economy Base'!$D$105&gt;ROUND(((1-IntEconomyDiscount-IntEoncomyIncentive)*'Intl Economy Base'!D63),2),ROUND('Intl Economy Base'!$D$105*(1+International_Fuel_Surcharge),2),ROUND(((1-IntEconomyDiscount-IntEoncomyIncentive)*'Intl Economy Base'!D63)*(1+International_Fuel_Surcharge),2)))*(1+FedEx_Markup),2)</f>
        <v>111.02</v>
      </c>
      <c r="E66" s="307">
        <f>ROUND((IF('Intl Economy Base'!$E$105&gt;ROUND(((1-IntEconomyDiscount-IntEoncomyIncentive)*'Intl Economy Base'!E63),2),ROUND('Intl Economy Base'!$E$105*(1+International_Fuel_Surcharge),2),ROUND(((1-IntEconomyDiscount-IntEoncomyIncentive)*'Intl Economy Base'!E63)*(1+International_Fuel_Surcharge),2)))*(1+FedEx_Markup),2)</f>
        <v>218.11</v>
      </c>
      <c r="F66" s="307">
        <f>ROUND((IF('Intl Economy Base'!$F$105&gt;ROUND(((1-IntEconomyDiscount-IntEoncomyIncentive)*'Intl Economy Base'!F63),2),ROUND('Intl Economy Base'!$F$105*(1+International_Fuel_Surcharge),2),ROUND(((1-IntEconomyDiscount-IntEoncomyIncentive)*'Intl Economy Base'!F63)*(1+International_Fuel_Surcharge),2)))*(1+FedEx_Markup),2)</f>
        <v>430.76</v>
      </c>
      <c r="G66" s="307">
        <f>ROUND((IF('Intl Economy Base'!$G$105&gt;ROUND(((1-IntEconomyDiscount-IntEoncomyIncentive)*'Intl Economy Base'!G63),2),ROUND('Intl Economy Base'!$G$105*(1+International_Fuel_Surcharge),2),ROUND(((1-IntEconomyDiscount-IntEoncomyIncentive)*'Intl Economy Base'!G63)*(1+International_Fuel_Surcharge),2)))*(1+FedEx_Markup),2)</f>
        <v>222.61</v>
      </c>
      <c r="H66" s="307">
        <f>ROUND((IF('Intl Economy Base'!$H$105&gt;ROUND(((1-IntEconomyDiscount-IntEoncomyIncentive)*'Intl Economy Base'!H63),2),ROUND('Intl Economy Base'!$H$105*(1+International_Fuel_Surcharge),2),ROUND(((1-IntEconomyDiscount-IntEoncomyIncentive)*'Intl Economy Base'!H63)*(1+International_Fuel_Surcharge),2)))*(1+FedEx_Markup),2)</f>
        <v>236.99</v>
      </c>
      <c r="I66" s="307">
        <f>ROUND((IF('Intl Economy Base'!$I$105&gt;ROUND(((1-IntEconomyDiscount-IntEoncomyIncentive)*'Intl Economy Base'!I63),2),ROUND('Intl Economy Base'!$I$105*(1+International_Fuel_Surcharge),2),ROUND(((1-IntEconomyDiscount-IntEoncomyIncentive)*'Intl Economy Base'!I63)*(1+International_Fuel_Surcharge),2)))*(1+FedEx_Markup),2)</f>
        <v>265.81</v>
      </c>
      <c r="J66" s="307">
        <f>ROUND((IF('Intl Economy Base'!$J$105&gt;ROUND(((1-IntEconomyDiscount-IntEoncomyIncentive)*'Intl Economy Base'!J63),2),ROUND('Intl Economy Base'!$J$105*(1+International_Fuel_Surcharge),2),ROUND(((1-IntEconomyDiscount-IntEoncomyIncentive)*'Intl Economy Base'!J63)*(1+International_Fuel_Surcharge),2)))*(1+FedEx_Markup),2)</f>
        <v>161.59</v>
      </c>
      <c r="K66" s="307">
        <f>ROUND((IF('Intl Economy Base'!$K$105&gt;ROUND(((1-IntEconomyDiscount-IntEoncomyIncentive)*'Intl Economy Base'!K63),2),ROUND('Intl Economy Base'!$K$105*(1+International_Fuel_Surcharge),2),ROUND(((1-IntEconomyDiscount-IntEoncomyIncentive)*'Intl Economy Base'!K63)*(1+International_Fuel_Surcharge),2)))*(1+FedEx_Markup),2)</f>
        <v>371.62</v>
      </c>
      <c r="L66" s="307">
        <f>ROUND((IF('Intl Economy Base'!$L$105&gt;ROUND(((1-IntEconomyDiscount-IntEoncomyIncentive)*'Intl Economy Base'!L63),2),ROUND('Intl Economy Base'!$L$105*(1+International_Fuel_Surcharge),2),ROUND(((1-IntEconomyDiscount-IntEoncomyIncentive)*'Intl Economy Base'!L63)*(1+International_Fuel_Surcharge),2)))*(1+FedEx_Markup),2)</f>
        <v>301.23</v>
      </c>
      <c r="M66" s="307">
        <f>ROUND((IF('Intl Economy Base'!$M$105&gt;ROUND(((1-IntEconomyDiscount-IntEoncomyIncentive)*'Intl Economy Base'!M63),2),ROUND('Intl Economy Base'!$M$105*(1+International_Fuel_Surcharge),2),ROUND(((1-IntEconomyDiscount-IntEoncomyIncentive)*'Intl Economy Base'!M63)*(1+International_Fuel_Surcharge),2)))*(1+FedEx_Markup),2)</f>
        <v>373.87</v>
      </c>
      <c r="N66" s="307">
        <f>ROUND((IF('Intl Economy Base'!$N$105&gt;ROUND(((1-IntEconomyDiscount-IntEoncomyIncentive)*'Intl Economy Base'!N63),2),ROUND('Intl Economy Base'!$N$105*(1+International_Fuel_Surcharge),2),ROUND(((1-IntEconomyDiscount-IntEoncomyIncentive)*'Intl Economy Base'!N63)*(1+International_Fuel_Surcharge),2)))*(1+FedEx_Markup),2)</f>
        <v>369.12</v>
      </c>
      <c r="O66" s="307">
        <f>ROUND((IF('Intl Economy Base'!$O$105&gt;ROUND(((1-IntEconomyDiscount-IntEoncomyIncentive)*'Intl Economy Base'!O63),2),ROUND('Intl Economy Base'!$O$105*(1+International_Fuel_Surcharge),2),ROUND(((1-IntEconomyDiscount-IntEoncomyIncentive)*'Intl Economy Base'!O63)*(1+International_Fuel_Surcharge),2)))*(1+FedEx_Markup),2)</f>
        <v>288.58999999999997</v>
      </c>
      <c r="P66" s="307">
        <f>ROUND((IF('Intl Economy Base'!$P$105&gt;ROUND(((1-IntEconomyDiscount-IntEoncomyIncentive)*'Intl Economy Base'!P63),2),ROUND('Intl Economy Base'!$P$105*(1+International_Fuel_Surcharge),2),ROUND(((1-IntEconomyDiscount-IntEoncomyIncentive)*'Intl Economy Base'!P63)*(1+International_Fuel_Surcharge),2)))*(1+FedEx_Markup),2)</f>
        <v>287.39</v>
      </c>
      <c r="Q66" s="307">
        <f>ROUND((IF('Intl Economy Base'!$Q$105&gt;ROUND(((1-PuertoRicoDiscount)*'Intl Economy Base'!Q63),2),ROUND('Intl Economy Base'!$Q$105*(1+International_Fuel_Surcharge),2),ROUND(((1-PuertoRicoDiscount)*'Intl Economy Base'!Q63)*(1+International_Fuel_Surcharge),2)))*(1+FedEx_Markup),2)</f>
        <v>400.8</v>
      </c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2.75" customHeight="1">
      <c r="A67" s="306">
        <v>74</v>
      </c>
      <c r="B67" s="307">
        <f>ROUND((IF('Intl Economy Base'!$B$105&gt;ROUND(((1-IntEconomyDiscount-IntEoncomyIncentive)*'Intl Economy Base'!B64),2),ROUND('Intl Economy Base'!$B$105*(1+International_Fuel_Surcharge),2),ROUND(((1-IntEconomyDiscount-IntEoncomyIncentive)*'Intl Economy Base'!B64)*(1+International_Fuel_Surcharge),2)))*(1+FedEx_Markup),2)</f>
        <v>151.94</v>
      </c>
      <c r="C67" s="307">
        <f>ROUND((IF('Intl Economy Base'!$C$105&gt;ROUND(((1-IntEconomyDiscount-IntEoncomyIncentive)*'Intl Economy Base'!C64),2),ROUND('Intl Economy Base'!$C$105*(1+International_Fuel_Surcharge),2),ROUND(((1-IntEconomyDiscount-IntEoncomyIncentive)*'Intl Economy Base'!C64)*(1+International_Fuel_Surcharge),2)))*(1+FedEx_Markup),2)</f>
        <v>172.98</v>
      </c>
      <c r="D67" s="307">
        <f>ROUND((IF('Intl Economy Base'!$D$105&gt;ROUND(((1-IntEconomyDiscount-IntEoncomyIncentive)*'Intl Economy Base'!D64),2),ROUND('Intl Economy Base'!$D$105*(1+International_Fuel_Surcharge),2),ROUND(((1-IntEconomyDiscount-IntEoncomyIncentive)*'Intl Economy Base'!D64)*(1+International_Fuel_Surcharge),2)))*(1+FedEx_Markup),2)</f>
        <v>114.06</v>
      </c>
      <c r="E67" s="307">
        <f>ROUND((IF('Intl Economy Base'!$E$105&gt;ROUND(((1-IntEconomyDiscount-IntEoncomyIncentive)*'Intl Economy Base'!E64),2),ROUND('Intl Economy Base'!$E$105*(1+International_Fuel_Surcharge),2),ROUND(((1-IntEconomyDiscount-IntEoncomyIncentive)*'Intl Economy Base'!E64)*(1+International_Fuel_Surcharge),2)))*(1+FedEx_Markup),2)</f>
        <v>218.19</v>
      </c>
      <c r="F67" s="307">
        <f>ROUND((IF('Intl Economy Base'!$F$105&gt;ROUND(((1-IntEconomyDiscount-IntEoncomyIncentive)*'Intl Economy Base'!F64),2),ROUND('Intl Economy Base'!$F$105*(1+International_Fuel_Surcharge),2),ROUND(((1-IntEconomyDiscount-IntEoncomyIncentive)*'Intl Economy Base'!F64)*(1+International_Fuel_Surcharge),2)))*(1+FedEx_Markup),2)</f>
        <v>439.37</v>
      </c>
      <c r="G67" s="307">
        <f>ROUND((IF('Intl Economy Base'!$G$105&gt;ROUND(((1-IntEconomyDiscount-IntEoncomyIncentive)*'Intl Economy Base'!G64),2),ROUND('Intl Economy Base'!$G$105*(1+International_Fuel_Surcharge),2),ROUND(((1-IntEconomyDiscount-IntEoncomyIncentive)*'Intl Economy Base'!G64)*(1+International_Fuel_Surcharge),2)))*(1+FedEx_Markup),2)</f>
        <v>222.69</v>
      </c>
      <c r="H67" s="307">
        <f>ROUND((IF('Intl Economy Base'!$H$105&gt;ROUND(((1-IntEconomyDiscount-IntEoncomyIncentive)*'Intl Economy Base'!H64),2),ROUND('Intl Economy Base'!$H$105*(1+International_Fuel_Surcharge),2),ROUND(((1-IntEconomyDiscount-IntEoncomyIncentive)*'Intl Economy Base'!H64)*(1+International_Fuel_Surcharge),2)))*(1+FedEx_Markup),2)</f>
        <v>237.18</v>
      </c>
      <c r="I67" s="307">
        <f>ROUND((IF('Intl Economy Base'!$I$105&gt;ROUND(((1-IntEconomyDiscount-IntEoncomyIncentive)*'Intl Economy Base'!I64),2),ROUND('Intl Economy Base'!$I$105*(1+International_Fuel_Surcharge),2),ROUND(((1-IntEconomyDiscount-IntEoncomyIncentive)*'Intl Economy Base'!I64)*(1+International_Fuel_Surcharge),2)))*(1+FedEx_Markup),2)</f>
        <v>266.48</v>
      </c>
      <c r="J67" s="307">
        <f>ROUND((IF('Intl Economy Base'!$J$105&gt;ROUND(((1-IntEconomyDiscount-IntEoncomyIncentive)*'Intl Economy Base'!J64),2),ROUND('Intl Economy Base'!$J$105*(1+International_Fuel_Surcharge),2),ROUND(((1-IntEconomyDiscount-IntEoncomyIncentive)*'Intl Economy Base'!J64)*(1+International_Fuel_Surcharge),2)))*(1+FedEx_Markup),2)</f>
        <v>163.32</v>
      </c>
      <c r="K67" s="307">
        <f>ROUND((IF('Intl Economy Base'!$K$105&gt;ROUND(((1-IntEconomyDiscount-IntEoncomyIncentive)*'Intl Economy Base'!K64),2),ROUND('Intl Economy Base'!$K$105*(1+International_Fuel_Surcharge),2),ROUND(((1-IntEconomyDiscount-IntEoncomyIncentive)*'Intl Economy Base'!K64)*(1+International_Fuel_Surcharge),2)))*(1+FedEx_Markup),2)</f>
        <v>372.21</v>
      </c>
      <c r="L67" s="307">
        <f>ROUND((IF('Intl Economy Base'!$L$105&gt;ROUND(((1-IntEconomyDiscount-IntEoncomyIncentive)*'Intl Economy Base'!L64),2),ROUND('Intl Economy Base'!$L$105*(1+International_Fuel_Surcharge),2),ROUND(((1-IntEconomyDiscount-IntEoncomyIncentive)*'Intl Economy Base'!L64)*(1+International_Fuel_Surcharge),2)))*(1+FedEx_Markup),2)</f>
        <v>301.36</v>
      </c>
      <c r="M67" s="307">
        <f>ROUND((IF('Intl Economy Base'!$M$105&gt;ROUND(((1-IntEconomyDiscount-IntEoncomyIncentive)*'Intl Economy Base'!M64),2),ROUND('Intl Economy Base'!$M$105*(1+International_Fuel_Surcharge),2),ROUND(((1-IntEconomyDiscount-IntEoncomyIncentive)*'Intl Economy Base'!M64)*(1+International_Fuel_Surcharge),2)))*(1+FedEx_Markup),2)</f>
        <v>374.18</v>
      </c>
      <c r="N67" s="307">
        <f>ROUND((IF('Intl Economy Base'!$N$105&gt;ROUND(((1-IntEconomyDiscount-IntEoncomyIncentive)*'Intl Economy Base'!N64),2),ROUND('Intl Economy Base'!$N$105*(1+International_Fuel_Surcharge),2),ROUND(((1-IntEconomyDiscount-IntEoncomyIncentive)*'Intl Economy Base'!N64)*(1+International_Fuel_Surcharge),2)))*(1+FedEx_Markup),2)</f>
        <v>382.03</v>
      </c>
      <c r="O67" s="307">
        <f>ROUND((IF('Intl Economy Base'!$O$105&gt;ROUND(((1-IntEconomyDiscount-IntEoncomyIncentive)*'Intl Economy Base'!O64),2),ROUND('Intl Economy Base'!$O$105*(1+International_Fuel_Surcharge),2),ROUND(((1-IntEconomyDiscount-IntEoncomyIncentive)*'Intl Economy Base'!O64)*(1+International_Fuel_Surcharge),2)))*(1+FedEx_Markup),2)</f>
        <v>288.64999999999998</v>
      </c>
      <c r="P67" s="307">
        <f>ROUND((IF('Intl Economy Base'!$P$105&gt;ROUND(((1-IntEconomyDiscount-IntEoncomyIncentive)*'Intl Economy Base'!P64),2),ROUND('Intl Economy Base'!$P$105*(1+International_Fuel_Surcharge),2),ROUND(((1-IntEconomyDiscount-IntEoncomyIncentive)*'Intl Economy Base'!P64)*(1+International_Fuel_Surcharge),2)))*(1+FedEx_Markup),2)</f>
        <v>302.19</v>
      </c>
      <c r="Q67" s="307">
        <f>ROUND((IF('Intl Economy Base'!$Q$105&gt;ROUND(((1-PuertoRicoDiscount)*'Intl Economy Base'!Q64),2),ROUND('Intl Economy Base'!$Q$105*(1+International_Fuel_Surcharge),2),ROUND(((1-PuertoRicoDiscount)*'Intl Economy Base'!Q64)*(1+International_Fuel_Surcharge),2)))*(1+FedEx_Markup),2)</f>
        <v>413.86</v>
      </c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2.75" customHeight="1">
      <c r="A68" s="306">
        <v>76</v>
      </c>
      <c r="B68" s="307">
        <f>ROUND((IF('Intl Economy Base'!$B$105&gt;ROUND(((1-IntEconomyDiscount-IntEoncomyIncentive)*'Intl Economy Base'!B65),2),ROUND('Intl Economy Base'!$B$105*(1+International_Fuel_Surcharge),2),ROUND(((1-IntEconomyDiscount-IntEoncomyIncentive)*'Intl Economy Base'!B65)*(1+International_Fuel_Surcharge),2)))*(1+FedEx_Markup),2)</f>
        <v>156.53</v>
      </c>
      <c r="C68" s="307">
        <f>ROUND((IF('Intl Economy Base'!$C$105&gt;ROUND(((1-IntEconomyDiscount-IntEoncomyIncentive)*'Intl Economy Base'!C65),2),ROUND('Intl Economy Base'!$C$105*(1+International_Fuel_Surcharge),2),ROUND(((1-IntEconomyDiscount-IntEoncomyIncentive)*'Intl Economy Base'!C65)*(1+International_Fuel_Surcharge),2)))*(1+FedEx_Markup),2)</f>
        <v>174.6</v>
      </c>
      <c r="D68" s="307">
        <f>ROUND((IF('Intl Economy Base'!$D$105&gt;ROUND(((1-IntEconomyDiscount-IntEoncomyIncentive)*'Intl Economy Base'!D65),2),ROUND('Intl Economy Base'!$D$105*(1+International_Fuel_Surcharge),2),ROUND(((1-IntEconomyDiscount-IntEoncomyIncentive)*'Intl Economy Base'!D65)*(1+International_Fuel_Surcharge),2)))*(1+FedEx_Markup),2)</f>
        <v>116.07</v>
      </c>
      <c r="E68" s="307">
        <f>ROUND((IF('Intl Economy Base'!$E$105&gt;ROUND(((1-IntEconomyDiscount-IntEoncomyIncentive)*'Intl Economy Base'!E65),2),ROUND('Intl Economy Base'!$E$105*(1+International_Fuel_Surcharge),2),ROUND(((1-IntEconomyDiscount-IntEoncomyIncentive)*'Intl Economy Base'!E65)*(1+International_Fuel_Surcharge),2)))*(1+FedEx_Markup),2)</f>
        <v>218.27</v>
      </c>
      <c r="F68" s="307">
        <f>ROUND((IF('Intl Economy Base'!$F$105&gt;ROUND(((1-IntEconomyDiscount-IntEoncomyIncentive)*'Intl Economy Base'!F65),2),ROUND('Intl Economy Base'!$F$105*(1+International_Fuel_Surcharge),2),ROUND(((1-IntEconomyDiscount-IntEoncomyIncentive)*'Intl Economy Base'!F65)*(1+International_Fuel_Surcharge),2)))*(1+FedEx_Markup),2)</f>
        <v>440.23</v>
      </c>
      <c r="G68" s="307">
        <f>ROUND((IF('Intl Economy Base'!$G$105&gt;ROUND(((1-IntEconomyDiscount-IntEoncomyIncentive)*'Intl Economy Base'!G65),2),ROUND('Intl Economy Base'!$G$105*(1+International_Fuel_Surcharge),2),ROUND(((1-IntEconomyDiscount-IntEoncomyIncentive)*'Intl Economy Base'!G65)*(1+International_Fuel_Surcharge),2)))*(1+FedEx_Markup),2)</f>
        <v>222.76</v>
      </c>
      <c r="H68" s="307">
        <f>ROUND((IF('Intl Economy Base'!$H$105&gt;ROUND(((1-IntEconomyDiscount-IntEoncomyIncentive)*'Intl Economy Base'!H65),2),ROUND('Intl Economy Base'!$H$105*(1+International_Fuel_Surcharge),2),ROUND(((1-IntEconomyDiscount-IntEoncomyIncentive)*'Intl Economy Base'!H65)*(1+International_Fuel_Surcharge),2)))*(1+FedEx_Markup),2)</f>
        <v>237.26</v>
      </c>
      <c r="I68" s="307">
        <f>ROUND((IF('Intl Economy Base'!$I$105&gt;ROUND(((1-IntEconomyDiscount-IntEoncomyIncentive)*'Intl Economy Base'!I65),2),ROUND('Intl Economy Base'!$I$105*(1+International_Fuel_Surcharge),2),ROUND(((1-IntEconomyDiscount-IntEoncomyIncentive)*'Intl Economy Base'!I65)*(1+International_Fuel_Surcharge),2)))*(1+FedEx_Markup),2)</f>
        <v>279.5</v>
      </c>
      <c r="J68" s="307">
        <f>ROUND((IF('Intl Economy Base'!$J$105&gt;ROUND(((1-IntEconomyDiscount-IntEoncomyIncentive)*'Intl Economy Base'!J65),2),ROUND('Intl Economy Base'!$J$105*(1+International_Fuel_Surcharge),2),ROUND(((1-IntEconomyDiscount-IntEoncomyIncentive)*'Intl Economy Base'!J65)*(1+International_Fuel_Surcharge),2)))*(1+FedEx_Markup),2)</f>
        <v>166.22</v>
      </c>
      <c r="K68" s="307">
        <f>ROUND((IF('Intl Economy Base'!$K$105&gt;ROUND(((1-IntEconomyDiscount-IntEoncomyIncentive)*'Intl Economy Base'!K65),2),ROUND('Intl Economy Base'!$K$105*(1+International_Fuel_Surcharge),2),ROUND(((1-IntEconomyDiscount-IntEoncomyIncentive)*'Intl Economy Base'!K65)*(1+International_Fuel_Surcharge),2)))*(1+FedEx_Markup),2)</f>
        <v>373.45</v>
      </c>
      <c r="L68" s="307">
        <f>ROUND((IF('Intl Economy Base'!$L$105&gt;ROUND(((1-IntEconomyDiscount-IntEoncomyIncentive)*'Intl Economy Base'!L65),2),ROUND('Intl Economy Base'!$L$105*(1+International_Fuel_Surcharge),2),ROUND(((1-IntEconomyDiscount-IntEoncomyIncentive)*'Intl Economy Base'!L65)*(1+International_Fuel_Surcharge),2)))*(1+FedEx_Markup),2)</f>
        <v>301.43</v>
      </c>
      <c r="M68" s="307">
        <f>ROUND((IF('Intl Economy Base'!$M$105&gt;ROUND(((1-IntEconomyDiscount-IntEoncomyIncentive)*'Intl Economy Base'!M65),2),ROUND('Intl Economy Base'!$M$105*(1+International_Fuel_Surcharge),2),ROUND(((1-IntEconomyDiscount-IntEoncomyIncentive)*'Intl Economy Base'!M65)*(1+International_Fuel_Surcharge),2)))*(1+FedEx_Markup),2)</f>
        <v>374.24</v>
      </c>
      <c r="N68" s="307">
        <f>ROUND((IF('Intl Economy Base'!$N$105&gt;ROUND(((1-IntEconomyDiscount-IntEoncomyIncentive)*'Intl Economy Base'!N65),2),ROUND('Intl Economy Base'!$N$105*(1+International_Fuel_Surcharge),2),ROUND(((1-IntEconomyDiscount-IntEoncomyIncentive)*'Intl Economy Base'!N65)*(1+International_Fuel_Surcharge),2)))*(1+FedEx_Markup),2)</f>
        <v>383.33</v>
      </c>
      <c r="O68" s="307">
        <f>ROUND((IF('Intl Economy Base'!$O$105&gt;ROUND(((1-IntEconomyDiscount-IntEoncomyIncentive)*'Intl Economy Base'!O65),2),ROUND('Intl Economy Base'!$O$105*(1+International_Fuel_Surcharge),2),ROUND(((1-IntEconomyDiscount-IntEoncomyIncentive)*'Intl Economy Base'!O65)*(1+International_Fuel_Surcharge),2)))*(1+FedEx_Markup),2)</f>
        <v>288.70999999999998</v>
      </c>
      <c r="P68" s="307">
        <f>ROUND((IF('Intl Economy Base'!$P$105&gt;ROUND(((1-IntEconomyDiscount-IntEoncomyIncentive)*'Intl Economy Base'!P65),2),ROUND('Intl Economy Base'!$P$105*(1+International_Fuel_Surcharge),2),ROUND(((1-IntEconomyDiscount-IntEoncomyIncentive)*'Intl Economy Base'!P65)*(1+International_Fuel_Surcharge),2)))*(1+FedEx_Markup),2)</f>
        <v>303.67</v>
      </c>
      <c r="Q68" s="307">
        <f>ROUND((IF('Intl Economy Base'!$Q$105&gt;ROUND(((1-PuertoRicoDiscount)*'Intl Economy Base'!Q65),2),ROUND('Intl Economy Base'!$Q$105*(1+International_Fuel_Surcharge),2),ROUND(((1-PuertoRicoDiscount)*'Intl Economy Base'!Q65)*(1+International_Fuel_Surcharge),2)))*(1+FedEx_Markup),2)</f>
        <v>420.88</v>
      </c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2.75" customHeight="1">
      <c r="A69" s="306">
        <v>78</v>
      </c>
      <c r="B69" s="307">
        <f>ROUND((IF('Intl Economy Base'!$B$105&gt;ROUND(((1-IntEconomyDiscount-IntEoncomyIncentive)*'Intl Economy Base'!B66),2),ROUND('Intl Economy Base'!$B$105*(1+International_Fuel_Surcharge),2),ROUND(((1-IntEconomyDiscount-IntEoncomyIncentive)*'Intl Economy Base'!B66)*(1+International_Fuel_Surcharge),2)))*(1+FedEx_Markup),2)</f>
        <v>158.25</v>
      </c>
      <c r="C69" s="307">
        <f>ROUND((IF('Intl Economy Base'!$C$105&gt;ROUND(((1-IntEconomyDiscount-IntEoncomyIncentive)*'Intl Economy Base'!C66),2),ROUND('Intl Economy Base'!$C$105*(1+International_Fuel_Surcharge),2),ROUND(((1-IntEconomyDiscount-IntEoncomyIncentive)*'Intl Economy Base'!C66)*(1+International_Fuel_Surcharge),2)))*(1+FedEx_Markup),2)</f>
        <v>174.77</v>
      </c>
      <c r="D69" s="307">
        <f>ROUND((IF('Intl Economy Base'!$D$105&gt;ROUND(((1-IntEconomyDiscount-IntEoncomyIncentive)*'Intl Economy Base'!D66),2),ROUND('Intl Economy Base'!$D$105*(1+International_Fuel_Surcharge),2),ROUND(((1-IntEconomyDiscount-IntEoncomyIncentive)*'Intl Economy Base'!D66)*(1+International_Fuel_Surcharge),2)))*(1+FedEx_Markup),2)</f>
        <v>116.28</v>
      </c>
      <c r="E69" s="307">
        <f>ROUND((IF('Intl Economy Base'!$E$105&gt;ROUND(((1-IntEconomyDiscount-IntEoncomyIncentive)*'Intl Economy Base'!E66),2),ROUND('Intl Economy Base'!$E$105*(1+International_Fuel_Surcharge),2),ROUND(((1-IntEconomyDiscount-IntEoncomyIncentive)*'Intl Economy Base'!E66)*(1+International_Fuel_Surcharge),2)))*(1+FedEx_Markup),2)</f>
        <v>218.35</v>
      </c>
      <c r="F69" s="307">
        <f>ROUND((IF('Intl Economy Base'!$F$105&gt;ROUND(((1-IntEconomyDiscount-IntEoncomyIncentive)*'Intl Economy Base'!F66),2),ROUND('Intl Economy Base'!$F$105*(1+International_Fuel_Surcharge),2),ROUND(((1-IntEconomyDiscount-IntEoncomyIncentive)*'Intl Economy Base'!F66)*(1+International_Fuel_Surcharge),2)))*(1+FedEx_Markup),2)</f>
        <v>440.31</v>
      </c>
      <c r="G69" s="307">
        <f>ROUND((IF('Intl Economy Base'!$G$105&gt;ROUND(((1-IntEconomyDiscount-IntEoncomyIncentive)*'Intl Economy Base'!G66),2),ROUND('Intl Economy Base'!$G$105*(1+International_Fuel_Surcharge),2),ROUND(((1-IntEconomyDiscount-IntEoncomyIncentive)*'Intl Economy Base'!G66)*(1+International_Fuel_Surcharge),2)))*(1+FedEx_Markup),2)</f>
        <v>223.59</v>
      </c>
      <c r="H69" s="307">
        <f>ROUND((IF('Intl Economy Base'!$H$105&gt;ROUND(((1-IntEconomyDiscount-IntEoncomyIncentive)*'Intl Economy Base'!H66),2),ROUND('Intl Economy Base'!$H$105*(1+International_Fuel_Surcharge),2),ROUND(((1-IntEconomyDiscount-IntEoncomyIncentive)*'Intl Economy Base'!H66)*(1+International_Fuel_Surcharge),2)))*(1+FedEx_Markup),2)</f>
        <v>237.59</v>
      </c>
      <c r="I69" s="307">
        <f>ROUND((IF('Intl Economy Base'!$I$105&gt;ROUND(((1-IntEconomyDiscount-IntEoncomyIncentive)*'Intl Economy Base'!I66),2),ROUND('Intl Economy Base'!$I$105*(1+International_Fuel_Surcharge),2),ROUND(((1-IntEconomyDiscount-IntEoncomyIncentive)*'Intl Economy Base'!I66)*(1+International_Fuel_Surcharge),2)))*(1+FedEx_Markup),2)</f>
        <v>280.81</v>
      </c>
      <c r="J69" s="307">
        <f>ROUND((IF('Intl Economy Base'!$J$105&gt;ROUND(((1-IntEconomyDiscount-IntEoncomyIncentive)*'Intl Economy Base'!J66),2),ROUND('Intl Economy Base'!$J$105*(1+International_Fuel_Surcharge),2),ROUND(((1-IntEconomyDiscount-IntEoncomyIncentive)*'Intl Economy Base'!J66)*(1+International_Fuel_Surcharge),2)))*(1+FedEx_Markup),2)</f>
        <v>168.56</v>
      </c>
      <c r="K69" s="307">
        <f>ROUND((IF('Intl Economy Base'!$K$105&gt;ROUND(((1-IntEconomyDiscount-IntEoncomyIncentive)*'Intl Economy Base'!K66),2),ROUND('Intl Economy Base'!$K$105*(1+International_Fuel_Surcharge),2),ROUND(((1-IntEconomyDiscount-IntEoncomyIncentive)*'Intl Economy Base'!K66)*(1+International_Fuel_Surcharge),2)))*(1+FedEx_Markup),2)</f>
        <v>374.74</v>
      </c>
      <c r="L69" s="307">
        <f>ROUND((IF('Intl Economy Base'!$L$105&gt;ROUND(((1-IntEconomyDiscount-IntEoncomyIncentive)*'Intl Economy Base'!L66),2),ROUND('Intl Economy Base'!$L$105*(1+International_Fuel_Surcharge),2),ROUND(((1-IntEconomyDiscount-IntEoncomyIncentive)*'Intl Economy Base'!L66)*(1+International_Fuel_Surcharge),2)))*(1+FedEx_Markup),2)</f>
        <v>301.5</v>
      </c>
      <c r="M69" s="307">
        <f>ROUND((IF('Intl Economy Base'!$M$105&gt;ROUND(((1-IntEconomyDiscount-IntEoncomyIncentive)*'Intl Economy Base'!M66),2),ROUND('Intl Economy Base'!$M$105*(1+International_Fuel_Surcharge),2),ROUND(((1-IntEconomyDiscount-IntEoncomyIncentive)*'Intl Economy Base'!M66)*(1+International_Fuel_Surcharge),2)))*(1+FedEx_Markup),2)</f>
        <v>374.56</v>
      </c>
      <c r="N69" s="307">
        <f>ROUND((IF('Intl Economy Base'!$N$105&gt;ROUND(((1-IntEconomyDiscount-IntEoncomyIncentive)*'Intl Economy Base'!N66),2),ROUND('Intl Economy Base'!$N$105*(1+International_Fuel_Surcharge),2),ROUND(((1-IntEconomyDiscount-IntEoncomyIncentive)*'Intl Economy Base'!N66)*(1+International_Fuel_Surcharge),2)))*(1+FedEx_Markup),2)</f>
        <v>383.47</v>
      </c>
      <c r="O69" s="307">
        <f>ROUND((IF('Intl Economy Base'!$O$105&gt;ROUND(((1-IntEconomyDiscount-IntEoncomyIncentive)*'Intl Economy Base'!O66),2),ROUND('Intl Economy Base'!$O$105*(1+International_Fuel_Surcharge),2),ROUND(((1-IntEconomyDiscount-IntEoncomyIncentive)*'Intl Economy Base'!O66)*(1+International_Fuel_Surcharge),2)))*(1+FedEx_Markup),2)</f>
        <v>288.77</v>
      </c>
      <c r="P69" s="307">
        <f>ROUND((IF('Intl Economy Base'!$P$105&gt;ROUND(((1-IntEconomyDiscount-IntEoncomyIncentive)*'Intl Economy Base'!P66),2),ROUND('Intl Economy Base'!$P$105*(1+International_Fuel_Surcharge),2),ROUND(((1-IntEconomyDiscount-IntEoncomyIncentive)*'Intl Economy Base'!P66)*(1+International_Fuel_Surcharge),2)))*(1+FedEx_Markup),2)</f>
        <v>307.14</v>
      </c>
      <c r="Q69" s="307">
        <f>ROUND((IF('Intl Economy Base'!$Q$105&gt;ROUND(((1-PuertoRicoDiscount)*'Intl Economy Base'!Q66),2),ROUND('Intl Economy Base'!$Q$105*(1+International_Fuel_Surcharge),2),ROUND(((1-PuertoRicoDiscount)*'Intl Economy Base'!Q66)*(1+International_Fuel_Surcharge),2)))*(1+FedEx_Markup),2)</f>
        <v>421.16</v>
      </c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2.75" customHeight="1">
      <c r="A70" s="306">
        <v>80</v>
      </c>
      <c r="B70" s="307">
        <f>ROUND((IF('Intl Economy Base'!$B$105&gt;ROUND(((1-IntEconomyDiscount-IntEoncomyIncentive)*'Intl Economy Base'!B67),2),ROUND('Intl Economy Base'!$B$105*(1+International_Fuel_Surcharge),2),ROUND(((1-IntEconomyDiscount-IntEoncomyIncentive)*'Intl Economy Base'!B67)*(1+International_Fuel_Surcharge),2)))*(1+FedEx_Markup),2)</f>
        <v>159.94999999999999</v>
      </c>
      <c r="C70" s="307">
        <f>ROUND((IF('Intl Economy Base'!$C$105&gt;ROUND(((1-IntEconomyDiscount-IntEoncomyIncentive)*'Intl Economy Base'!C67),2),ROUND('Intl Economy Base'!$C$105*(1+International_Fuel_Surcharge),2),ROUND(((1-IntEconomyDiscount-IntEoncomyIncentive)*'Intl Economy Base'!C67)*(1+International_Fuel_Surcharge),2)))*(1+FedEx_Markup),2)</f>
        <v>174.96</v>
      </c>
      <c r="D70" s="307">
        <f>ROUND((IF('Intl Economy Base'!$D$105&gt;ROUND(((1-IntEconomyDiscount-IntEoncomyIncentive)*'Intl Economy Base'!D67),2),ROUND('Intl Economy Base'!$D$105*(1+International_Fuel_Surcharge),2),ROUND(((1-IntEconomyDiscount-IntEoncomyIncentive)*'Intl Economy Base'!D67)*(1+International_Fuel_Surcharge),2)))*(1+FedEx_Markup),2)</f>
        <v>116.41</v>
      </c>
      <c r="E70" s="307">
        <f>ROUND((IF('Intl Economy Base'!$E$105&gt;ROUND(((1-IntEconomyDiscount-IntEoncomyIncentive)*'Intl Economy Base'!E67),2),ROUND('Intl Economy Base'!$E$105*(1+International_Fuel_Surcharge),2),ROUND(((1-IntEconomyDiscount-IntEoncomyIncentive)*'Intl Economy Base'!E67)*(1+International_Fuel_Surcharge),2)))*(1+FedEx_Markup),2)</f>
        <v>218.47</v>
      </c>
      <c r="F70" s="307">
        <f>ROUND((IF('Intl Economy Base'!$F$105&gt;ROUND(((1-IntEconomyDiscount-IntEoncomyIncentive)*'Intl Economy Base'!F67),2),ROUND('Intl Economy Base'!$F$105*(1+International_Fuel_Surcharge),2),ROUND(((1-IntEconomyDiscount-IntEoncomyIncentive)*'Intl Economy Base'!F67)*(1+International_Fuel_Surcharge),2)))*(1+FedEx_Markup),2)</f>
        <v>440.37</v>
      </c>
      <c r="G70" s="307">
        <f>ROUND((IF('Intl Economy Base'!$G$105&gt;ROUND(((1-IntEconomyDiscount-IntEoncomyIncentive)*'Intl Economy Base'!G67),2),ROUND('Intl Economy Base'!$G$105*(1+International_Fuel_Surcharge),2),ROUND(((1-IntEconomyDiscount-IntEoncomyIncentive)*'Intl Economy Base'!G67)*(1+International_Fuel_Surcharge),2)))*(1+FedEx_Markup),2)</f>
        <v>240.32</v>
      </c>
      <c r="H70" s="307">
        <f>ROUND((IF('Intl Economy Base'!$H$105&gt;ROUND(((1-IntEconomyDiscount-IntEoncomyIncentive)*'Intl Economy Base'!H67),2),ROUND('Intl Economy Base'!$H$105*(1+International_Fuel_Surcharge),2),ROUND(((1-IntEconomyDiscount-IntEoncomyIncentive)*'Intl Economy Base'!H67)*(1+International_Fuel_Surcharge),2)))*(1+FedEx_Markup),2)</f>
        <v>244.21</v>
      </c>
      <c r="I70" s="307">
        <f>ROUND((IF('Intl Economy Base'!$I$105&gt;ROUND(((1-IntEconomyDiscount-IntEoncomyIncentive)*'Intl Economy Base'!I67),2),ROUND('Intl Economy Base'!$I$105*(1+International_Fuel_Surcharge),2),ROUND(((1-IntEconomyDiscount-IntEoncomyIncentive)*'Intl Economy Base'!I67)*(1+International_Fuel_Surcharge),2)))*(1+FedEx_Markup),2)</f>
        <v>282.95999999999998</v>
      </c>
      <c r="J70" s="307">
        <f>ROUND((IF('Intl Economy Base'!$J$105&gt;ROUND(((1-IntEconomyDiscount-IntEoncomyIncentive)*'Intl Economy Base'!J67),2),ROUND('Intl Economy Base'!$J$105*(1+International_Fuel_Surcharge),2),ROUND(((1-IntEconomyDiscount-IntEoncomyIncentive)*'Intl Economy Base'!J67)*(1+International_Fuel_Surcharge),2)))*(1+FedEx_Markup),2)</f>
        <v>168.79</v>
      </c>
      <c r="K70" s="307">
        <f>ROUND((IF('Intl Economy Base'!$K$105&gt;ROUND(((1-IntEconomyDiscount-IntEoncomyIncentive)*'Intl Economy Base'!K67),2),ROUND('Intl Economy Base'!$K$105*(1+International_Fuel_Surcharge),2),ROUND(((1-IntEconomyDiscount-IntEoncomyIncentive)*'Intl Economy Base'!K67)*(1+International_Fuel_Surcharge),2)))*(1+FedEx_Markup),2)</f>
        <v>376.04</v>
      </c>
      <c r="L70" s="307">
        <f>ROUND((IF('Intl Economy Base'!$L$105&gt;ROUND(((1-IntEconomyDiscount-IntEoncomyIncentive)*'Intl Economy Base'!L67),2),ROUND('Intl Economy Base'!$L$105*(1+International_Fuel_Surcharge),2),ROUND(((1-IntEconomyDiscount-IntEoncomyIncentive)*'Intl Economy Base'!L67)*(1+International_Fuel_Surcharge),2)))*(1+FedEx_Markup),2)</f>
        <v>301.58</v>
      </c>
      <c r="M70" s="307">
        <f>ROUND((IF('Intl Economy Base'!$M$105&gt;ROUND(((1-IntEconomyDiscount-IntEoncomyIncentive)*'Intl Economy Base'!M67),2),ROUND('Intl Economy Base'!$M$105*(1+International_Fuel_Surcharge),2),ROUND(((1-IntEconomyDiscount-IntEoncomyIncentive)*'Intl Economy Base'!M67)*(1+International_Fuel_Surcharge),2)))*(1+FedEx_Markup),2)</f>
        <v>380.18</v>
      </c>
      <c r="N70" s="307">
        <f>ROUND((IF('Intl Economy Base'!$N$105&gt;ROUND(((1-IntEconomyDiscount-IntEoncomyIncentive)*'Intl Economy Base'!N67),2),ROUND('Intl Economy Base'!$N$105*(1+International_Fuel_Surcharge),2),ROUND(((1-IntEconomyDiscount-IntEoncomyIncentive)*'Intl Economy Base'!N67)*(1+International_Fuel_Surcharge),2)))*(1+FedEx_Markup),2)</f>
        <v>384.35</v>
      </c>
      <c r="O70" s="307">
        <f>ROUND((IF('Intl Economy Base'!$O$105&gt;ROUND(((1-IntEconomyDiscount-IntEoncomyIncentive)*'Intl Economy Base'!O67),2),ROUND('Intl Economy Base'!$O$105*(1+International_Fuel_Surcharge),2),ROUND(((1-IntEconomyDiscount-IntEoncomyIncentive)*'Intl Economy Base'!O67)*(1+International_Fuel_Surcharge),2)))*(1+FedEx_Markup),2)</f>
        <v>288.82</v>
      </c>
      <c r="P70" s="307">
        <f>ROUND((IF('Intl Economy Base'!$P$105&gt;ROUND(((1-IntEconomyDiscount-IntEoncomyIncentive)*'Intl Economy Base'!P67),2),ROUND('Intl Economy Base'!$P$105*(1+International_Fuel_Surcharge),2),ROUND(((1-IntEconomyDiscount-IntEoncomyIncentive)*'Intl Economy Base'!P67)*(1+International_Fuel_Surcharge),2)))*(1+FedEx_Markup),2)</f>
        <v>307.49</v>
      </c>
      <c r="Q70" s="307">
        <f>ROUND((IF('Intl Economy Base'!$Q$105&gt;ROUND(((1-PuertoRicoDiscount)*'Intl Economy Base'!Q67),2),ROUND('Intl Economy Base'!$Q$105*(1+International_Fuel_Surcharge),2),ROUND(((1-PuertoRicoDiscount)*'Intl Economy Base'!Q67)*(1+International_Fuel_Surcharge),2)))*(1+FedEx_Markup),2)</f>
        <v>428.51</v>
      </c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2.75" customHeight="1">
      <c r="A71" s="306">
        <v>82</v>
      </c>
      <c r="B71" s="307">
        <f>ROUND((IF('Intl Economy Base'!$B$105&gt;ROUND(((1-IntEconomyDiscount-IntEoncomyIncentive)*'Intl Economy Base'!B68),2),ROUND('Intl Economy Base'!$B$105*(1+International_Fuel_Surcharge),2),ROUND(((1-IntEconomyDiscount-IntEoncomyIncentive)*'Intl Economy Base'!B68)*(1+International_Fuel_Surcharge),2)))*(1+FedEx_Markup),2)</f>
        <v>160.16999999999999</v>
      </c>
      <c r="C71" s="307">
        <f>ROUND((IF('Intl Economy Base'!$C$105&gt;ROUND(((1-IntEconomyDiscount-IntEoncomyIncentive)*'Intl Economy Base'!C68),2),ROUND('Intl Economy Base'!$C$105*(1+International_Fuel_Surcharge),2),ROUND(((1-IntEconomyDiscount-IntEoncomyIncentive)*'Intl Economy Base'!C68)*(1+International_Fuel_Surcharge),2)))*(1+FedEx_Markup),2)</f>
        <v>176.47</v>
      </c>
      <c r="D71" s="307">
        <f>ROUND((IF('Intl Economy Base'!$D$105&gt;ROUND(((1-IntEconomyDiscount-IntEoncomyIncentive)*'Intl Economy Base'!D68),2),ROUND('Intl Economy Base'!$D$105*(1+International_Fuel_Surcharge),2),ROUND(((1-IntEconomyDiscount-IntEoncomyIncentive)*'Intl Economy Base'!D68)*(1+International_Fuel_Surcharge),2)))*(1+FedEx_Markup),2)</f>
        <v>119.21</v>
      </c>
      <c r="E71" s="307">
        <f>ROUND((IF('Intl Economy Base'!$E$105&gt;ROUND(((1-IntEconomyDiscount-IntEoncomyIncentive)*'Intl Economy Base'!E68),2),ROUND('Intl Economy Base'!$E$105*(1+International_Fuel_Surcharge),2),ROUND(((1-IntEconomyDiscount-IntEoncomyIncentive)*'Intl Economy Base'!E68)*(1+International_Fuel_Surcharge),2)))*(1+FedEx_Markup),2)</f>
        <v>218.56</v>
      </c>
      <c r="F71" s="307">
        <f>ROUND((IF('Intl Economy Base'!$F$105&gt;ROUND(((1-IntEconomyDiscount-IntEoncomyIncentive)*'Intl Economy Base'!F68),2),ROUND('Intl Economy Base'!$F$105*(1+International_Fuel_Surcharge),2),ROUND(((1-IntEconomyDiscount-IntEoncomyIncentive)*'Intl Economy Base'!F68)*(1+International_Fuel_Surcharge),2)))*(1+FedEx_Markup),2)</f>
        <v>440.43</v>
      </c>
      <c r="G71" s="307">
        <f>ROUND((IF('Intl Economy Base'!$G$105&gt;ROUND(((1-IntEconomyDiscount-IntEoncomyIncentive)*'Intl Economy Base'!G68),2),ROUND('Intl Economy Base'!$G$105*(1+International_Fuel_Surcharge),2),ROUND(((1-IntEconomyDiscount-IntEoncomyIncentive)*'Intl Economy Base'!G68)*(1+International_Fuel_Surcharge),2)))*(1+FedEx_Markup),2)</f>
        <v>241.99</v>
      </c>
      <c r="H71" s="307">
        <f>ROUND((IF('Intl Economy Base'!$H$105&gt;ROUND(((1-IntEconomyDiscount-IntEoncomyIncentive)*'Intl Economy Base'!H68),2),ROUND('Intl Economy Base'!$H$105*(1+International_Fuel_Surcharge),2),ROUND(((1-IntEconomyDiscount-IntEoncomyIncentive)*'Intl Economy Base'!H68)*(1+International_Fuel_Surcharge),2)))*(1+FedEx_Markup),2)</f>
        <v>246.02</v>
      </c>
      <c r="I71" s="307">
        <f>ROUND((IF('Intl Economy Base'!$I$105&gt;ROUND(((1-IntEconomyDiscount-IntEoncomyIncentive)*'Intl Economy Base'!I68),2),ROUND('Intl Economy Base'!$I$105*(1+International_Fuel_Surcharge),2),ROUND(((1-IntEconomyDiscount-IntEoncomyIncentive)*'Intl Economy Base'!I68)*(1+International_Fuel_Surcharge),2)))*(1+FedEx_Markup),2)</f>
        <v>289.93</v>
      </c>
      <c r="J71" s="307">
        <f>ROUND((IF('Intl Economy Base'!$J$105&gt;ROUND(((1-IntEconomyDiscount-IntEoncomyIncentive)*'Intl Economy Base'!J68),2),ROUND('Intl Economy Base'!$J$105*(1+International_Fuel_Surcharge),2),ROUND(((1-IntEconomyDiscount-IntEoncomyIncentive)*'Intl Economy Base'!J68)*(1+International_Fuel_Surcharge),2)))*(1+FedEx_Markup),2)</f>
        <v>171.8</v>
      </c>
      <c r="K71" s="307">
        <f>ROUND((IF('Intl Economy Base'!$K$105&gt;ROUND(((1-IntEconomyDiscount-IntEoncomyIncentive)*'Intl Economy Base'!K68),2),ROUND('Intl Economy Base'!$K$105*(1+International_Fuel_Surcharge),2),ROUND(((1-IntEconomyDiscount-IntEoncomyIncentive)*'Intl Economy Base'!K68)*(1+International_Fuel_Surcharge),2)))*(1+FedEx_Markup),2)</f>
        <v>377.34</v>
      </c>
      <c r="L71" s="307">
        <f>ROUND((IF('Intl Economy Base'!$L$105&gt;ROUND(((1-IntEconomyDiscount-IntEoncomyIncentive)*'Intl Economy Base'!L68),2),ROUND('Intl Economy Base'!$L$105*(1+International_Fuel_Surcharge),2),ROUND(((1-IntEconomyDiscount-IntEoncomyIncentive)*'Intl Economy Base'!L68)*(1+International_Fuel_Surcharge),2)))*(1+FedEx_Markup),2)</f>
        <v>302.06</v>
      </c>
      <c r="M71" s="307">
        <f>ROUND((IF('Intl Economy Base'!$M$105&gt;ROUND(((1-IntEconomyDiscount-IntEoncomyIncentive)*'Intl Economy Base'!M68),2),ROUND('Intl Economy Base'!$M$105*(1+International_Fuel_Surcharge),2),ROUND(((1-IntEconomyDiscount-IntEoncomyIncentive)*'Intl Economy Base'!M68)*(1+International_Fuel_Surcharge),2)))*(1+FedEx_Markup),2)</f>
        <v>382.09</v>
      </c>
      <c r="N71" s="307">
        <f>ROUND((IF('Intl Economy Base'!$N$105&gt;ROUND(((1-IntEconomyDiscount-IntEoncomyIncentive)*'Intl Economy Base'!N68),2),ROUND('Intl Economy Base'!$N$105*(1+International_Fuel_Surcharge),2),ROUND(((1-IntEconomyDiscount-IntEoncomyIncentive)*'Intl Economy Base'!N68)*(1+International_Fuel_Surcharge),2)))*(1+FedEx_Markup),2)</f>
        <v>402.06</v>
      </c>
      <c r="O71" s="307">
        <f>ROUND((IF('Intl Economy Base'!$O$105&gt;ROUND(((1-IntEconomyDiscount-IntEoncomyIncentive)*'Intl Economy Base'!O68),2),ROUND('Intl Economy Base'!$O$105*(1+International_Fuel_Surcharge),2),ROUND(((1-IntEconomyDiscount-IntEoncomyIncentive)*'Intl Economy Base'!O68)*(1+International_Fuel_Surcharge),2)))*(1+FedEx_Markup),2)</f>
        <v>288.88</v>
      </c>
      <c r="P71" s="307">
        <f>ROUND((IF('Intl Economy Base'!$P$105&gt;ROUND(((1-IntEconomyDiscount-IntEoncomyIncentive)*'Intl Economy Base'!P68),2),ROUND('Intl Economy Base'!$P$105*(1+International_Fuel_Surcharge),2),ROUND(((1-IntEconomyDiscount-IntEoncomyIncentive)*'Intl Economy Base'!P68)*(1+International_Fuel_Surcharge),2)))*(1+FedEx_Markup),2)</f>
        <v>307.83999999999997</v>
      </c>
      <c r="Q71" s="307">
        <f>ROUND((IF('Intl Economy Base'!$Q$105&gt;ROUND(((1-PuertoRicoDiscount)*'Intl Economy Base'!Q68),2),ROUND('Intl Economy Base'!$Q$105*(1+International_Fuel_Surcharge),2),ROUND(((1-PuertoRicoDiscount)*'Intl Economy Base'!Q68)*(1+International_Fuel_Surcharge),2)))*(1+FedEx_Markup),2)</f>
        <v>435.69</v>
      </c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2.75" customHeight="1">
      <c r="A72" s="306">
        <v>84</v>
      </c>
      <c r="B72" s="307">
        <f>ROUND((IF('Intl Economy Base'!$B$105&gt;ROUND(((1-IntEconomyDiscount-IntEoncomyIncentive)*'Intl Economy Base'!B69),2),ROUND('Intl Economy Base'!$B$105*(1+International_Fuel_Surcharge),2),ROUND(((1-IntEconomyDiscount-IntEoncomyIncentive)*'Intl Economy Base'!B69)*(1+International_Fuel_Surcharge),2)))*(1+FedEx_Markup),2)</f>
        <v>160.26</v>
      </c>
      <c r="C72" s="307">
        <f>ROUND((IF('Intl Economy Base'!$C$105&gt;ROUND(((1-IntEconomyDiscount-IntEoncomyIncentive)*'Intl Economy Base'!C69),2),ROUND('Intl Economy Base'!$C$105*(1+International_Fuel_Surcharge),2),ROUND(((1-IntEconomyDiscount-IntEoncomyIncentive)*'Intl Economy Base'!C69)*(1+International_Fuel_Surcharge),2)))*(1+FedEx_Markup),2)</f>
        <v>179.39</v>
      </c>
      <c r="D72" s="307">
        <f>ROUND((IF('Intl Economy Base'!$D$105&gt;ROUND(((1-IntEconomyDiscount-IntEoncomyIncentive)*'Intl Economy Base'!D69),2),ROUND('Intl Economy Base'!$D$105*(1+International_Fuel_Surcharge),2),ROUND(((1-IntEconomyDiscount-IntEoncomyIncentive)*'Intl Economy Base'!D69)*(1+International_Fuel_Surcharge),2)))*(1+FedEx_Markup),2)</f>
        <v>119.75</v>
      </c>
      <c r="E72" s="307">
        <f>ROUND((IF('Intl Economy Base'!$E$105&gt;ROUND(((1-IntEconomyDiscount-IntEoncomyIncentive)*'Intl Economy Base'!E69),2),ROUND('Intl Economy Base'!$E$105*(1+International_Fuel_Surcharge),2),ROUND(((1-IntEconomyDiscount-IntEoncomyIncentive)*'Intl Economy Base'!E69)*(1+International_Fuel_Surcharge),2)))*(1+FedEx_Markup),2)</f>
        <v>219.01</v>
      </c>
      <c r="F72" s="307">
        <f>ROUND((IF('Intl Economy Base'!$F$105&gt;ROUND(((1-IntEconomyDiscount-IntEoncomyIncentive)*'Intl Economy Base'!F69),2),ROUND('Intl Economy Base'!$F$105*(1+International_Fuel_Surcharge),2),ROUND(((1-IntEconomyDiscount-IntEoncomyIncentive)*'Intl Economy Base'!F69)*(1+International_Fuel_Surcharge),2)))*(1+FedEx_Markup),2)</f>
        <v>440.48</v>
      </c>
      <c r="G72" s="307">
        <f>ROUND((IF('Intl Economy Base'!$G$105&gt;ROUND(((1-IntEconomyDiscount-IntEoncomyIncentive)*'Intl Economy Base'!G69),2),ROUND('Intl Economy Base'!$G$105*(1+International_Fuel_Surcharge),2),ROUND(((1-IntEconomyDiscount-IntEoncomyIncentive)*'Intl Economy Base'!G69)*(1+International_Fuel_Surcharge),2)))*(1+FedEx_Markup),2)</f>
        <v>242.17</v>
      </c>
      <c r="H72" s="307">
        <f>ROUND((IF('Intl Economy Base'!$H$105&gt;ROUND(((1-IntEconomyDiscount-IntEoncomyIncentive)*'Intl Economy Base'!H69),2),ROUND('Intl Economy Base'!$H$105*(1+International_Fuel_Surcharge),2),ROUND(((1-IntEconomyDiscount-IntEoncomyIncentive)*'Intl Economy Base'!H69)*(1+International_Fuel_Surcharge),2)))*(1+FedEx_Markup),2)</f>
        <v>247.81</v>
      </c>
      <c r="I72" s="307">
        <f>ROUND((IF('Intl Economy Base'!$I$105&gt;ROUND(((1-IntEconomyDiscount-IntEoncomyIncentive)*'Intl Economy Base'!I69),2),ROUND('Intl Economy Base'!$I$105*(1+International_Fuel_Surcharge),2),ROUND(((1-IntEconomyDiscount-IntEoncomyIncentive)*'Intl Economy Base'!I69)*(1+International_Fuel_Surcharge),2)))*(1+FedEx_Markup),2)</f>
        <v>290.63</v>
      </c>
      <c r="J72" s="307">
        <f>ROUND((IF('Intl Economy Base'!$J$105&gt;ROUND(((1-IntEconomyDiscount-IntEoncomyIncentive)*'Intl Economy Base'!J69),2),ROUND('Intl Economy Base'!$J$105*(1+International_Fuel_Surcharge),2),ROUND(((1-IntEconomyDiscount-IntEoncomyIncentive)*'Intl Economy Base'!J69)*(1+International_Fuel_Surcharge),2)))*(1+FedEx_Markup),2)</f>
        <v>172.1</v>
      </c>
      <c r="K72" s="307">
        <f>ROUND((IF('Intl Economy Base'!$K$105&gt;ROUND(((1-IntEconomyDiscount-IntEoncomyIncentive)*'Intl Economy Base'!K69),2),ROUND('Intl Economy Base'!$K$105*(1+International_Fuel_Surcharge),2),ROUND(((1-IntEconomyDiscount-IntEoncomyIncentive)*'Intl Economy Base'!K69)*(1+International_Fuel_Surcharge),2)))*(1+FedEx_Markup),2)</f>
        <v>378.64</v>
      </c>
      <c r="L72" s="307">
        <f>ROUND((IF('Intl Economy Base'!$L$105&gt;ROUND(((1-IntEconomyDiscount-IntEoncomyIncentive)*'Intl Economy Base'!L69),2),ROUND('Intl Economy Base'!$L$105*(1+International_Fuel_Surcharge),2),ROUND(((1-IntEconomyDiscount-IntEoncomyIncentive)*'Intl Economy Base'!L69)*(1+International_Fuel_Surcharge),2)))*(1+FedEx_Markup),2)</f>
        <v>311.62</v>
      </c>
      <c r="M72" s="307">
        <f>ROUND((IF('Intl Economy Base'!$M$105&gt;ROUND(((1-IntEconomyDiscount-IntEoncomyIncentive)*'Intl Economy Base'!M69),2),ROUND('Intl Economy Base'!$M$105*(1+International_Fuel_Surcharge),2),ROUND(((1-IntEconomyDiscount-IntEoncomyIncentive)*'Intl Economy Base'!M69)*(1+International_Fuel_Surcharge),2)))*(1+FedEx_Markup),2)</f>
        <v>383.09</v>
      </c>
      <c r="N72" s="307">
        <f>ROUND((IF('Intl Economy Base'!$N$105&gt;ROUND(((1-IntEconomyDiscount-IntEoncomyIncentive)*'Intl Economy Base'!N69),2),ROUND('Intl Economy Base'!$N$105*(1+International_Fuel_Surcharge),2),ROUND(((1-IntEconomyDiscount-IntEoncomyIncentive)*'Intl Economy Base'!N69)*(1+International_Fuel_Surcharge),2)))*(1+FedEx_Markup),2)</f>
        <v>403.83</v>
      </c>
      <c r="O72" s="307">
        <f>ROUND((IF('Intl Economy Base'!$O$105&gt;ROUND(((1-IntEconomyDiscount-IntEoncomyIncentive)*'Intl Economy Base'!O69),2),ROUND('Intl Economy Base'!$O$105*(1+International_Fuel_Surcharge),2),ROUND(((1-IntEconomyDiscount-IntEoncomyIncentive)*'Intl Economy Base'!O69)*(1+International_Fuel_Surcharge),2)))*(1+FedEx_Markup),2)</f>
        <v>288.94</v>
      </c>
      <c r="P72" s="307">
        <f>ROUND((IF('Intl Economy Base'!$P$105&gt;ROUND(((1-IntEconomyDiscount-IntEoncomyIncentive)*'Intl Economy Base'!P69),2),ROUND('Intl Economy Base'!$P$105*(1+International_Fuel_Surcharge),2),ROUND(((1-IntEconomyDiscount-IntEoncomyIncentive)*'Intl Economy Base'!P69)*(1+International_Fuel_Surcharge),2)))*(1+FedEx_Markup),2)</f>
        <v>307.95999999999998</v>
      </c>
      <c r="Q72" s="307">
        <f>ROUND((IF('Intl Economy Base'!$Q$105&gt;ROUND(((1-PuertoRicoDiscount)*'Intl Economy Base'!Q69),2),ROUND('Intl Economy Base'!$Q$105*(1+International_Fuel_Surcharge),2),ROUND(((1-PuertoRicoDiscount)*'Intl Economy Base'!Q69)*(1+International_Fuel_Surcharge),2)))*(1+FedEx_Markup),2)</f>
        <v>437.39</v>
      </c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2.75" customHeight="1">
      <c r="A73" s="306">
        <v>86</v>
      </c>
      <c r="B73" s="307">
        <f>ROUND((IF('Intl Economy Base'!$B$105&gt;ROUND(((1-IntEconomyDiscount-IntEoncomyIncentive)*'Intl Economy Base'!B70),2),ROUND('Intl Economy Base'!$B$105*(1+International_Fuel_Surcharge),2),ROUND(((1-IntEconomyDiscount-IntEoncomyIncentive)*'Intl Economy Base'!B70)*(1+International_Fuel_Surcharge),2)))*(1+FedEx_Markup),2)</f>
        <v>161.97999999999999</v>
      </c>
      <c r="C73" s="307">
        <f>ROUND((IF('Intl Economy Base'!$C$105&gt;ROUND(((1-IntEconomyDiscount-IntEoncomyIncentive)*'Intl Economy Base'!C70),2),ROUND('Intl Economy Base'!$C$105*(1+International_Fuel_Surcharge),2),ROUND(((1-IntEconomyDiscount-IntEoncomyIncentive)*'Intl Economy Base'!C70)*(1+International_Fuel_Surcharge),2)))*(1+FedEx_Markup),2)</f>
        <v>179.69</v>
      </c>
      <c r="D73" s="307">
        <f>ROUND((IF('Intl Economy Base'!$D$105&gt;ROUND(((1-IntEconomyDiscount-IntEoncomyIncentive)*'Intl Economy Base'!D70),2),ROUND('Intl Economy Base'!$D$105*(1+International_Fuel_Surcharge),2),ROUND(((1-IntEconomyDiscount-IntEoncomyIncentive)*'Intl Economy Base'!D70)*(1+International_Fuel_Surcharge),2)))*(1+FedEx_Markup),2)</f>
        <v>120.08</v>
      </c>
      <c r="E73" s="307">
        <f>ROUND((IF('Intl Economy Base'!$E$105&gt;ROUND(((1-IntEconomyDiscount-IntEoncomyIncentive)*'Intl Economy Base'!E70),2),ROUND('Intl Economy Base'!$E$105*(1+International_Fuel_Surcharge),2),ROUND(((1-IntEconomyDiscount-IntEoncomyIncentive)*'Intl Economy Base'!E70)*(1+International_Fuel_Surcharge),2)))*(1+FedEx_Markup),2)</f>
        <v>227.79</v>
      </c>
      <c r="F73" s="307">
        <f>ROUND((IF('Intl Economy Base'!$F$105&gt;ROUND(((1-IntEconomyDiscount-IntEoncomyIncentive)*'Intl Economy Base'!F70),2),ROUND('Intl Economy Base'!$F$105*(1+International_Fuel_Surcharge),2),ROUND(((1-IntEconomyDiscount-IntEoncomyIncentive)*'Intl Economy Base'!F70)*(1+International_Fuel_Surcharge),2)))*(1+FedEx_Markup),2)</f>
        <v>440.54</v>
      </c>
      <c r="G73" s="307">
        <f>ROUND((IF('Intl Economy Base'!$G$105&gt;ROUND(((1-IntEconomyDiscount-IntEoncomyIncentive)*'Intl Economy Base'!G70),2),ROUND('Intl Economy Base'!$G$105*(1+International_Fuel_Surcharge),2),ROUND(((1-IntEconomyDiscount-IntEoncomyIncentive)*'Intl Economy Base'!G70)*(1+International_Fuel_Surcharge),2)))*(1+FedEx_Markup),2)</f>
        <v>244.25</v>
      </c>
      <c r="H73" s="307">
        <f>ROUND((IF('Intl Economy Base'!$H$105&gt;ROUND(((1-IntEconomyDiscount-IntEoncomyIncentive)*'Intl Economy Base'!H70),2),ROUND('Intl Economy Base'!$H$105*(1+International_Fuel_Surcharge),2),ROUND(((1-IntEconomyDiscount-IntEoncomyIncentive)*'Intl Economy Base'!H70)*(1+International_Fuel_Surcharge),2)))*(1+FedEx_Markup),2)</f>
        <v>249.61</v>
      </c>
      <c r="I73" s="307">
        <f>ROUND((IF('Intl Economy Base'!$I$105&gt;ROUND(((1-IntEconomyDiscount-IntEoncomyIncentive)*'Intl Economy Base'!I70),2),ROUND('Intl Economy Base'!$I$105*(1+International_Fuel_Surcharge),2),ROUND(((1-IntEconomyDiscount-IntEoncomyIncentive)*'Intl Economy Base'!I70)*(1+International_Fuel_Surcharge),2)))*(1+FedEx_Markup),2)</f>
        <v>290.7</v>
      </c>
      <c r="J73" s="307">
        <f>ROUND((IF('Intl Economy Base'!$J$105&gt;ROUND(((1-IntEconomyDiscount-IntEoncomyIncentive)*'Intl Economy Base'!J70),2),ROUND('Intl Economy Base'!$J$105*(1+International_Fuel_Surcharge),2),ROUND(((1-IntEconomyDiscount-IntEoncomyIncentive)*'Intl Economy Base'!J70)*(1+International_Fuel_Surcharge),2)))*(1+FedEx_Markup),2)</f>
        <v>175.26</v>
      </c>
      <c r="K73" s="307">
        <f>ROUND((IF('Intl Economy Base'!$K$105&gt;ROUND(((1-IntEconomyDiscount-IntEoncomyIncentive)*'Intl Economy Base'!K70),2),ROUND('Intl Economy Base'!$K$105*(1+International_Fuel_Surcharge),2),ROUND(((1-IntEconomyDiscount-IntEoncomyIncentive)*'Intl Economy Base'!K70)*(1+International_Fuel_Surcharge),2)))*(1+FedEx_Markup),2)</f>
        <v>379.95</v>
      </c>
      <c r="L73" s="307">
        <f>ROUND((IF('Intl Economy Base'!$L$105&gt;ROUND(((1-IntEconomyDiscount-IntEoncomyIncentive)*'Intl Economy Base'!L70),2),ROUND('Intl Economy Base'!$L$105*(1+International_Fuel_Surcharge),2),ROUND(((1-IntEconomyDiscount-IntEoncomyIncentive)*'Intl Economy Base'!L70)*(1+International_Fuel_Surcharge),2)))*(1+FedEx_Markup),2)</f>
        <v>312.57</v>
      </c>
      <c r="M73" s="307">
        <f>ROUND((IF('Intl Economy Base'!$M$105&gt;ROUND(((1-IntEconomyDiscount-IntEoncomyIncentive)*'Intl Economy Base'!M70),2),ROUND('Intl Economy Base'!$M$105*(1+International_Fuel_Surcharge),2),ROUND(((1-IntEconomyDiscount-IntEoncomyIncentive)*'Intl Economy Base'!M70)*(1+International_Fuel_Surcharge),2)))*(1+FedEx_Markup),2)</f>
        <v>398.65</v>
      </c>
      <c r="N73" s="307">
        <f>ROUND((IF('Intl Economy Base'!$N$105&gt;ROUND(((1-IntEconomyDiscount-IntEoncomyIncentive)*'Intl Economy Base'!N70),2),ROUND('Intl Economy Base'!$N$105*(1+International_Fuel_Surcharge),2),ROUND(((1-IntEconomyDiscount-IntEoncomyIncentive)*'Intl Economy Base'!N70)*(1+International_Fuel_Surcharge),2)))*(1+FedEx_Markup),2)</f>
        <v>404.02</v>
      </c>
      <c r="O73" s="307">
        <f>ROUND((IF('Intl Economy Base'!$O$105&gt;ROUND(((1-IntEconomyDiscount-IntEoncomyIncentive)*'Intl Economy Base'!O70),2),ROUND('Intl Economy Base'!$O$105*(1+International_Fuel_Surcharge),2),ROUND(((1-IntEconomyDiscount-IntEoncomyIncentive)*'Intl Economy Base'!O70)*(1+International_Fuel_Surcharge),2)))*(1+FedEx_Markup),2)</f>
        <v>289</v>
      </c>
      <c r="P73" s="307">
        <f>ROUND((IF('Intl Economy Base'!$P$105&gt;ROUND(((1-IntEconomyDiscount-IntEoncomyIncentive)*'Intl Economy Base'!P70),2),ROUND('Intl Economy Base'!$P$105*(1+International_Fuel_Surcharge),2),ROUND(((1-IntEconomyDiscount-IntEoncomyIncentive)*'Intl Economy Base'!P70)*(1+International_Fuel_Surcharge),2)))*(1+FedEx_Markup),2)</f>
        <v>308.43</v>
      </c>
      <c r="Q73" s="307">
        <f>ROUND((IF('Intl Economy Base'!$Q$105&gt;ROUND(((1-PuertoRicoDiscount)*'Intl Economy Base'!Q70),2),ROUND('Intl Economy Base'!$Q$105*(1+International_Fuel_Surcharge),2),ROUND(((1-PuertoRicoDiscount)*'Intl Economy Base'!Q70)*(1+International_Fuel_Surcharge),2)))*(1+FedEx_Markup),2)</f>
        <v>448.75</v>
      </c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2.75" customHeight="1">
      <c r="A74" s="306">
        <v>88</v>
      </c>
      <c r="B74" s="307">
        <f>ROUND((IF('Intl Economy Base'!$B$105&gt;ROUND(((1-IntEconomyDiscount-IntEoncomyIncentive)*'Intl Economy Base'!B71),2),ROUND('Intl Economy Base'!$B$105*(1+International_Fuel_Surcharge),2),ROUND(((1-IntEconomyDiscount-IntEoncomyIncentive)*'Intl Economy Base'!B71)*(1+International_Fuel_Surcharge),2)))*(1+FedEx_Markup),2)</f>
        <v>162.15</v>
      </c>
      <c r="C74" s="307">
        <f>ROUND((IF('Intl Economy Base'!$C$105&gt;ROUND(((1-IntEconomyDiscount-IntEoncomyIncentive)*'Intl Economy Base'!C71),2),ROUND('Intl Economy Base'!$C$105*(1+International_Fuel_Surcharge),2),ROUND(((1-IntEconomyDiscount-IntEoncomyIncentive)*'Intl Economy Base'!C71)*(1+International_Fuel_Surcharge),2)))*(1+FedEx_Markup),2)</f>
        <v>181.7</v>
      </c>
      <c r="D74" s="307">
        <f>ROUND((IF('Intl Economy Base'!$D$105&gt;ROUND(((1-IntEconomyDiscount-IntEoncomyIncentive)*'Intl Economy Base'!D71),2),ROUND('Intl Economy Base'!$D$105*(1+International_Fuel_Surcharge),2),ROUND(((1-IntEconomyDiscount-IntEoncomyIncentive)*'Intl Economy Base'!D71)*(1+International_Fuel_Surcharge),2)))*(1+FedEx_Markup),2)</f>
        <v>120.15</v>
      </c>
      <c r="E74" s="307">
        <f>ROUND((IF('Intl Economy Base'!$E$105&gt;ROUND(((1-IntEconomyDiscount-IntEoncomyIncentive)*'Intl Economy Base'!E71),2),ROUND('Intl Economy Base'!$E$105*(1+International_Fuel_Surcharge),2),ROUND(((1-IntEconomyDiscount-IntEoncomyIncentive)*'Intl Economy Base'!E71)*(1+International_Fuel_Surcharge),2)))*(1+FedEx_Markup),2)</f>
        <v>228.68</v>
      </c>
      <c r="F74" s="307">
        <f>ROUND((IF('Intl Economy Base'!$F$105&gt;ROUND(((1-IntEconomyDiscount-IntEoncomyIncentive)*'Intl Economy Base'!F71),2),ROUND('Intl Economy Base'!$F$105*(1+International_Fuel_Surcharge),2),ROUND(((1-IntEconomyDiscount-IntEoncomyIncentive)*'Intl Economy Base'!F71)*(1+International_Fuel_Surcharge),2)))*(1+FedEx_Markup),2)</f>
        <v>440.6</v>
      </c>
      <c r="G74" s="307">
        <f>ROUND((IF('Intl Economy Base'!$G$105&gt;ROUND(((1-IntEconomyDiscount-IntEoncomyIncentive)*'Intl Economy Base'!G71),2),ROUND('Intl Economy Base'!$G$105*(1+International_Fuel_Surcharge),2),ROUND(((1-IntEconomyDiscount-IntEoncomyIncentive)*'Intl Economy Base'!G71)*(1+International_Fuel_Surcharge),2)))*(1+FedEx_Markup),2)</f>
        <v>244.46</v>
      </c>
      <c r="H74" s="307">
        <f>ROUND((IF('Intl Economy Base'!$H$105&gt;ROUND(((1-IntEconomyDiscount-IntEoncomyIncentive)*'Intl Economy Base'!H71),2),ROUND('Intl Economy Base'!$H$105*(1+International_Fuel_Surcharge),2),ROUND(((1-IntEconomyDiscount-IntEoncomyIncentive)*'Intl Economy Base'!H71)*(1+International_Fuel_Surcharge),2)))*(1+FedEx_Markup),2)</f>
        <v>251.42</v>
      </c>
      <c r="I74" s="307">
        <f>ROUND((IF('Intl Economy Base'!$I$105&gt;ROUND(((1-IntEconomyDiscount-IntEoncomyIncentive)*'Intl Economy Base'!I71),2),ROUND('Intl Economy Base'!$I$105*(1+International_Fuel_Surcharge),2),ROUND(((1-IntEconomyDiscount-IntEoncomyIncentive)*'Intl Economy Base'!I71)*(1+International_Fuel_Surcharge),2)))*(1+FedEx_Markup),2)</f>
        <v>290.75</v>
      </c>
      <c r="J74" s="307">
        <f>ROUND((IF('Intl Economy Base'!$J$105&gt;ROUND(((1-IntEconomyDiscount-IntEoncomyIncentive)*'Intl Economy Base'!J71),2),ROUND('Intl Economy Base'!$J$105*(1+International_Fuel_Surcharge),2),ROUND(((1-IntEconomyDiscount-IntEoncomyIncentive)*'Intl Economy Base'!J71)*(1+International_Fuel_Surcharge),2)))*(1+FedEx_Markup),2)</f>
        <v>175.57</v>
      </c>
      <c r="K74" s="307">
        <f>ROUND((IF('Intl Economy Base'!$K$105&gt;ROUND(((1-IntEconomyDiscount-IntEoncomyIncentive)*'Intl Economy Base'!K71),2),ROUND('Intl Economy Base'!$K$105*(1+International_Fuel_Surcharge),2),ROUND(((1-IntEconomyDiscount-IntEoncomyIncentive)*'Intl Economy Base'!K71)*(1+International_Fuel_Surcharge),2)))*(1+FedEx_Markup),2)</f>
        <v>380.68</v>
      </c>
      <c r="L74" s="307">
        <f>ROUND((IF('Intl Economy Base'!$L$105&gt;ROUND(((1-IntEconomyDiscount-IntEoncomyIncentive)*'Intl Economy Base'!L71),2),ROUND('Intl Economy Base'!$L$105*(1+International_Fuel_Surcharge),2),ROUND(((1-IntEconomyDiscount-IntEoncomyIncentive)*'Intl Economy Base'!L71)*(1+International_Fuel_Surcharge),2)))*(1+FedEx_Markup),2)</f>
        <v>314.19</v>
      </c>
      <c r="M74" s="307">
        <f>ROUND((IF('Intl Economy Base'!$M$105&gt;ROUND(((1-IntEconomyDiscount-IntEoncomyIncentive)*'Intl Economy Base'!M71),2),ROUND('Intl Economy Base'!$M$105*(1+International_Fuel_Surcharge),2),ROUND(((1-IntEconomyDiscount-IntEoncomyIncentive)*'Intl Economy Base'!M71)*(1+International_Fuel_Surcharge),2)))*(1+FedEx_Markup),2)</f>
        <v>400.21</v>
      </c>
      <c r="N74" s="307">
        <f>ROUND((IF('Intl Economy Base'!$N$105&gt;ROUND(((1-IntEconomyDiscount-IntEoncomyIncentive)*'Intl Economy Base'!N71),2),ROUND('Intl Economy Base'!$N$105*(1+International_Fuel_Surcharge),2),ROUND(((1-IntEconomyDiscount-IntEoncomyIncentive)*'Intl Economy Base'!N71)*(1+International_Fuel_Surcharge),2)))*(1+FedEx_Markup),2)</f>
        <v>404.08</v>
      </c>
      <c r="O74" s="307">
        <f>ROUND((IF('Intl Economy Base'!$O$105&gt;ROUND(((1-IntEconomyDiscount-IntEoncomyIncentive)*'Intl Economy Base'!O71),2),ROUND('Intl Economy Base'!$O$105*(1+International_Fuel_Surcharge),2),ROUND(((1-IntEconomyDiscount-IntEoncomyIncentive)*'Intl Economy Base'!O71)*(1+International_Fuel_Surcharge),2)))*(1+FedEx_Markup),2)</f>
        <v>289.05</v>
      </c>
      <c r="P74" s="307">
        <f>ROUND((IF('Intl Economy Base'!$P$105&gt;ROUND(((1-IntEconomyDiscount-IntEoncomyIncentive)*'Intl Economy Base'!P71),2),ROUND('Intl Economy Base'!$P$105*(1+International_Fuel_Surcharge),2),ROUND(((1-IntEconomyDiscount-IntEoncomyIncentive)*'Intl Economy Base'!P71)*(1+International_Fuel_Surcharge),2)))*(1+FedEx_Markup),2)</f>
        <v>317.83999999999997</v>
      </c>
      <c r="Q74" s="307">
        <f>ROUND((IF('Intl Economy Base'!$Q$105&gt;ROUND(((1-PuertoRicoDiscount)*'Intl Economy Base'!Q71),2),ROUND('Intl Economy Base'!$Q$105*(1+International_Fuel_Surcharge),2),ROUND(((1-PuertoRicoDiscount)*'Intl Economy Base'!Q71)*(1+International_Fuel_Surcharge),2)))*(1+FedEx_Markup),2)</f>
        <v>455.35</v>
      </c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2.75" customHeight="1">
      <c r="A75" s="306">
        <v>90</v>
      </c>
      <c r="B75" s="307">
        <f>ROUND((IF('Intl Economy Base'!$B$105&gt;ROUND(((1-IntEconomyDiscount-IntEoncomyIncentive)*'Intl Economy Base'!B72),2),ROUND('Intl Economy Base'!$B$105*(1+International_Fuel_Surcharge),2),ROUND(((1-IntEconomyDiscount-IntEoncomyIncentive)*'Intl Economy Base'!B72)*(1+International_Fuel_Surcharge),2)))*(1+FedEx_Markup),2)</f>
        <v>162.5</v>
      </c>
      <c r="C75" s="307">
        <f>ROUND((IF('Intl Economy Base'!$C$105&gt;ROUND(((1-IntEconomyDiscount-IntEoncomyIncentive)*'Intl Economy Base'!C72),2),ROUND('Intl Economy Base'!$C$105*(1+International_Fuel_Surcharge),2),ROUND(((1-IntEconomyDiscount-IntEoncomyIncentive)*'Intl Economy Base'!C72)*(1+International_Fuel_Surcharge),2)))*(1+FedEx_Markup),2)</f>
        <v>181.9</v>
      </c>
      <c r="D75" s="307">
        <f>ROUND((IF('Intl Economy Base'!$D$105&gt;ROUND(((1-IntEconomyDiscount-IntEoncomyIncentive)*'Intl Economy Base'!D72),2),ROUND('Intl Economy Base'!$D$105*(1+International_Fuel_Surcharge),2),ROUND(((1-IntEconomyDiscount-IntEoncomyIncentive)*'Intl Economy Base'!D72)*(1+International_Fuel_Surcharge),2)))*(1+FedEx_Markup),2)</f>
        <v>120.32</v>
      </c>
      <c r="E75" s="307">
        <f>ROUND((IF('Intl Economy Base'!$E$105&gt;ROUND(((1-IntEconomyDiscount-IntEoncomyIncentive)*'Intl Economy Base'!E72),2),ROUND('Intl Economy Base'!$E$105*(1+International_Fuel_Surcharge),2),ROUND(((1-IntEconomyDiscount-IntEoncomyIncentive)*'Intl Economy Base'!E72)*(1+International_Fuel_Surcharge),2)))*(1+FedEx_Markup),2)</f>
        <v>232.65</v>
      </c>
      <c r="F75" s="307">
        <f>ROUND((IF('Intl Economy Base'!$F$105&gt;ROUND(((1-IntEconomyDiscount-IntEoncomyIncentive)*'Intl Economy Base'!F72),2),ROUND('Intl Economy Base'!$F$105*(1+International_Fuel_Surcharge),2),ROUND(((1-IntEconomyDiscount-IntEoncomyIncentive)*'Intl Economy Base'!F72)*(1+International_Fuel_Surcharge),2)))*(1+FedEx_Markup),2)</f>
        <v>440.66</v>
      </c>
      <c r="G75" s="307">
        <f>ROUND((IF('Intl Economy Base'!$G$105&gt;ROUND(((1-IntEconomyDiscount-IntEoncomyIncentive)*'Intl Economy Base'!G72),2),ROUND('Intl Economy Base'!$G$105*(1+International_Fuel_Surcharge),2),ROUND(((1-IntEconomyDiscount-IntEoncomyIncentive)*'Intl Economy Base'!G72)*(1+International_Fuel_Surcharge),2)))*(1+FedEx_Markup),2)</f>
        <v>244.74</v>
      </c>
      <c r="H75" s="307">
        <f>ROUND((IF('Intl Economy Base'!$H$105&gt;ROUND(((1-IntEconomyDiscount-IntEoncomyIncentive)*'Intl Economy Base'!H72),2),ROUND('Intl Economy Base'!$H$105*(1+International_Fuel_Surcharge),2),ROUND(((1-IntEconomyDiscount-IntEoncomyIncentive)*'Intl Economy Base'!H72)*(1+International_Fuel_Surcharge),2)))*(1+FedEx_Markup),2)</f>
        <v>253.23</v>
      </c>
      <c r="I75" s="307">
        <f>ROUND((IF('Intl Economy Base'!$I$105&gt;ROUND(((1-IntEconomyDiscount-IntEoncomyIncentive)*'Intl Economy Base'!I72),2),ROUND('Intl Economy Base'!$I$105*(1+International_Fuel_Surcharge),2),ROUND(((1-IntEconomyDiscount-IntEoncomyIncentive)*'Intl Economy Base'!I72)*(1+International_Fuel_Surcharge),2)))*(1+FedEx_Markup),2)</f>
        <v>290.81</v>
      </c>
      <c r="J75" s="307">
        <f>ROUND((IF('Intl Economy Base'!$J$105&gt;ROUND(((1-IntEconomyDiscount-IntEoncomyIncentive)*'Intl Economy Base'!J72),2),ROUND('Intl Economy Base'!$J$105*(1+International_Fuel_Surcharge),2),ROUND(((1-IntEconomyDiscount-IntEoncomyIncentive)*'Intl Economy Base'!J72)*(1+International_Fuel_Surcharge),2)))*(1+FedEx_Markup),2)</f>
        <v>176.97</v>
      </c>
      <c r="K75" s="307">
        <f>ROUND((IF('Intl Economy Base'!$K$105&gt;ROUND(((1-IntEconomyDiscount-IntEoncomyIncentive)*'Intl Economy Base'!K72),2),ROUND('Intl Economy Base'!$K$105*(1+International_Fuel_Surcharge),2),ROUND(((1-IntEconomyDiscount-IntEoncomyIncentive)*'Intl Economy Base'!K72)*(1+International_Fuel_Surcharge),2)))*(1+FedEx_Markup),2)</f>
        <v>380.75</v>
      </c>
      <c r="L75" s="307">
        <f>ROUND((IF('Intl Economy Base'!$L$105&gt;ROUND(((1-IntEconomyDiscount-IntEoncomyIncentive)*'Intl Economy Base'!L72),2),ROUND('Intl Economy Base'!$L$105*(1+International_Fuel_Surcharge),2),ROUND(((1-IntEconomyDiscount-IntEoncomyIncentive)*'Intl Economy Base'!L72)*(1+International_Fuel_Surcharge),2)))*(1+FedEx_Markup),2)</f>
        <v>314.36</v>
      </c>
      <c r="M75" s="307">
        <f>ROUND((IF('Intl Economy Base'!$M$105&gt;ROUND(((1-IntEconomyDiscount-IntEoncomyIncentive)*'Intl Economy Base'!M72),2),ROUND('Intl Economy Base'!$M$105*(1+International_Fuel_Surcharge),2),ROUND(((1-IntEconomyDiscount-IntEoncomyIncentive)*'Intl Economy Base'!M72)*(1+International_Fuel_Surcharge),2)))*(1+FedEx_Markup),2)</f>
        <v>400.36</v>
      </c>
      <c r="N75" s="307">
        <f>ROUND((IF('Intl Economy Base'!$N$105&gt;ROUND(((1-IntEconomyDiscount-IntEoncomyIncentive)*'Intl Economy Base'!N72),2),ROUND('Intl Economy Base'!$N$105*(1+International_Fuel_Surcharge),2),ROUND(((1-IntEconomyDiscount-IntEoncomyIncentive)*'Intl Economy Base'!N72)*(1+International_Fuel_Surcharge),2)))*(1+FedEx_Markup),2)</f>
        <v>404.36</v>
      </c>
      <c r="O75" s="307">
        <f>ROUND((IF('Intl Economy Base'!$O$105&gt;ROUND(((1-IntEconomyDiscount-IntEoncomyIncentive)*'Intl Economy Base'!O72),2),ROUND('Intl Economy Base'!$O$105*(1+International_Fuel_Surcharge),2),ROUND(((1-IntEconomyDiscount-IntEoncomyIncentive)*'Intl Economy Base'!O72)*(1+International_Fuel_Surcharge),2)))*(1+FedEx_Markup),2)</f>
        <v>289.11</v>
      </c>
      <c r="P75" s="307">
        <f>ROUND((IF('Intl Economy Base'!$P$105&gt;ROUND(((1-IntEconomyDiscount-IntEoncomyIncentive)*'Intl Economy Base'!P72),2),ROUND('Intl Economy Base'!$P$105*(1+International_Fuel_Surcharge),2),ROUND(((1-IntEconomyDiscount-IntEoncomyIncentive)*'Intl Economy Base'!P72)*(1+International_Fuel_Surcharge),2)))*(1+FedEx_Markup),2)</f>
        <v>331.73</v>
      </c>
      <c r="Q75" s="307">
        <f>ROUND((IF('Intl Economy Base'!$Q$105&gt;ROUND(((1-PuertoRicoDiscount)*'Intl Economy Base'!Q72),2),ROUND('Intl Economy Base'!$Q$105*(1+International_Fuel_Surcharge),2),ROUND(((1-PuertoRicoDiscount)*'Intl Economy Base'!Q72)*(1+International_Fuel_Surcharge),2)))*(1+FedEx_Markup),2)</f>
        <v>460.87</v>
      </c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2.75" customHeight="1">
      <c r="A76" s="306">
        <v>92</v>
      </c>
      <c r="B76" s="307">
        <f>ROUND((IF('Intl Economy Base'!$B$105&gt;ROUND(((1-IntEconomyDiscount-IntEoncomyIncentive)*'Intl Economy Base'!B73),2),ROUND('Intl Economy Base'!$B$105*(1+International_Fuel_Surcharge),2),ROUND(((1-IntEconomyDiscount-IntEoncomyIncentive)*'Intl Economy Base'!B73)*(1+International_Fuel_Surcharge),2)))*(1+FedEx_Markup),2)</f>
        <v>164.21</v>
      </c>
      <c r="C76" s="307">
        <f>ROUND((IF('Intl Economy Base'!$C$105&gt;ROUND(((1-IntEconomyDiscount-IntEoncomyIncentive)*'Intl Economy Base'!C73),2),ROUND('Intl Economy Base'!$C$105*(1+International_Fuel_Surcharge),2),ROUND(((1-IntEconomyDiscount-IntEoncomyIncentive)*'Intl Economy Base'!C73)*(1+International_Fuel_Surcharge),2)))*(1+FedEx_Markup),2)</f>
        <v>181.98</v>
      </c>
      <c r="D76" s="307">
        <f>ROUND((IF('Intl Economy Base'!$D$105&gt;ROUND(((1-IntEconomyDiscount-IntEoncomyIncentive)*'Intl Economy Base'!D73),2),ROUND('Intl Economy Base'!$D$105*(1+International_Fuel_Surcharge),2),ROUND(((1-IntEconomyDiscount-IntEoncomyIncentive)*'Intl Economy Base'!D73)*(1+International_Fuel_Surcharge),2)))*(1+FedEx_Markup),2)</f>
        <v>122.49</v>
      </c>
      <c r="E76" s="307">
        <f>ROUND((IF('Intl Economy Base'!$E$105&gt;ROUND(((1-IntEconomyDiscount-IntEoncomyIncentive)*'Intl Economy Base'!E73),2),ROUND('Intl Economy Base'!$E$105*(1+International_Fuel_Surcharge),2),ROUND(((1-IntEconomyDiscount-IntEoncomyIncentive)*'Intl Economy Base'!E73)*(1+International_Fuel_Surcharge),2)))*(1+FedEx_Markup),2)</f>
        <v>233.05</v>
      </c>
      <c r="F76" s="307">
        <f>ROUND((IF('Intl Economy Base'!$F$105&gt;ROUND(((1-IntEconomyDiscount-IntEoncomyIncentive)*'Intl Economy Base'!F73),2),ROUND('Intl Economy Base'!$F$105*(1+International_Fuel_Surcharge),2),ROUND(((1-IntEconomyDiscount-IntEoncomyIncentive)*'Intl Economy Base'!F73)*(1+International_Fuel_Surcharge),2)))*(1+FedEx_Markup),2)</f>
        <v>440.85</v>
      </c>
      <c r="G76" s="307">
        <f>ROUND((IF('Intl Economy Base'!$G$105&gt;ROUND(((1-IntEconomyDiscount-IntEoncomyIncentive)*'Intl Economy Base'!G73),2),ROUND('Intl Economy Base'!$G$105*(1+International_Fuel_Surcharge),2),ROUND(((1-IntEconomyDiscount-IntEoncomyIncentive)*'Intl Economy Base'!G73)*(1+International_Fuel_Surcharge),2)))*(1+FedEx_Markup),2)</f>
        <v>250.02</v>
      </c>
      <c r="H76" s="307">
        <f>ROUND((IF('Intl Economy Base'!$H$105&gt;ROUND(((1-IntEconomyDiscount-IntEoncomyIncentive)*'Intl Economy Base'!H73),2),ROUND('Intl Economy Base'!$H$105*(1+International_Fuel_Surcharge),2),ROUND(((1-IntEconomyDiscount-IntEoncomyIncentive)*'Intl Economy Base'!H73)*(1+International_Fuel_Surcharge),2)))*(1+FedEx_Markup),2)</f>
        <v>253.7</v>
      </c>
      <c r="I76" s="307">
        <f>ROUND((IF('Intl Economy Base'!$I$105&gt;ROUND(((1-IntEconomyDiscount-IntEoncomyIncentive)*'Intl Economy Base'!I73),2),ROUND('Intl Economy Base'!$I$105*(1+International_Fuel_Surcharge),2),ROUND(((1-IntEconomyDiscount-IntEoncomyIncentive)*'Intl Economy Base'!I73)*(1+International_Fuel_Surcharge),2)))*(1+FedEx_Markup),2)</f>
        <v>290.94</v>
      </c>
      <c r="J76" s="307">
        <f>ROUND((IF('Intl Economy Base'!$J$105&gt;ROUND(((1-IntEconomyDiscount-IntEoncomyIncentive)*'Intl Economy Base'!J73),2),ROUND('Intl Economy Base'!$J$105*(1+International_Fuel_Surcharge),2),ROUND(((1-IntEconomyDiscount-IntEoncomyIncentive)*'Intl Economy Base'!J73)*(1+International_Fuel_Surcharge),2)))*(1+FedEx_Markup),2)</f>
        <v>177.33</v>
      </c>
      <c r="K76" s="307">
        <f>ROUND((IF('Intl Economy Base'!$K$105&gt;ROUND(((1-IntEconomyDiscount-IntEoncomyIncentive)*'Intl Economy Base'!K73),2),ROUND('Intl Economy Base'!$K$105*(1+International_Fuel_Surcharge),2),ROUND(((1-IntEconomyDiscount-IntEoncomyIncentive)*'Intl Economy Base'!K73)*(1+International_Fuel_Surcharge),2)))*(1+FedEx_Markup),2)</f>
        <v>380.94</v>
      </c>
      <c r="L76" s="307">
        <f>ROUND((IF('Intl Economy Base'!$L$105&gt;ROUND(((1-IntEconomyDiscount-IntEoncomyIncentive)*'Intl Economy Base'!L73),2),ROUND('Intl Economy Base'!$L$105*(1+International_Fuel_Surcharge),2),ROUND(((1-IntEconomyDiscount-IntEoncomyIncentive)*'Intl Economy Base'!L73)*(1+International_Fuel_Surcharge),2)))*(1+FedEx_Markup),2)</f>
        <v>314.5</v>
      </c>
      <c r="M76" s="307">
        <f>ROUND((IF('Intl Economy Base'!$M$105&gt;ROUND(((1-IntEconomyDiscount-IntEoncomyIncentive)*'Intl Economy Base'!M73),2),ROUND('Intl Economy Base'!$M$105*(1+International_Fuel_Surcharge),2),ROUND(((1-IntEconomyDiscount-IntEoncomyIncentive)*'Intl Economy Base'!M73)*(1+International_Fuel_Surcharge),2)))*(1+FedEx_Markup),2)</f>
        <v>400.55</v>
      </c>
      <c r="N76" s="307">
        <f>ROUND((IF('Intl Economy Base'!$N$105&gt;ROUND(((1-IntEconomyDiscount-IntEoncomyIncentive)*'Intl Economy Base'!N73),2),ROUND('Intl Economy Base'!$N$105*(1+International_Fuel_Surcharge),2),ROUND(((1-IntEconomyDiscount-IntEoncomyIncentive)*'Intl Economy Base'!N73)*(1+International_Fuel_Surcharge),2)))*(1+FedEx_Markup),2)</f>
        <v>406.1</v>
      </c>
      <c r="O76" s="307">
        <f>ROUND((IF('Intl Economy Base'!$O$105&gt;ROUND(((1-IntEconomyDiscount-IntEoncomyIncentive)*'Intl Economy Base'!O73),2),ROUND('Intl Economy Base'!$O$105*(1+International_Fuel_Surcharge),2),ROUND(((1-IntEconomyDiscount-IntEoncomyIncentive)*'Intl Economy Base'!O73)*(1+International_Fuel_Surcharge),2)))*(1+FedEx_Markup),2)</f>
        <v>289.24</v>
      </c>
      <c r="P76" s="307">
        <f>ROUND((IF('Intl Economy Base'!$P$105&gt;ROUND(((1-IntEconomyDiscount-IntEoncomyIncentive)*'Intl Economy Base'!P73),2),ROUND('Intl Economy Base'!$P$105*(1+International_Fuel_Surcharge),2),ROUND(((1-IntEconomyDiscount-IntEoncomyIncentive)*'Intl Economy Base'!P73)*(1+International_Fuel_Surcharge),2)))*(1+FedEx_Markup),2)</f>
        <v>333.12</v>
      </c>
      <c r="Q76" s="307">
        <f>ROUND((IF('Intl Economy Base'!$Q$105&gt;ROUND(((1-PuertoRicoDiscount)*'Intl Economy Base'!Q73),2),ROUND('Intl Economy Base'!$Q$105*(1+International_Fuel_Surcharge),2),ROUND(((1-PuertoRicoDiscount)*'Intl Economy Base'!Q73)*(1+International_Fuel_Surcharge),2)))*(1+FedEx_Markup),2)</f>
        <v>462.12</v>
      </c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2.75" customHeight="1">
      <c r="A77" s="306">
        <v>94</v>
      </c>
      <c r="B77" s="307">
        <f>ROUND((IF('Intl Economy Base'!$B$105&gt;ROUND(((1-IntEconomyDiscount-IntEoncomyIncentive)*'Intl Economy Base'!B74),2),ROUND('Intl Economy Base'!$B$105*(1+International_Fuel_Surcharge),2),ROUND(((1-IntEconomyDiscount-IntEoncomyIncentive)*'Intl Economy Base'!B74)*(1+International_Fuel_Surcharge),2)))*(1+FedEx_Markup),2)</f>
        <v>165.85</v>
      </c>
      <c r="C77" s="307">
        <f>ROUND((IF('Intl Economy Base'!$C$105&gt;ROUND(((1-IntEconomyDiscount-IntEoncomyIncentive)*'Intl Economy Base'!C74),2),ROUND('Intl Economy Base'!$C$105*(1+International_Fuel_Surcharge),2),ROUND(((1-IntEconomyDiscount-IntEoncomyIncentive)*'Intl Economy Base'!C74)*(1+International_Fuel_Surcharge),2)))*(1+FedEx_Markup),2)</f>
        <v>183.64</v>
      </c>
      <c r="D77" s="307">
        <f>ROUND((IF('Intl Economy Base'!$D$105&gt;ROUND(((1-IntEconomyDiscount-IntEoncomyIncentive)*'Intl Economy Base'!D74),2),ROUND('Intl Economy Base'!$D$105*(1+International_Fuel_Surcharge),2),ROUND(((1-IntEconomyDiscount-IntEoncomyIncentive)*'Intl Economy Base'!D74)*(1+International_Fuel_Surcharge),2)))*(1+FedEx_Markup),2)</f>
        <v>123.83</v>
      </c>
      <c r="E77" s="307">
        <f>ROUND((IF('Intl Economy Base'!$E$105&gt;ROUND(((1-IntEconomyDiscount-IntEoncomyIncentive)*'Intl Economy Base'!E74),2),ROUND('Intl Economy Base'!$E$105*(1+International_Fuel_Surcharge),2),ROUND(((1-IntEconomyDiscount-IntEoncomyIncentive)*'Intl Economy Base'!E74)*(1+International_Fuel_Surcharge),2)))*(1+FedEx_Markup),2)</f>
        <v>235.2</v>
      </c>
      <c r="F77" s="307">
        <f>ROUND((IF('Intl Economy Base'!$F$105&gt;ROUND(((1-IntEconomyDiscount-IntEoncomyIncentive)*'Intl Economy Base'!F74),2),ROUND('Intl Economy Base'!$F$105*(1+International_Fuel_Surcharge),2),ROUND(((1-IntEconomyDiscount-IntEoncomyIncentive)*'Intl Economy Base'!F74)*(1+International_Fuel_Surcharge),2)))*(1+FedEx_Markup),2)</f>
        <v>444.88</v>
      </c>
      <c r="G77" s="307">
        <f>ROUND((IF('Intl Economy Base'!$G$105&gt;ROUND(((1-IntEconomyDiscount-IntEoncomyIncentive)*'Intl Economy Base'!G74),2),ROUND('Intl Economy Base'!$G$105*(1+International_Fuel_Surcharge),2),ROUND(((1-IntEconomyDiscount-IntEoncomyIncentive)*'Intl Economy Base'!G74)*(1+International_Fuel_Surcharge),2)))*(1+FedEx_Markup),2)</f>
        <v>253.4</v>
      </c>
      <c r="H77" s="307">
        <f>ROUND((IF('Intl Economy Base'!$H$105&gt;ROUND(((1-IntEconomyDiscount-IntEoncomyIncentive)*'Intl Economy Base'!H74),2),ROUND('Intl Economy Base'!$H$105*(1+International_Fuel_Surcharge),2),ROUND(((1-IntEconomyDiscount-IntEoncomyIncentive)*'Intl Economy Base'!H74)*(1+International_Fuel_Surcharge),2)))*(1+FedEx_Markup),2)</f>
        <v>256.35000000000002</v>
      </c>
      <c r="I77" s="307">
        <f>ROUND((IF('Intl Economy Base'!$I$105&gt;ROUND(((1-IntEconomyDiscount-IntEoncomyIncentive)*'Intl Economy Base'!I74),2),ROUND('Intl Economy Base'!$I$105*(1+International_Fuel_Surcharge),2),ROUND(((1-IntEconomyDiscount-IntEoncomyIncentive)*'Intl Economy Base'!I74)*(1+International_Fuel_Surcharge),2)))*(1+FedEx_Markup),2)</f>
        <v>293.60000000000002</v>
      </c>
      <c r="J77" s="307">
        <f>ROUND((IF('Intl Economy Base'!$J$105&gt;ROUND(((1-IntEconomyDiscount-IntEoncomyIncentive)*'Intl Economy Base'!J74),2),ROUND('Intl Economy Base'!$J$105*(1+International_Fuel_Surcharge),2),ROUND(((1-IntEconomyDiscount-IntEoncomyIncentive)*'Intl Economy Base'!J74)*(1+International_Fuel_Surcharge),2)))*(1+FedEx_Markup),2)</f>
        <v>184.45</v>
      </c>
      <c r="K77" s="307">
        <f>ROUND((IF('Intl Economy Base'!$K$105&gt;ROUND(((1-IntEconomyDiscount-IntEoncomyIncentive)*'Intl Economy Base'!K74),2),ROUND('Intl Economy Base'!$K$105*(1+International_Fuel_Surcharge),2),ROUND(((1-IntEconomyDiscount-IntEoncomyIncentive)*'Intl Economy Base'!K74)*(1+International_Fuel_Surcharge),2)))*(1+FedEx_Markup),2)</f>
        <v>384.41</v>
      </c>
      <c r="L77" s="307">
        <f>ROUND((IF('Intl Economy Base'!$L$105&gt;ROUND(((1-IntEconomyDiscount-IntEoncomyIncentive)*'Intl Economy Base'!L74),2),ROUND('Intl Economy Base'!$L$105*(1+International_Fuel_Surcharge),2),ROUND(((1-IntEconomyDiscount-IntEoncomyIncentive)*'Intl Economy Base'!L74)*(1+International_Fuel_Surcharge),2)))*(1+FedEx_Markup),2)</f>
        <v>317.42</v>
      </c>
      <c r="M77" s="307">
        <f>ROUND((IF('Intl Economy Base'!$M$105&gt;ROUND(((1-IntEconomyDiscount-IntEoncomyIncentive)*'Intl Economy Base'!M74),2),ROUND('Intl Economy Base'!$M$105*(1+International_Fuel_Surcharge),2),ROUND(((1-IntEconomyDiscount-IntEoncomyIncentive)*'Intl Economy Base'!M74)*(1+International_Fuel_Surcharge),2)))*(1+FedEx_Markup),2)</f>
        <v>404.2</v>
      </c>
      <c r="N77" s="307">
        <f>ROUND((IF('Intl Economy Base'!$N$105&gt;ROUND(((1-IntEconomyDiscount-IntEoncomyIncentive)*'Intl Economy Base'!N74),2),ROUND('Intl Economy Base'!$N$105*(1+International_Fuel_Surcharge),2),ROUND(((1-IntEconomyDiscount-IntEoncomyIncentive)*'Intl Economy Base'!N74)*(1+International_Fuel_Surcharge),2)))*(1+FedEx_Markup),2)</f>
        <v>409.95</v>
      </c>
      <c r="O77" s="307">
        <f>ROUND((IF('Intl Economy Base'!$O$105&gt;ROUND(((1-IntEconomyDiscount-IntEoncomyIncentive)*'Intl Economy Base'!O74),2),ROUND('Intl Economy Base'!$O$105*(1+International_Fuel_Surcharge),2),ROUND(((1-IntEconomyDiscount-IntEoncomyIncentive)*'Intl Economy Base'!O74)*(1+International_Fuel_Surcharge),2)))*(1+FedEx_Markup),2)</f>
        <v>291.92</v>
      </c>
      <c r="P77" s="307">
        <f>ROUND((IF('Intl Economy Base'!$P$105&gt;ROUND(((1-IntEconomyDiscount-IntEoncomyIncentive)*'Intl Economy Base'!P74),2),ROUND('Intl Economy Base'!$P$105*(1+International_Fuel_Surcharge),2),ROUND(((1-IntEconomyDiscount-IntEoncomyIncentive)*'Intl Economy Base'!P74)*(1+International_Fuel_Surcharge),2)))*(1+FedEx_Markup),2)</f>
        <v>336.28</v>
      </c>
      <c r="Q77" s="307">
        <f>ROUND((IF('Intl Economy Base'!$Q$105&gt;ROUND(((1-PuertoRicoDiscount)*'Intl Economy Base'!Q74),2),ROUND('Intl Economy Base'!$Q$105*(1+International_Fuel_Surcharge),2),ROUND(((1-PuertoRicoDiscount)*'Intl Economy Base'!Q74)*(1+International_Fuel_Surcharge),2)))*(1+FedEx_Markup),2)</f>
        <v>463.15</v>
      </c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2.75" customHeight="1">
      <c r="A78" s="306">
        <v>96</v>
      </c>
      <c r="B78" s="307">
        <f>ROUND((IF('Intl Economy Base'!$B$105&gt;ROUND(((1-IntEconomyDiscount-IntEoncomyIncentive)*'Intl Economy Base'!B75),2),ROUND('Intl Economy Base'!$B$105*(1+International_Fuel_Surcharge),2),ROUND(((1-IntEconomyDiscount-IntEoncomyIncentive)*'Intl Economy Base'!B75)*(1+International_Fuel_Surcharge),2)))*(1+FedEx_Markup),2)</f>
        <v>170.22</v>
      </c>
      <c r="C78" s="307">
        <f>ROUND((IF('Intl Economy Base'!$C$105&gt;ROUND(((1-IntEconomyDiscount-IntEoncomyIncentive)*'Intl Economy Base'!C75),2),ROUND('Intl Economy Base'!$C$105*(1+International_Fuel_Surcharge),2),ROUND(((1-IntEconomyDiscount-IntEoncomyIncentive)*'Intl Economy Base'!C75)*(1+International_Fuel_Surcharge),2)))*(1+FedEx_Markup),2)</f>
        <v>183.82</v>
      </c>
      <c r="D78" s="307">
        <f>ROUND((IF('Intl Economy Base'!$D$105&gt;ROUND(((1-IntEconomyDiscount-IntEoncomyIncentive)*'Intl Economy Base'!D75),2),ROUND('Intl Economy Base'!$D$105*(1+International_Fuel_Surcharge),2),ROUND(((1-IntEconomyDiscount-IntEoncomyIncentive)*'Intl Economy Base'!D75)*(1+International_Fuel_Surcharge),2)))*(1+FedEx_Markup),2)</f>
        <v>123.97</v>
      </c>
      <c r="E78" s="307">
        <f>ROUND((IF('Intl Economy Base'!$E$105&gt;ROUND(((1-IntEconomyDiscount-IntEoncomyIncentive)*'Intl Economy Base'!E75),2),ROUND('Intl Economy Base'!$E$105*(1+International_Fuel_Surcharge),2),ROUND(((1-IntEconomyDiscount-IntEoncomyIncentive)*'Intl Economy Base'!E75)*(1+International_Fuel_Surcharge),2)))*(1+FedEx_Markup),2)</f>
        <v>246.43</v>
      </c>
      <c r="F78" s="307">
        <f>ROUND((IF('Intl Economy Base'!$F$105&gt;ROUND(((1-IntEconomyDiscount-IntEoncomyIncentive)*'Intl Economy Base'!F75),2),ROUND('Intl Economy Base'!$F$105*(1+International_Fuel_Surcharge),2),ROUND(((1-IntEconomyDiscount-IntEoncomyIncentive)*'Intl Economy Base'!F75)*(1+International_Fuel_Surcharge),2)))*(1+FedEx_Markup),2)</f>
        <v>445.28</v>
      </c>
      <c r="G78" s="307">
        <f>ROUND((IF('Intl Economy Base'!$G$105&gt;ROUND(((1-IntEconomyDiscount-IntEoncomyIncentive)*'Intl Economy Base'!G75),2),ROUND('Intl Economy Base'!$G$105*(1+International_Fuel_Surcharge),2),ROUND(((1-IntEconomyDiscount-IntEoncomyIncentive)*'Intl Economy Base'!G75)*(1+International_Fuel_Surcharge),2)))*(1+FedEx_Markup),2)</f>
        <v>254.17</v>
      </c>
      <c r="H78" s="307">
        <f>ROUND((IF('Intl Economy Base'!$H$105&gt;ROUND(((1-IntEconomyDiscount-IntEoncomyIncentive)*'Intl Economy Base'!H75),2),ROUND('Intl Economy Base'!$H$105*(1+International_Fuel_Surcharge),2),ROUND(((1-IntEconomyDiscount-IntEoncomyIncentive)*'Intl Economy Base'!H75)*(1+International_Fuel_Surcharge),2)))*(1+FedEx_Markup),2)</f>
        <v>258.14999999999998</v>
      </c>
      <c r="I78" s="307">
        <f>ROUND((IF('Intl Economy Base'!$I$105&gt;ROUND(((1-IntEconomyDiscount-IntEoncomyIncentive)*'Intl Economy Base'!I75),2),ROUND('Intl Economy Base'!$I$105*(1+International_Fuel_Surcharge),2),ROUND(((1-IntEconomyDiscount-IntEoncomyIncentive)*'Intl Economy Base'!I75)*(1+International_Fuel_Surcharge),2)))*(1+FedEx_Markup),2)</f>
        <v>302.06</v>
      </c>
      <c r="J78" s="307">
        <f>ROUND((IF('Intl Economy Base'!$J$105&gt;ROUND(((1-IntEconomyDiscount-IntEoncomyIncentive)*'Intl Economy Base'!J75),2),ROUND('Intl Economy Base'!$J$105*(1+International_Fuel_Surcharge),2),ROUND(((1-IntEconomyDiscount-IntEoncomyIncentive)*'Intl Economy Base'!J75)*(1+International_Fuel_Surcharge),2)))*(1+FedEx_Markup),2)</f>
        <v>185.16</v>
      </c>
      <c r="K78" s="307">
        <f>ROUND((IF('Intl Economy Base'!$K$105&gt;ROUND(((1-IntEconomyDiscount-IntEoncomyIncentive)*'Intl Economy Base'!K75),2),ROUND('Intl Economy Base'!$K$105*(1+International_Fuel_Surcharge),2),ROUND(((1-IntEconomyDiscount-IntEoncomyIncentive)*'Intl Economy Base'!K75)*(1+International_Fuel_Surcharge),2)))*(1+FedEx_Markup),2)</f>
        <v>385.71</v>
      </c>
      <c r="L78" s="307">
        <f>ROUND((IF('Intl Economy Base'!$L$105&gt;ROUND(((1-IntEconomyDiscount-IntEoncomyIncentive)*'Intl Economy Base'!L75),2),ROUND('Intl Economy Base'!$L$105*(1+International_Fuel_Surcharge),2),ROUND(((1-IntEconomyDiscount-IntEoncomyIncentive)*'Intl Economy Base'!L75)*(1+International_Fuel_Surcharge),2)))*(1+FedEx_Markup),2)</f>
        <v>317.70999999999998</v>
      </c>
      <c r="M78" s="307">
        <f>ROUND((IF('Intl Economy Base'!$M$105&gt;ROUND(((1-IntEconomyDiscount-IntEoncomyIncentive)*'Intl Economy Base'!M75),2),ROUND('Intl Economy Base'!$M$105*(1+International_Fuel_Surcharge),2),ROUND(((1-IntEconomyDiscount-IntEoncomyIncentive)*'Intl Economy Base'!M75)*(1+International_Fuel_Surcharge),2)))*(1+FedEx_Markup),2)</f>
        <v>404.57</v>
      </c>
      <c r="N78" s="307">
        <f>ROUND((IF('Intl Economy Base'!$N$105&gt;ROUND(((1-IntEconomyDiscount-IntEoncomyIncentive)*'Intl Economy Base'!N75),2),ROUND('Intl Economy Base'!$N$105*(1+International_Fuel_Surcharge),2),ROUND(((1-IntEconomyDiscount-IntEoncomyIncentive)*'Intl Economy Base'!N75)*(1+International_Fuel_Surcharge),2)))*(1+FedEx_Markup),2)</f>
        <v>410.33</v>
      </c>
      <c r="O78" s="307">
        <f>ROUND((IF('Intl Economy Base'!$O$105&gt;ROUND(((1-IntEconomyDiscount-IntEoncomyIncentive)*'Intl Economy Base'!O75),2),ROUND('Intl Economy Base'!$O$105*(1+International_Fuel_Surcharge),2),ROUND(((1-IntEconomyDiscount-IntEoncomyIncentive)*'Intl Economy Base'!O75)*(1+International_Fuel_Surcharge),2)))*(1+FedEx_Markup),2)</f>
        <v>292.18</v>
      </c>
      <c r="P78" s="307">
        <f>ROUND((IF('Intl Economy Base'!$P$105&gt;ROUND(((1-IntEconomyDiscount-IntEoncomyIncentive)*'Intl Economy Base'!P75),2),ROUND('Intl Economy Base'!$P$105*(1+International_Fuel_Surcharge),2),ROUND(((1-IntEconomyDiscount-IntEoncomyIncentive)*'Intl Economy Base'!P75)*(1+International_Fuel_Surcharge),2)))*(1+FedEx_Markup),2)</f>
        <v>336.59</v>
      </c>
      <c r="Q78" s="307">
        <f>ROUND((IF('Intl Economy Base'!$Q$105&gt;ROUND(((1-PuertoRicoDiscount)*'Intl Economy Base'!Q75),2),ROUND('Intl Economy Base'!$Q$105*(1+International_Fuel_Surcharge),2),ROUND(((1-PuertoRicoDiscount)*'Intl Economy Base'!Q75)*(1+International_Fuel_Surcharge),2)))*(1+FedEx_Markup),2)</f>
        <v>468.05</v>
      </c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>
      <c r="A79" s="306">
        <v>98</v>
      </c>
      <c r="B79" s="307">
        <f>ROUND((IF('Intl Economy Base'!$B$105&gt;ROUND(((1-IntEconomyDiscount-IntEoncomyIncentive)*'Intl Economy Base'!B76),2),ROUND('Intl Economy Base'!$B$105*(1+International_Fuel_Surcharge),2),ROUND(((1-IntEconomyDiscount-IntEoncomyIncentive)*'Intl Economy Base'!B76)*(1+International_Fuel_Surcharge),2)))*(1+FedEx_Markup),2)</f>
        <v>170.66</v>
      </c>
      <c r="C79" s="307">
        <f>ROUND((IF('Intl Economy Base'!$C$105&gt;ROUND(((1-IntEconomyDiscount-IntEoncomyIncentive)*'Intl Economy Base'!C76),2),ROUND('Intl Economy Base'!$C$105*(1+International_Fuel_Surcharge),2),ROUND(((1-IntEconomyDiscount-IntEoncomyIncentive)*'Intl Economy Base'!C76)*(1+International_Fuel_Surcharge),2)))*(1+FedEx_Markup),2)</f>
        <v>183.87</v>
      </c>
      <c r="D79" s="307">
        <f>ROUND((IF('Intl Economy Base'!$D$105&gt;ROUND(((1-IntEconomyDiscount-IntEoncomyIncentive)*'Intl Economy Base'!D76),2),ROUND('Intl Economy Base'!$D$105*(1+International_Fuel_Surcharge),2),ROUND(((1-IntEconomyDiscount-IntEoncomyIncentive)*'Intl Economy Base'!D76)*(1+International_Fuel_Surcharge),2)))*(1+FedEx_Markup),2)</f>
        <v>124.11</v>
      </c>
      <c r="E79" s="307">
        <f>ROUND((IF('Intl Economy Base'!$E$105&gt;ROUND(((1-IntEconomyDiscount-IntEoncomyIncentive)*'Intl Economy Base'!E76),2),ROUND('Intl Economy Base'!$E$105*(1+International_Fuel_Surcharge),2),ROUND(((1-IntEconomyDiscount-IntEoncomyIncentive)*'Intl Economy Base'!E76)*(1+International_Fuel_Surcharge),2)))*(1+FedEx_Markup),2)</f>
        <v>247.56</v>
      </c>
      <c r="F79" s="307">
        <f>ROUND((IF('Intl Economy Base'!$F$105&gt;ROUND(((1-IntEconomyDiscount-IntEoncomyIncentive)*'Intl Economy Base'!F76),2),ROUND('Intl Economy Base'!$F$105*(1+International_Fuel_Surcharge),2),ROUND(((1-IntEconomyDiscount-IntEoncomyIncentive)*'Intl Economy Base'!F76)*(1+International_Fuel_Surcharge),2)))*(1+FedEx_Markup),2)</f>
        <v>445.38</v>
      </c>
      <c r="G79" s="307">
        <f>ROUND((IF('Intl Economy Base'!$G$105&gt;ROUND(((1-IntEconomyDiscount-IntEoncomyIncentive)*'Intl Economy Base'!G76),2),ROUND('Intl Economy Base'!$G$105*(1+International_Fuel_Surcharge),2),ROUND(((1-IntEconomyDiscount-IntEoncomyIncentive)*'Intl Economy Base'!G76)*(1+International_Fuel_Surcharge),2)))*(1+FedEx_Markup),2)</f>
        <v>269.63</v>
      </c>
      <c r="H79" s="307">
        <f>ROUND((IF('Intl Economy Base'!$H$105&gt;ROUND(((1-IntEconomyDiscount-IntEoncomyIncentive)*'Intl Economy Base'!H76),2),ROUND('Intl Economy Base'!$H$105*(1+International_Fuel_Surcharge),2),ROUND(((1-IntEconomyDiscount-IntEoncomyIncentive)*'Intl Economy Base'!H76)*(1+International_Fuel_Surcharge),2)))*(1+FedEx_Markup),2)</f>
        <v>259.95</v>
      </c>
      <c r="I79" s="307">
        <f>ROUND((IF('Intl Economy Base'!$I$105&gt;ROUND(((1-IntEconomyDiscount-IntEoncomyIncentive)*'Intl Economy Base'!I76),2),ROUND('Intl Economy Base'!$I$105*(1+International_Fuel_Surcharge),2),ROUND(((1-IntEconomyDiscount-IntEoncomyIncentive)*'Intl Economy Base'!I76)*(1+International_Fuel_Surcharge),2)))*(1+FedEx_Markup),2)</f>
        <v>302.89999999999998</v>
      </c>
      <c r="J79" s="307">
        <f>ROUND((IF('Intl Economy Base'!$J$105&gt;ROUND(((1-IntEconomyDiscount-IntEoncomyIncentive)*'Intl Economy Base'!J76),2),ROUND('Intl Economy Base'!$J$105*(1+International_Fuel_Surcharge),2),ROUND(((1-IntEconomyDiscount-IntEoncomyIncentive)*'Intl Economy Base'!J76)*(1+International_Fuel_Surcharge),2)))*(1+FedEx_Markup),2)</f>
        <v>185.24</v>
      </c>
      <c r="K79" s="307">
        <f>ROUND((IF('Intl Economy Base'!$K$105&gt;ROUND(((1-IntEconomyDiscount-IntEoncomyIncentive)*'Intl Economy Base'!K76),2),ROUND('Intl Economy Base'!$K$105*(1+International_Fuel_Surcharge),2),ROUND(((1-IntEconomyDiscount-IntEoncomyIncentive)*'Intl Economy Base'!K76)*(1+International_Fuel_Surcharge),2)))*(1+FedEx_Markup),2)</f>
        <v>387</v>
      </c>
      <c r="L79" s="307">
        <f>ROUND((IF('Intl Economy Base'!$L$105&gt;ROUND(((1-IntEconomyDiscount-IntEoncomyIncentive)*'Intl Economy Base'!L76),2),ROUND('Intl Economy Base'!$L$105*(1+International_Fuel_Surcharge),2),ROUND(((1-IntEconomyDiscount-IntEoncomyIncentive)*'Intl Economy Base'!L76)*(1+International_Fuel_Surcharge),2)))*(1+FedEx_Markup),2)</f>
        <v>317.77999999999997</v>
      </c>
      <c r="M79" s="307">
        <f>ROUND((IF('Intl Economy Base'!$M$105&gt;ROUND(((1-IntEconomyDiscount-IntEoncomyIncentive)*'Intl Economy Base'!M76),2),ROUND('Intl Economy Base'!$M$105*(1+International_Fuel_Surcharge),2),ROUND(((1-IntEconomyDiscount-IntEoncomyIncentive)*'Intl Economy Base'!M76)*(1+International_Fuel_Surcharge),2)))*(1+FedEx_Markup),2)</f>
        <v>404.66</v>
      </c>
      <c r="N79" s="307">
        <f>ROUND((IF('Intl Economy Base'!$N$105&gt;ROUND(((1-IntEconomyDiscount-IntEoncomyIncentive)*'Intl Economy Base'!N76),2),ROUND('Intl Economy Base'!$N$105*(1+International_Fuel_Surcharge),2),ROUND(((1-IntEconomyDiscount-IntEoncomyIncentive)*'Intl Economy Base'!N76)*(1+International_Fuel_Surcharge),2)))*(1+FedEx_Markup),2)</f>
        <v>410.41</v>
      </c>
      <c r="O79" s="307">
        <f>ROUND((IF('Intl Economy Base'!$O$105&gt;ROUND(((1-IntEconomyDiscount-IntEoncomyIncentive)*'Intl Economy Base'!O76),2),ROUND('Intl Economy Base'!$O$105*(1+International_Fuel_Surcharge),2),ROUND(((1-IntEconomyDiscount-IntEoncomyIncentive)*'Intl Economy Base'!O76)*(1+International_Fuel_Surcharge),2)))*(1+FedEx_Markup),2)</f>
        <v>292.25</v>
      </c>
      <c r="P79" s="307">
        <f>ROUND((IF('Intl Economy Base'!$P$105&gt;ROUND(((1-IntEconomyDiscount-IntEoncomyIncentive)*'Intl Economy Base'!P76),2),ROUND('Intl Economy Base'!$P$105*(1+International_Fuel_Surcharge),2),ROUND(((1-IntEconomyDiscount-IntEoncomyIncentive)*'Intl Economy Base'!P76)*(1+International_Fuel_Surcharge),2)))*(1+FedEx_Markup),2)</f>
        <v>337.97</v>
      </c>
      <c r="Q79" s="307">
        <f>ROUND((IF('Intl Economy Base'!$Q$105&gt;ROUND(((1-PuertoRicoDiscount)*'Intl Economy Base'!Q76),2),ROUND('Intl Economy Base'!$Q$105*(1+International_Fuel_Surcharge),2),ROUND(((1-PuertoRicoDiscount)*'Intl Economy Base'!Q76)*(1+International_Fuel_Surcharge),2)))*(1+FedEx_Markup),2)</f>
        <v>501.11</v>
      </c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2.75" customHeight="1">
      <c r="A80" s="306">
        <v>100</v>
      </c>
      <c r="B80" s="307">
        <f>ROUND((IF('Intl Economy Base'!$B$105&gt;ROUND(((1-IntEconomyDiscount-IntEoncomyIncentive)*'Intl Economy Base'!B77),2),ROUND('Intl Economy Base'!$B$105*(1+International_Fuel_Surcharge),2),ROUND(((1-IntEconomyDiscount-IntEoncomyIncentive)*'Intl Economy Base'!B77)*(1+International_Fuel_Surcharge),2)))*(1+FedEx_Markup),2)</f>
        <v>174.56</v>
      </c>
      <c r="C80" s="307">
        <f>ROUND((IF('Intl Economy Base'!$C$105&gt;ROUND(((1-IntEconomyDiscount-IntEoncomyIncentive)*'Intl Economy Base'!C77),2),ROUND('Intl Economy Base'!$C$105*(1+International_Fuel_Surcharge),2),ROUND(((1-IntEconomyDiscount-IntEoncomyIncentive)*'Intl Economy Base'!C77)*(1+International_Fuel_Surcharge),2)))*(1+FedEx_Markup),2)</f>
        <v>183.93</v>
      </c>
      <c r="D80" s="307">
        <f>ROUND((IF('Intl Economy Base'!$D$105&gt;ROUND(((1-IntEconomyDiscount-IntEoncomyIncentive)*'Intl Economy Base'!D77),2),ROUND('Intl Economy Base'!$D$105*(1+International_Fuel_Surcharge),2),ROUND(((1-IntEconomyDiscount-IntEoncomyIncentive)*'Intl Economy Base'!D77)*(1+International_Fuel_Surcharge),2)))*(1+FedEx_Markup),2)</f>
        <v>126.8</v>
      </c>
      <c r="E80" s="307">
        <f>ROUND((IF('Intl Economy Base'!$E$105&gt;ROUND(((1-IntEconomyDiscount-IntEoncomyIncentive)*'Intl Economy Base'!E77),2),ROUND('Intl Economy Base'!$E$105*(1+International_Fuel_Surcharge),2),ROUND(((1-IntEconomyDiscount-IntEoncomyIncentive)*'Intl Economy Base'!E77)*(1+International_Fuel_Surcharge),2)))*(1+FedEx_Markup),2)</f>
        <v>247.68</v>
      </c>
      <c r="F80" s="307">
        <f>ROUND((IF('Intl Economy Base'!$F$105&gt;ROUND(((1-IntEconomyDiscount-IntEoncomyIncentive)*'Intl Economy Base'!F77),2),ROUND('Intl Economy Base'!$F$105*(1+International_Fuel_Surcharge),2),ROUND(((1-IntEconomyDiscount-IntEoncomyIncentive)*'Intl Economy Base'!F77)*(1+International_Fuel_Surcharge),2)))*(1+FedEx_Markup),2)</f>
        <v>447.29</v>
      </c>
      <c r="G80" s="307">
        <f>ROUND((IF('Intl Economy Base'!$G$105&gt;ROUND(((1-IntEconomyDiscount-IntEoncomyIncentive)*'Intl Economy Base'!G77),2),ROUND('Intl Economy Base'!$G$105*(1+International_Fuel_Surcharge),2),ROUND(((1-IntEconomyDiscount-IntEoncomyIncentive)*'Intl Economy Base'!G77)*(1+International_Fuel_Surcharge),2)))*(1+FedEx_Markup),2)</f>
        <v>271.18</v>
      </c>
      <c r="H80" s="307">
        <f>ROUND((IF('Intl Economy Base'!$H$105&gt;ROUND(((1-IntEconomyDiscount-IntEoncomyIncentive)*'Intl Economy Base'!H77),2),ROUND('Intl Economy Base'!$H$105*(1+International_Fuel_Surcharge),2),ROUND(((1-IntEconomyDiscount-IntEoncomyIncentive)*'Intl Economy Base'!H77)*(1+International_Fuel_Surcharge),2)))*(1+FedEx_Markup),2)</f>
        <v>260.13</v>
      </c>
      <c r="I80" s="307">
        <f>ROUND((IF('Intl Economy Base'!$I$105&gt;ROUND(((1-IntEconomyDiscount-IntEoncomyIncentive)*'Intl Economy Base'!I77),2),ROUND('Intl Economy Base'!$I$105*(1+International_Fuel_Surcharge),2),ROUND(((1-IntEconomyDiscount-IntEoncomyIncentive)*'Intl Economy Base'!I77)*(1+International_Fuel_Surcharge),2)))*(1+FedEx_Markup),2)</f>
        <v>302.99</v>
      </c>
      <c r="J80" s="307">
        <f>ROUND((IF('Intl Economy Base'!$J$105&gt;ROUND(((1-IntEconomyDiscount-IntEoncomyIncentive)*'Intl Economy Base'!J77),2),ROUND('Intl Economy Base'!$J$105*(1+International_Fuel_Surcharge),2),ROUND(((1-IntEconomyDiscount-IntEoncomyIncentive)*'Intl Economy Base'!J77)*(1+International_Fuel_Surcharge),2)))*(1+FedEx_Markup),2)</f>
        <v>185.55</v>
      </c>
      <c r="K80" s="307">
        <f>ROUND((IF('Intl Economy Base'!$K$105&gt;ROUND(((1-IntEconomyDiscount-IntEoncomyIncentive)*'Intl Economy Base'!K77),2),ROUND('Intl Economy Base'!$K$105*(1+International_Fuel_Surcharge),2),ROUND(((1-IntEconomyDiscount-IntEoncomyIncentive)*'Intl Economy Base'!K77)*(1+International_Fuel_Surcharge),2)))*(1+FedEx_Markup),2)</f>
        <v>388.3</v>
      </c>
      <c r="L80" s="307">
        <f>ROUND((IF('Intl Economy Base'!$L$105&gt;ROUND(((1-IntEconomyDiscount-IntEoncomyIncentive)*'Intl Economy Base'!L77),2),ROUND('Intl Economy Base'!$L$105*(1+International_Fuel_Surcharge),2),ROUND(((1-IntEconomyDiscount-IntEoncomyIncentive)*'Intl Economy Base'!L77)*(1+International_Fuel_Surcharge),2)))*(1+FedEx_Markup),2)</f>
        <v>318.32</v>
      </c>
      <c r="M80" s="307">
        <f>ROUND((IF('Intl Economy Base'!$M$105&gt;ROUND(((1-IntEconomyDiscount-IntEoncomyIncentive)*'Intl Economy Base'!M77),2),ROUND('Intl Economy Base'!$M$105*(1+International_Fuel_Surcharge),2),ROUND(((1-IntEconomyDiscount-IntEoncomyIncentive)*'Intl Economy Base'!M77)*(1+International_Fuel_Surcharge),2)))*(1+FedEx_Markup),2)</f>
        <v>404.74</v>
      </c>
      <c r="N80" s="307">
        <f>ROUND((IF('Intl Economy Base'!$N$105&gt;ROUND(((1-IntEconomyDiscount-IntEoncomyIncentive)*'Intl Economy Base'!N77),2),ROUND('Intl Economy Base'!$N$105*(1+International_Fuel_Surcharge),2),ROUND(((1-IntEconomyDiscount-IntEoncomyIncentive)*'Intl Economy Base'!N77)*(1+International_Fuel_Surcharge),2)))*(1+FedEx_Markup),2)</f>
        <v>410.47</v>
      </c>
      <c r="O80" s="307">
        <f>ROUND((IF('Intl Economy Base'!$O$105&gt;ROUND(((1-IntEconomyDiscount-IntEoncomyIncentive)*'Intl Economy Base'!O77),2),ROUND('Intl Economy Base'!$O$105*(1+International_Fuel_Surcharge),2),ROUND(((1-IntEconomyDiscount-IntEoncomyIncentive)*'Intl Economy Base'!O77)*(1+International_Fuel_Surcharge),2)))*(1+FedEx_Markup),2)</f>
        <v>292.33</v>
      </c>
      <c r="P80" s="307">
        <f>ROUND((IF('Intl Economy Base'!$P$105&gt;ROUND(((1-IntEconomyDiscount-IntEoncomyIncentive)*'Intl Economy Base'!P77),2),ROUND('Intl Economy Base'!$P$105*(1+International_Fuel_Surcharge),2),ROUND(((1-IntEconomyDiscount-IntEoncomyIncentive)*'Intl Economy Base'!P77)*(1+International_Fuel_Surcharge),2)))*(1+FedEx_Markup),2)</f>
        <v>354.56</v>
      </c>
      <c r="Q80" s="307">
        <f>ROUND((IF('Intl Economy Base'!$Q$105&gt;ROUND(((1-PuertoRicoDiscount)*'Intl Economy Base'!Q77),2),ROUND('Intl Economy Base'!$Q$105*(1+International_Fuel_Surcharge),2),ROUND(((1-PuertoRicoDiscount)*'Intl Economy Base'!Q77)*(1+International_Fuel_Surcharge),2)))*(1+FedEx_Markup),2)</f>
        <v>501.16</v>
      </c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2.75" customHeight="1">
      <c r="A81" s="306">
        <v>105</v>
      </c>
      <c r="B81" s="307">
        <f>ROUND((IF('Intl Economy Base'!$B$105&gt;ROUND(((1-IntEconomyDiscount-IntEoncomyIncentive)*'Intl Economy Base'!B78),2),ROUND('Intl Economy Base'!$B$105*(1+International_Fuel_Surcharge),2),ROUND(((1-IntEconomyDiscount-IntEoncomyIncentive)*'Intl Economy Base'!B78)*(1+International_Fuel_Surcharge),2)))*(1+FedEx_Markup),2)</f>
        <v>176.17</v>
      </c>
      <c r="C81" s="307">
        <f>ROUND((IF('Intl Economy Base'!$C$105&gt;ROUND(((1-IntEconomyDiscount-IntEoncomyIncentive)*'Intl Economy Base'!C78),2),ROUND('Intl Economy Base'!$C$105*(1+International_Fuel_Surcharge),2),ROUND(((1-IntEconomyDiscount-IntEoncomyIncentive)*'Intl Economy Base'!C78)*(1+International_Fuel_Surcharge),2)))*(1+FedEx_Markup),2)</f>
        <v>183.98</v>
      </c>
      <c r="D81" s="307">
        <f>ROUND((IF('Intl Economy Base'!$D$105&gt;ROUND(((1-IntEconomyDiscount-IntEoncomyIncentive)*'Intl Economy Base'!D78),2),ROUND('Intl Economy Base'!$D$105*(1+International_Fuel_Surcharge),2),ROUND(((1-IntEconomyDiscount-IntEoncomyIncentive)*'Intl Economy Base'!D78)*(1+International_Fuel_Surcharge),2)))*(1+FedEx_Markup),2)</f>
        <v>129.9</v>
      </c>
      <c r="E81" s="307">
        <f>ROUND((IF('Intl Economy Base'!$E$105&gt;ROUND(((1-IntEconomyDiscount-IntEoncomyIncentive)*'Intl Economy Base'!E78),2),ROUND('Intl Economy Base'!$E$105*(1+International_Fuel_Surcharge),2),ROUND(((1-IntEconomyDiscount-IntEoncomyIncentive)*'Intl Economy Base'!E78)*(1+International_Fuel_Surcharge),2)))*(1+FedEx_Markup),2)</f>
        <v>247.76</v>
      </c>
      <c r="F81" s="307">
        <f>ROUND((IF('Intl Economy Base'!$F$105&gt;ROUND(((1-IntEconomyDiscount-IntEoncomyIncentive)*'Intl Economy Base'!F78),2),ROUND('Intl Economy Base'!$F$105*(1+International_Fuel_Surcharge),2),ROUND(((1-IntEconomyDiscount-IntEoncomyIncentive)*'Intl Economy Base'!F78)*(1+International_Fuel_Surcharge),2)))*(1+FedEx_Markup),2)</f>
        <v>447.5</v>
      </c>
      <c r="G81" s="307">
        <f>ROUND((IF('Intl Economy Base'!$G$105&gt;ROUND(((1-IntEconomyDiscount-IntEoncomyIncentive)*'Intl Economy Base'!G78),2),ROUND('Intl Economy Base'!$G$105*(1+International_Fuel_Surcharge),2),ROUND(((1-IntEconomyDiscount-IntEoncomyIncentive)*'Intl Economy Base'!G78)*(1+International_Fuel_Surcharge),2)))*(1+FedEx_Markup),2)</f>
        <v>274.01</v>
      </c>
      <c r="H81" s="307">
        <f>ROUND((IF('Intl Economy Base'!$H$105&gt;ROUND(((1-IntEconomyDiscount-IntEoncomyIncentive)*'Intl Economy Base'!H78),2),ROUND('Intl Economy Base'!$H$105*(1+International_Fuel_Surcharge),2),ROUND(((1-IntEconomyDiscount-IntEoncomyIncentive)*'Intl Economy Base'!H78)*(1+International_Fuel_Surcharge),2)))*(1+FedEx_Markup),2)</f>
        <v>263.55</v>
      </c>
      <c r="I81" s="307">
        <f>ROUND((IF('Intl Economy Base'!$I$105&gt;ROUND(((1-IntEconomyDiscount-IntEoncomyIncentive)*'Intl Economy Base'!I78),2),ROUND('Intl Economy Base'!$I$105*(1+International_Fuel_Surcharge),2),ROUND(((1-IntEconomyDiscount-IntEoncomyIncentive)*'Intl Economy Base'!I78)*(1+International_Fuel_Surcharge),2)))*(1+FedEx_Markup),2)</f>
        <v>303.06</v>
      </c>
      <c r="J81" s="307">
        <f>ROUND((IF('Intl Economy Base'!$J$105&gt;ROUND(((1-IntEconomyDiscount-IntEoncomyIncentive)*'Intl Economy Base'!J78),2),ROUND('Intl Economy Base'!$J$105*(1+International_Fuel_Surcharge),2),ROUND(((1-IntEconomyDiscount-IntEoncomyIncentive)*'Intl Economy Base'!J78)*(1+International_Fuel_Surcharge),2)))*(1+FedEx_Markup),2)</f>
        <v>191.76</v>
      </c>
      <c r="K81" s="307">
        <f>ROUND((IF('Intl Economy Base'!$K$105&gt;ROUND(((1-IntEconomyDiscount-IntEoncomyIncentive)*'Intl Economy Base'!K78),2),ROUND('Intl Economy Base'!$K$105*(1+International_Fuel_Surcharge),2),ROUND(((1-IntEconomyDiscount-IntEoncomyIncentive)*'Intl Economy Base'!K78)*(1+International_Fuel_Surcharge),2)))*(1+FedEx_Markup),2)</f>
        <v>389.6</v>
      </c>
      <c r="L81" s="307">
        <f>ROUND((IF('Intl Economy Base'!$L$105&gt;ROUND(((1-IntEconomyDiscount-IntEoncomyIncentive)*'Intl Economy Base'!L78),2),ROUND('Intl Economy Base'!$L$105*(1+International_Fuel_Surcharge),2),ROUND(((1-IntEconomyDiscount-IntEoncomyIncentive)*'Intl Economy Base'!L78)*(1+International_Fuel_Surcharge),2)))*(1+FedEx_Markup),2)</f>
        <v>328.82</v>
      </c>
      <c r="M81" s="307">
        <f>ROUND((IF('Intl Economy Base'!$M$105&gt;ROUND(((1-IntEconomyDiscount-IntEoncomyIncentive)*'Intl Economy Base'!M78),2),ROUND('Intl Economy Base'!$M$105*(1+International_Fuel_Surcharge),2),ROUND(((1-IntEconomyDiscount-IntEoncomyIncentive)*'Intl Economy Base'!M78)*(1+International_Fuel_Surcharge),2)))*(1+FedEx_Markup),2)</f>
        <v>404.81</v>
      </c>
      <c r="N81" s="307">
        <f>ROUND((IF('Intl Economy Base'!$N$105&gt;ROUND(((1-IntEconomyDiscount-IntEoncomyIncentive)*'Intl Economy Base'!N78),2),ROUND('Intl Economy Base'!$N$105*(1+International_Fuel_Surcharge),2),ROUND(((1-IntEconomyDiscount-IntEoncomyIncentive)*'Intl Economy Base'!N78)*(1+International_Fuel_Surcharge),2)))*(1+FedEx_Markup),2)</f>
        <v>410.54</v>
      </c>
      <c r="O81" s="307">
        <f>ROUND((IF('Intl Economy Base'!$O$105&gt;ROUND(((1-IntEconomyDiscount-IntEoncomyIncentive)*'Intl Economy Base'!O78),2),ROUND('Intl Economy Base'!$O$105*(1+International_Fuel_Surcharge),2),ROUND(((1-IntEconomyDiscount-IntEoncomyIncentive)*'Intl Economy Base'!O78)*(1+International_Fuel_Surcharge),2)))*(1+FedEx_Markup),2)</f>
        <v>292.39999999999998</v>
      </c>
      <c r="P81" s="307">
        <f>ROUND((IF('Intl Economy Base'!$P$105&gt;ROUND(((1-IntEconomyDiscount-IntEoncomyIncentive)*'Intl Economy Base'!P78),2),ROUND('Intl Economy Base'!$P$105*(1+International_Fuel_Surcharge),2),ROUND(((1-IntEconomyDiscount-IntEoncomyIncentive)*'Intl Economy Base'!P78)*(1+International_Fuel_Surcharge),2)))*(1+FedEx_Markup),2)</f>
        <v>356.21</v>
      </c>
      <c r="Q81" s="307">
        <f>ROUND((IF('Intl Economy Base'!$Q$105&gt;ROUND(((1-PuertoRicoDiscount)*'Intl Economy Base'!Q78),2),ROUND('Intl Economy Base'!$Q$105*(1+International_Fuel_Surcharge),2),ROUND(((1-PuertoRicoDiscount)*'Intl Economy Base'!Q78)*(1+International_Fuel_Surcharge),2)))*(1+FedEx_Markup),2)</f>
        <v>501.24</v>
      </c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2.75" customHeight="1">
      <c r="A82" s="306">
        <v>110</v>
      </c>
      <c r="B82" s="307">
        <f>ROUND((IF('Intl Economy Base'!$B$105&gt;ROUND(((1-IntEconomyDiscount-IntEoncomyIncentive)*'Intl Economy Base'!B79),2),ROUND('Intl Economy Base'!$B$105*(1+International_Fuel_Surcharge),2),ROUND(((1-IntEconomyDiscount-IntEoncomyIncentive)*'Intl Economy Base'!B79)*(1+International_Fuel_Surcharge),2)))*(1+FedEx_Markup),2)</f>
        <v>176.33</v>
      </c>
      <c r="C82" s="307">
        <f>ROUND((IF('Intl Economy Base'!$C$105&gt;ROUND(((1-IntEconomyDiscount-IntEoncomyIncentive)*'Intl Economy Base'!C79),2),ROUND('Intl Economy Base'!$C$105*(1+International_Fuel_Surcharge),2),ROUND(((1-IntEconomyDiscount-IntEoncomyIncentive)*'Intl Economy Base'!C79)*(1+International_Fuel_Surcharge),2)))*(1+FedEx_Markup),2)</f>
        <v>184.03</v>
      </c>
      <c r="D82" s="307">
        <f>ROUND((IF('Intl Economy Base'!$D$105&gt;ROUND(((1-IntEconomyDiscount-IntEoncomyIncentive)*'Intl Economy Base'!D79),2),ROUND('Intl Economy Base'!$D$105*(1+International_Fuel_Surcharge),2),ROUND(((1-IntEconomyDiscount-IntEoncomyIncentive)*'Intl Economy Base'!D79)*(1+International_Fuel_Surcharge),2)))*(1+FedEx_Markup),2)</f>
        <v>130.22999999999999</v>
      </c>
      <c r="E82" s="307">
        <f>ROUND((IF('Intl Economy Base'!$E$105&gt;ROUND(((1-IntEconomyDiscount-IntEoncomyIncentive)*'Intl Economy Base'!E79),2),ROUND('Intl Economy Base'!$E$105*(1+International_Fuel_Surcharge),2),ROUND(((1-IntEconomyDiscount-IntEoncomyIncentive)*'Intl Economy Base'!E79)*(1+International_Fuel_Surcharge),2)))*(1+FedEx_Markup),2)</f>
        <v>247.94</v>
      </c>
      <c r="F82" s="307">
        <f>ROUND((IF('Intl Economy Base'!$F$105&gt;ROUND(((1-IntEconomyDiscount-IntEoncomyIncentive)*'Intl Economy Base'!F79),2),ROUND('Intl Economy Base'!$F$105*(1+International_Fuel_Surcharge),2),ROUND(((1-IntEconomyDiscount-IntEoncomyIncentive)*'Intl Economy Base'!F79)*(1+International_Fuel_Surcharge),2)))*(1+FedEx_Markup),2)</f>
        <v>447.57</v>
      </c>
      <c r="G82" s="307">
        <f>ROUND((IF('Intl Economy Base'!$G$105&gt;ROUND(((1-IntEconomyDiscount-IntEoncomyIncentive)*'Intl Economy Base'!G79),2),ROUND('Intl Economy Base'!$G$105*(1+International_Fuel_Surcharge),2),ROUND(((1-IntEconomyDiscount-IntEoncomyIncentive)*'Intl Economy Base'!G79)*(1+International_Fuel_Surcharge),2)))*(1+FedEx_Markup),2)</f>
        <v>276.18</v>
      </c>
      <c r="H82" s="307">
        <f>ROUND((IF('Intl Economy Base'!$H$105&gt;ROUND(((1-IntEconomyDiscount-IntEoncomyIncentive)*'Intl Economy Base'!H79),2),ROUND('Intl Economy Base'!$H$105*(1+International_Fuel_Surcharge),2),ROUND(((1-IntEconomyDiscount-IntEoncomyIncentive)*'Intl Economy Base'!H79)*(1+International_Fuel_Surcharge),2)))*(1+FedEx_Markup),2)</f>
        <v>265.33999999999997</v>
      </c>
      <c r="I82" s="307">
        <f>ROUND((IF('Intl Economy Base'!$I$105&gt;ROUND(((1-IntEconomyDiscount-IntEoncomyIncentive)*'Intl Economy Base'!I79),2),ROUND('Intl Economy Base'!$I$105*(1+International_Fuel_Surcharge),2),ROUND(((1-IntEconomyDiscount-IntEoncomyIncentive)*'Intl Economy Base'!I79)*(1+International_Fuel_Surcharge),2)))*(1+FedEx_Markup),2)</f>
        <v>303.13</v>
      </c>
      <c r="J82" s="307">
        <f>ROUND((IF('Intl Economy Base'!$J$105&gt;ROUND(((1-IntEconomyDiscount-IntEoncomyIncentive)*'Intl Economy Base'!J79),2),ROUND('Intl Economy Base'!$J$105*(1+International_Fuel_Surcharge),2),ROUND(((1-IntEconomyDiscount-IntEoncomyIncentive)*'Intl Economy Base'!J79)*(1+International_Fuel_Surcharge),2)))*(1+FedEx_Markup),2)</f>
        <v>192.38</v>
      </c>
      <c r="K82" s="307">
        <f>ROUND((IF('Intl Economy Base'!$K$105&gt;ROUND(((1-IntEconomyDiscount-IntEoncomyIncentive)*'Intl Economy Base'!K79),2),ROUND('Intl Economy Base'!$K$105*(1+International_Fuel_Surcharge),2),ROUND(((1-IntEconomyDiscount-IntEoncomyIncentive)*'Intl Economy Base'!K79)*(1+International_Fuel_Surcharge),2)))*(1+FedEx_Markup),2)</f>
        <v>390.9</v>
      </c>
      <c r="L82" s="307">
        <f>ROUND((IF('Intl Economy Base'!$L$105&gt;ROUND(((1-IntEconomyDiscount-IntEoncomyIncentive)*'Intl Economy Base'!L79),2),ROUND('Intl Economy Base'!$L$105*(1+International_Fuel_Surcharge),2),ROUND(((1-IntEconomyDiscount-IntEoncomyIncentive)*'Intl Economy Base'!L79)*(1+International_Fuel_Surcharge),2)))*(1+FedEx_Markup),2)</f>
        <v>329.87</v>
      </c>
      <c r="M82" s="307">
        <f>ROUND((IF('Intl Economy Base'!$M$105&gt;ROUND(((1-IntEconomyDiscount-IntEoncomyIncentive)*'Intl Economy Base'!M79),2),ROUND('Intl Economy Base'!$M$105*(1+International_Fuel_Surcharge),2),ROUND(((1-IntEconomyDiscount-IntEoncomyIncentive)*'Intl Economy Base'!M79)*(1+International_Fuel_Surcharge),2)))*(1+FedEx_Markup),2)</f>
        <v>404.89</v>
      </c>
      <c r="N82" s="307">
        <f>ROUND((IF('Intl Economy Base'!$N$105&gt;ROUND(((1-IntEconomyDiscount-IntEoncomyIncentive)*'Intl Economy Base'!N79),2),ROUND('Intl Economy Base'!$N$105*(1+International_Fuel_Surcharge),2),ROUND(((1-IntEconomyDiscount-IntEoncomyIncentive)*'Intl Economy Base'!N79)*(1+International_Fuel_Surcharge),2)))*(1+FedEx_Markup),2)</f>
        <v>410.6</v>
      </c>
      <c r="O82" s="307">
        <f>ROUND((IF('Intl Economy Base'!$O$105&gt;ROUND(((1-IntEconomyDiscount-IntEoncomyIncentive)*'Intl Economy Base'!O79),2),ROUND('Intl Economy Base'!$O$105*(1+International_Fuel_Surcharge),2),ROUND(((1-IntEconomyDiscount-IntEoncomyIncentive)*'Intl Economy Base'!O79)*(1+International_Fuel_Surcharge),2)))*(1+FedEx_Markup),2)</f>
        <v>292.48</v>
      </c>
      <c r="P82" s="307">
        <f>ROUND((IF('Intl Economy Base'!$P$105&gt;ROUND(((1-IntEconomyDiscount-IntEoncomyIncentive)*'Intl Economy Base'!P79),2),ROUND('Intl Economy Base'!$P$105*(1+International_Fuel_Surcharge),2),ROUND(((1-IntEconomyDiscount-IntEoncomyIncentive)*'Intl Economy Base'!P79)*(1+International_Fuel_Surcharge),2)))*(1+FedEx_Markup),2)</f>
        <v>356.39</v>
      </c>
      <c r="Q82" s="307">
        <f>ROUND((IF('Intl Economy Base'!$Q$105&gt;ROUND(((1-PuertoRicoDiscount)*'Intl Economy Base'!Q79),2),ROUND('Intl Economy Base'!$Q$105*(1+International_Fuel_Surcharge),2),ROUND(((1-PuertoRicoDiscount)*'Intl Economy Base'!Q79)*(1+International_Fuel_Surcharge),2)))*(1+FedEx_Markup),2)</f>
        <v>501.27</v>
      </c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2.75" customHeight="1">
      <c r="A83" s="306">
        <v>115</v>
      </c>
      <c r="B83" s="307">
        <f>ROUND((IF('Intl Economy Base'!$B$105&gt;ROUND(((1-IntEconomyDiscount-IntEoncomyIncentive)*'Intl Economy Base'!B80),2),ROUND('Intl Economy Base'!$B$105*(1+International_Fuel_Surcharge),2),ROUND(((1-IntEconomyDiscount-IntEoncomyIncentive)*'Intl Economy Base'!B80)*(1+International_Fuel_Surcharge),2)))*(1+FedEx_Markup),2)</f>
        <v>176.39</v>
      </c>
      <c r="C83" s="307">
        <f>ROUND((IF('Intl Economy Base'!$C$105&gt;ROUND(((1-IntEconomyDiscount-IntEoncomyIncentive)*'Intl Economy Base'!C80),2),ROUND('Intl Economy Base'!$C$105*(1+International_Fuel_Surcharge),2),ROUND(((1-IntEconomyDiscount-IntEoncomyIncentive)*'Intl Economy Base'!C80)*(1+International_Fuel_Surcharge),2)))*(1+FedEx_Markup),2)</f>
        <v>184.09</v>
      </c>
      <c r="D83" s="307">
        <f>ROUND((IF('Intl Economy Base'!$D$105&gt;ROUND(((1-IntEconomyDiscount-IntEoncomyIncentive)*'Intl Economy Base'!D80),2),ROUND('Intl Economy Base'!$D$105*(1+International_Fuel_Surcharge),2),ROUND(((1-IntEconomyDiscount-IntEoncomyIncentive)*'Intl Economy Base'!D80)*(1+International_Fuel_Surcharge),2)))*(1+FedEx_Markup),2)</f>
        <v>131.41</v>
      </c>
      <c r="E83" s="307">
        <f>ROUND((IF('Intl Economy Base'!$E$105&gt;ROUND(((1-IntEconomyDiscount-IntEoncomyIncentive)*'Intl Economy Base'!E80),2),ROUND('Intl Economy Base'!$E$105*(1+International_Fuel_Surcharge),2),ROUND(((1-IntEconomyDiscount-IntEoncomyIncentive)*'Intl Economy Base'!E80)*(1+International_Fuel_Surcharge),2)))*(1+FedEx_Markup),2)</f>
        <v>248.02</v>
      </c>
      <c r="F83" s="307">
        <f>ROUND((IF('Intl Economy Base'!$F$105&gt;ROUND(((1-IntEconomyDiscount-IntEoncomyIncentive)*'Intl Economy Base'!F80),2),ROUND('Intl Economy Base'!$F$105*(1+International_Fuel_Surcharge),2),ROUND(((1-IntEconomyDiscount-IntEoncomyIncentive)*'Intl Economy Base'!F80)*(1+International_Fuel_Surcharge),2)))*(1+FedEx_Markup),2)</f>
        <v>447.63</v>
      </c>
      <c r="G83" s="307">
        <f>ROUND((IF('Intl Economy Base'!$G$105&gt;ROUND(((1-IntEconomyDiscount-IntEoncomyIncentive)*'Intl Economy Base'!G80),2),ROUND('Intl Economy Base'!$G$105*(1+International_Fuel_Surcharge),2),ROUND(((1-IntEconomyDiscount-IntEoncomyIncentive)*'Intl Economy Base'!G80)*(1+International_Fuel_Surcharge),2)))*(1+FedEx_Markup),2)</f>
        <v>278.37</v>
      </c>
      <c r="H83" s="307">
        <f>ROUND((IF('Intl Economy Base'!$H$105&gt;ROUND(((1-IntEconomyDiscount-IntEoncomyIncentive)*'Intl Economy Base'!H80),2),ROUND('Intl Economy Base'!$H$105*(1+International_Fuel_Surcharge),2),ROUND(((1-IntEconomyDiscount-IntEoncomyIncentive)*'Intl Economy Base'!H80)*(1+International_Fuel_Surcharge),2)))*(1+FedEx_Markup),2)</f>
        <v>267.13</v>
      </c>
      <c r="I83" s="307">
        <f>ROUND((IF('Intl Economy Base'!$I$105&gt;ROUND(((1-IntEconomyDiscount-IntEoncomyIncentive)*'Intl Economy Base'!I80),2),ROUND('Intl Economy Base'!$I$105*(1+International_Fuel_Surcharge),2),ROUND(((1-IntEconomyDiscount-IntEoncomyIncentive)*'Intl Economy Base'!I80)*(1+International_Fuel_Surcharge),2)))*(1+FedEx_Markup),2)</f>
        <v>303.2</v>
      </c>
      <c r="J83" s="307">
        <f>ROUND((IF('Intl Economy Base'!$J$105&gt;ROUND(((1-IntEconomyDiscount-IntEoncomyIncentive)*'Intl Economy Base'!J80),2),ROUND('Intl Economy Base'!$J$105*(1+International_Fuel_Surcharge),2),ROUND(((1-IntEconomyDiscount-IntEoncomyIncentive)*'Intl Economy Base'!J80)*(1+International_Fuel_Surcharge),2)))*(1+FedEx_Markup),2)</f>
        <v>193.13</v>
      </c>
      <c r="K83" s="307">
        <f>ROUND((IF('Intl Economy Base'!$K$105&gt;ROUND(((1-IntEconomyDiscount-IntEoncomyIncentive)*'Intl Economy Base'!K80),2),ROUND('Intl Economy Base'!$K$105*(1+International_Fuel_Surcharge),2),ROUND(((1-IntEconomyDiscount-IntEoncomyIncentive)*'Intl Economy Base'!K80)*(1+International_Fuel_Surcharge),2)))*(1+FedEx_Markup),2)</f>
        <v>391.93</v>
      </c>
      <c r="L83" s="307">
        <f>ROUND((IF('Intl Economy Base'!$L$105&gt;ROUND(((1-IntEconomyDiscount-IntEoncomyIncentive)*'Intl Economy Base'!L80),2),ROUND('Intl Economy Base'!$L$105*(1+International_Fuel_Surcharge),2),ROUND(((1-IntEconomyDiscount-IntEoncomyIncentive)*'Intl Economy Base'!L80)*(1+International_Fuel_Surcharge),2)))*(1+FedEx_Markup),2)</f>
        <v>329.98</v>
      </c>
      <c r="M83" s="307">
        <f>ROUND((IF('Intl Economy Base'!$M$105&gt;ROUND(((1-IntEconomyDiscount-IntEoncomyIncentive)*'Intl Economy Base'!M80),2),ROUND('Intl Economy Base'!$M$105*(1+International_Fuel_Surcharge),2),ROUND(((1-IntEconomyDiscount-IntEoncomyIncentive)*'Intl Economy Base'!M80)*(1+International_Fuel_Surcharge),2)))*(1+FedEx_Markup),2)</f>
        <v>405.96</v>
      </c>
      <c r="N83" s="307">
        <f>ROUND((IF('Intl Economy Base'!$N$105&gt;ROUND(((1-IntEconomyDiscount-IntEoncomyIncentive)*'Intl Economy Base'!N80),2),ROUND('Intl Economy Base'!$N$105*(1+International_Fuel_Surcharge),2),ROUND(((1-IntEconomyDiscount-IntEoncomyIncentive)*'Intl Economy Base'!N80)*(1+International_Fuel_Surcharge),2)))*(1+FedEx_Markup),2)</f>
        <v>410.69</v>
      </c>
      <c r="O83" s="307">
        <f>ROUND((IF('Intl Economy Base'!$O$105&gt;ROUND(((1-IntEconomyDiscount-IntEoncomyIncentive)*'Intl Economy Base'!O80),2),ROUND('Intl Economy Base'!$O$105*(1+International_Fuel_Surcharge),2),ROUND(((1-IntEconomyDiscount-IntEoncomyIncentive)*'Intl Economy Base'!O80)*(1+International_Fuel_Surcharge),2)))*(1+FedEx_Markup),2)</f>
        <v>292.54000000000002</v>
      </c>
      <c r="P83" s="307">
        <f>ROUND((IF('Intl Economy Base'!$P$105&gt;ROUND(((1-IntEconomyDiscount-IntEoncomyIncentive)*'Intl Economy Base'!P80),2),ROUND('Intl Economy Base'!$P$105*(1+International_Fuel_Surcharge),2),ROUND(((1-IntEconomyDiscount-IntEoncomyIncentive)*'Intl Economy Base'!P80)*(1+International_Fuel_Surcharge),2)))*(1+FedEx_Markup),2)</f>
        <v>356.45</v>
      </c>
      <c r="Q83" s="307">
        <f>ROUND((IF('Intl Economy Base'!$Q$105&gt;ROUND(((1-PuertoRicoDiscount)*'Intl Economy Base'!Q80),2),ROUND('Intl Economy Base'!$Q$105*(1+International_Fuel_Surcharge),2),ROUND(((1-PuertoRicoDiscount)*'Intl Economy Base'!Q80)*(1+International_Fuel_Surcharge),2)))*(1+FedEx_Markup),2)</f>
        <v>501.32</v>
      </c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2.75" customHeight="1">
      <c r="A84" s="306">
        <v>120</v>
      </c>
      <c r="B84" s="307">
        <f>ROUND((IF('Intl Economy Base'!$B$105&gt;ROUND(((1-IntEconomyDiscount-IntEoncomyIncentive)*'Intl Economy Base'!B81),2),ROUND('Intl Economy Base'!$B$105*(1+International_Fuel_Surcharge),2),ROUND(((1-IntEconomyDiscount-IntEoncomyIncentive)*'Intl Economy Base'!B81)*(1+International_Fuel_Surcharge),2)))*(1+FedEx_Markup),2)</f>
        <v>176.44</v>
      </c>
      <c r="C84" s="307">
        <f>ROUND((IF('Intl Economy Base'!$C$105&gt;ROUND(((1-IntEconomyDiscount-IntEoncomyIncentive)*'Intl Economy Base'!C81),2),ROUND('Intl Economy Base'!$C$105*(1+International_Fuel_Surcharge),2),ROUND(((1-IntEconomyDiscount-IntEoncomyIncentive)*'Intl Economy Base'!C81)*(1+International_Fuel_Surcharge),2)))*(1+FedEx_Markup),2)</f>
        <v>184.15</v>
      </c>
      <c r="D84" s="307">
        <f>ROUND((IF('Intl Economy Base'!$D$105&gt;ROUND(((1-IntEconomyDiscount-IntEoncomyIncentive)*'Intl Economy Base'!D81),2),ROUND('Intl Economy Base'!$D$105*(1+International_Fuel_Surcharge),2),ROUND(((1-IntEconomyDiscount-IntEoncomyIncentive)*'Intl Economy Base'!D81)*(1+International_Fuel_Surcharge),2)))*(1+FedEx_Markup),2)</f>
        <v>133.33000000000001</v>
      </c>
      <c r="E84" s="307">
        <f>ROUND((IF('Intl Economy Base'!$E$105&gt;ROUND(((1-IntEconomyDiscount-IntEoncomyIncentive)*'Intl Economy Base'!E81),2),ROUND('Intl Economy Base'!$E$105*(1+International_Fuel_Surcharge),2),ROUND(((1-IntEconomyDiscount-IntEoncomyIncentive)*'Intl Economy Base'!E81)*(1+International_Fuel_Surcharge),2)))*(1+FedEx_Markup),2)</f>
        <v>248.1</v>
      </c>
      <c r="F84" s="307">
        <f>ROUND((IF('Intl Economy Base'!$F$105&gt;ROUND(((1-IntEconomyDiscount-IntEoncomyIncentive)*'Intl Economy Base'!F81),2),ROUND('Intl Economy Base'!$F$105*(1+International_Fuel_Surcharge),2),ROUND(((1-IntEconomyDiscount-IntEoncomyIncentive)*'Intl Economy Base'!F81)*(1+International_Fuel_Surcharge),2)))*(1+FedEx_Markup),2)</f>
        <v>447.7</v>
      </c>
      <c r="G84" s="307">
        <f>ROUND((IF('Intl Economy Base'!$G$105&gt;ROUND(((1-IntEconomyDiscount-IntEoncomyIncentive)*'Intl Economy Base'!G81),2),ROUND('Intl Economy Base'!$G$105*(1+International_Fuel_Surcharge),2),ROUND(((1-IntEconomyDiscount-IntEoncomyIncentive)*'Intl Economy Base'!G81)*(1+International_Fuel_Surcharge),2)))*(1+FedEx_Markup),2)</f>
        <v>279.14</v>
      </c>
      <c r="H84" s="307">
        <f>ROUND((IF('Intl Economy Base'!$H$105&gt;ROUND(((1-IntEconomyDiscount-IntEoncomyIncentive)*'Intl Economy Base'!H81),2),ROUND('Intl Economy Base'!$H$105*(1+International_Fuel_Surcharge),2),ROUND(((1-IntEconomyDiscount-IntEoncomyIncentive)*'Intl Economy Base'!H81)*(1+International_Fuel_Surcharge),2)))*(1+FedEx_Markup),2)</f>
        <v>268.94</v>
      </c>
      <c r="I84" s="307">
        <f>ROUND((IF('Intl Economy Base'!$I$105&gt;ROUND(((1-IntEconomyDiscount-IntEoncomyIncentive)*'Intl Economy Base'!I81),2),ROUND('Intl Economy Base'!$I$105*(1+International_Fuel_Surcharge),2),ROUND(((1-IntEconomyDiscount-IntEoncomyIncentive)*'Intl Economy Base'!I81)*(1+International_Fuel_Surcharge),2)))*(1+FedEx_Markup),2)</f>
        <v>303.26</v>
      </c>
      <c r="J84" s="307">
        <f>ROUND((IF('Intl Economy Base'!$J$105&gt;ROUND(((1-IntEconomyDiscount-IntEoncomyIncentive)*'Intl Economy Base'!J81),2),ROUND('Intl Economy Base'!$J$105*(1+International_Fuel_Surcharge),2),ROUND(((1-IntEconomyDiscount-IntEoncomyIncentive)*'Intl Economy Base'!J81)*(1+International_Fuel_Surcharge),2)))*(1+FedEx_Markup),2)</f>
        <v>193.2</v>
      </c>
      <c r="K84" s="307">
        <f>ROUND((IF('Intl Economy Base'!$K$105&gt;ROUND(((1-IntEconomyDiscount-IntEoncomyIncentive)*'Intl Economy Base'!K81),2),ROUND('Intl Economy Base'!$K$105*(1+International_Fuel_Surcharge),2),ROUND(((1-IntEconomyDiscount-IntEoncomyIncentive)*'Intl Economy Base'!K81)*(1+International_Fuel_Surcharge),2)))*(1+FedEx_Markup),2)</f>
        <v>392.05</v>
      </c>
      <c r="L84" s="307">
        <f>ROUND((IF('Intl Economy Base'!$L$105&gt;ROUND(((1-IntEconomyDiscount-IntEoncomyIncentive)*'Intl Economy Base'!L81),2),ROUND('Intl Economy Base'!$L$105*(1+International_Fuel_Surcharge),2),ROUND(((1-IntEconomyDiscount-IntEoncomyIncentive)*'Intl Economy Base'!L81)*(1+International_Fuel_Surcharge),2)))*(1+FedEx_Markup),2)</f>
        <v>330.05</v>
      </c>
      <c r="M84" s="307">
        <f>ROUND((IF('Intl Economy Base'!$M$105&gt;ROUND(((1-IntEconomyDiscount-IntEoncomyIncentive)*'Intl Economy Base'!M81),2),ROUND('Intl Economy Base'!$M$105*(1+International_Fuel_Surcharge),2),ROUND(((1-IntEconomyDiscount-IntEoncomyIncentive)*'Intl Economy Base'!M81)*(1+International_Fuel_Surcharge),2)))*(1+FedEx_Markup),2)</f>
        <v>427.28</v>
      </c>
      <c r="N84" s="307">
        <f>ROUND((IF('Intl Economy Base'!$N$105&gt;ROUND(((1-IntEconomyDiscount-IntEoncomyIncentive)*'Intl Economy Base'!N81),2),ROUND('Intl Economy Base'!$N$105*(1+International_Fuel_Surcharge),2),ROUND(((1-IntEconomyDiscount-IntEoncomyIncentive)*'Intl Economy Base'!N81)*(1+International_Fuel_Surcharge),2)))*(1+FedEx_Markup),2)</f>
        <v>412.3</v>
      </c>
      <c r="O84" s="307">
        <f>ROUND((IF('Intl Economy Base'!$O$105&gt;ROUND(((1-IntEconomyDiscount-IntEoncomyIncentive)*'Intl Economy Base'!O81),2),ROUND('Intl Economy Base'!$O$105*(1+International_Fuel_Surcharge),2),ROUND(((1-IntEconomyDiscount-IntEoncomyIncentive)*'Intl Economy Base'!O81)*(1+International_Fuel_Surcharge),2)))*(1+FedEx_Markup),2)</f>
        <v>292.62</v>
      </c>
      <c r="P84" s="307">
        <f>ROUND((IF('Intl Economy Base'!$P$105&gt;ROUND(((1-IntEconomyDiscount-IntEoncomyIncentive)*'Intl Economy Base'!P81),2),ROUND('Intl Economy Base'!$P$105*(1+International_Fuel_Surcharge),2),ROUND(((1-IntEconomyDiscount-IntEoncomyIncentive)*'Intl Economy Base'!P81)*(1+International_Fuel_Surcharge),2)))*(1+FedEx_Markup),2)</f>
        <v>356.51</v>
      </c>
      <c r="Q84" s="307">
        <f>ROUND((IF('Intl Economy Base'!$Q$105&gt;ROUND(((1-PuertoRicoDiscount)*'Intl Economy Base'!Q81),2),ROUND('Intl Economy Base'!$Q$105*(1+International_Fuel_Surcharge),2),ROUND(((1-PuertoRicoDiscount)*'Intl Economy Base'!Q81)*(1+International_Fuel_Surcharge),2)))*(1+FedEx_Markup),2)</f>
        <v>517.83000000000004</v>
      </c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2.75" customHeight="1">
      <c r="A85" s="306">
        <v>125</v>
      </c>
      <c r="B85" s="307">
        <f>ROUND((IF('Intl Economy Base'!$B$105&gt;ROUND(((1-IntEconomyDiscount-IntEoncomyIncentive)*'Intl Economy Base'!B82),2),ROUND('Intl Economy Base'!$B$105*(1+International_Fuel_Surcharge),2),ROUND(((1-IntEconomyDiscount-IntEoncomyIncentive)*'Intl Economy Base'!B82)*(1+International_Fuel_Surcharge),2)))*(1+FedEx_Markup),2)</f>
        <v>176.5</v>
      </c>
      <c r="C85" s="307">
        <f>ROUND((IF('Intl Economy Base'!$C$105&gt;ROUND(((1-IntEconomyDiscount-IntEoncomyIncentive)*'Intl Economy Base'!C82),2),ROUND('Intl Economy Base'!$C$105*(1+International_Fuel_Surcharge),2),ROUND(((1-IntEconomyDiscount-IntEoncomyIncentive)*'Intl Economy Base'!C82)*(1+International_Fuel_Surcharge),2)))*(1+FedEx_Markup),2)</f>
        <v>184.21</v>
      </c>
      <c r="D85" s="307">
        <f>ROUND((IF('Intl Economy Base'!$D$105&gt;ROUND(((1-IntEconomyDiscount-IntEoncomyIncentive)*'Intl Economy Base'!D82),2),ROUND('Intl Economy Base'!$D$105*(1+International_Fuel_Surcharge),2),ROUND(((1-IntEconomyDiscount-IntEoncomyIncentive)*'Intl Economy Base'!D82)*(1+International_Fuel_Surcharge),2)))*(1+FedEx_Markup),2)</f>
        <v>133.52000000000001</v>
      </c>
      <c r="E85" s="307">
        <f>ROUND((IF('Intl Economy Base'!$E$105&gt;ROUND(((1-IntEconomyDiscount-IntEoncomyIncentive)*'Intl Economy Base'!E82),2),ROUND('Intl Economy Base'!$E$105*(1+International_Fuel_Surcharge),2),ROUND(((1-IntEconomyDiscount-IntEoncomyIncentive)*'Intl Economy Base'!E82)*(1+International_Fuel_Surcharge),2)))*(1+FedEx_Markup),2)</f>
        <v>248.18</v>
      </c>
      <c r="F85" s="307">
        <f>ROUND((IF('Intl Economy Base'!$F$105&gt;ROUND(((1-IntEconomyDiscount-IntEoncomyIncentive)*'Intl Economy Base'!F82),2),ROUND('Intl Economy Base'!$F$105*(1+International_Fuel_Surcharge),2),ROUND(((1-IntEconomyDiscount-IntEoncomyIncentive)*'Intl Economy Base'!F82)*(1+International_Fuel_Surcharge),2)))*(1+FedEx_Markup),2)</f>
        <v>447.75</v>
      </c>
      <c r="G85" s="307">
        <f>ROUND((IF('Intl Economy Base'!$G$105&gt;ROUND(((1-IntEconomyDiscount-IntEoncomyIncentive)*'Intl Economy Base'!G82),2),ROUND('Intl Economy Base'!$G$105*(1+International_Fuel_Surcharge),2),ROUND(((1-IntEconomyDiscount-IntEoncomyIncentive)*'Intl Economy Base'!G82)*(1+International_Fuel_Surcharge),2)))*(1+FedEx_Markup),2)</f>
        <v>279.22000000000003</v>
      </c>
      <c r="H85" s="307">
        <f>ROUND((IF('Intl Economy Base'!$H$105&gt;ROUND(((1-IntEconomyDiscount-IntEoncomyIncentive)*'Intl Economy Base'!H82),2),ROUND('Intl Economy Base'!$H$105*(1+International_Fuel_Surcharge),2),ROUND(((1-IntEconomyDiscount-IntEoncomyIncentive)*'Intl Economy Base'!H82)*(1+International_Fuel_Surcharge),2)))*(1+FedEx_Markup),2)</f>
        <v>269.12</v>
      </c>
      <c r="I85" s="307">
        <f>ROUND((IF('Intl Economy Base'!$I$105&gt;ROUND(((1-IntEconomyDiscount-IntEoncomyIncentive)*'Intl Economy Base'!I82),2),ROUND('Intl Economy Base'!$I$105*(1+International_Fuel_Surcharge),2),ROUND(((1-IntEconomyDiscount-IntEoncomyIncentive)*'Intl Economy Base'!I82)*(1+International_Fuel_Surcharge),2)))*(1+FedEx_Markup),2)</f>
        <v>303.32</v>
      </c>
      <c r="J85" s="307">
        <f>ROUND((IF('Intl Economy Base'!$J$105&gt;ROUND(((1-IntEconomyDiscount-IntEoncomyIncentive)*'Intl Economy Base'!J82),2),ROUND('Intl Economy Base'!$J$105*(1+International_Fuel_Surcharge),2),ROUND(((1-IntEconomyDiscount-IntEoncomyIncentive)*'Intl Economy Base'!J82)*(1+International_Fuel_Surcharge),2)))*(1+FedEx_Markup),2)</f>
        <v>193.28</v>
      </c>
      <c r="K85" s="307">
        <f>ROUND((IF('Intl Economy Base'!$K$105&gt;ROUND(((1-IntEconomyDiscount-IntEoncomyIncentive)*'Intl Economy Base'!K82),2),ROUND('Intl Economy Base'!$K$105*(1+International_Fuel_Surcharge),2),ROUND(((1-IntEconomyDiscount-IntEoncomyIncentive)*'Intl Economy Base'!K82)*(1+International_Fuel_Surcharge),2)))*(1+FedEx_Markup),2)</f>
        <v>392.12</v>
      </c>
      <c r="L85" s="307">
        <f>ROUND((IF('Intl Economy Base'!$L$105&gt;ROUND(((1-IntEconomyDiscount-IntEoncomyIncentive)*'Intl Economy Base'!L82),2),ROUND('Intl Economy Base'!$L$105*(1+International_Fuel_Surcharge),2),ROUND(((1-IntEconomyDiscount-IntEoncomyIncentive)*'Intl Economy Base'!L82)*(1+International_Fuel_Surcharge),2)))*(1+FedEx_Markup),2)</f>
        <v>330.13</v>
      </c>
      <c r="M85" s="307">
        <f>ROUND((IF('Intl Economy Base'!$M$105&gt;ROUND(((1-IntEconomyDiscount-IntEoncomyIncentive)*'Intl Economy Base'!M82),2),ROUND('Intl Economy Base'!$M$105*(1+International_Fuel_Surcharge),2),ROUND(((1-IntEconomyDiscount-IntEoncomyIncentive)*'Intl Economy Base'!M82)*(1+International_Fuel_Surcharge),2)))*(1+FedEx_Markup),2)</f>
        <v>429.42</v>
      </c>
      <c r="N85" s="307">
        <f>ROUND((IF('Intl Economy Base'!$N$105&gt;ROUND(((1-IntEconomyDiscount-IntEoncomyIncentive)*'Intl Economy Base'!N82),2),ROUND('Intl Economy Base'!$N$105*(1+International_Fuel_Surcharge),2),ROUND(((1-IntEconomyDiscount-IntEoncomyIncentive)*'Intl Economy Base'!N82)*(1+International_Fuel_Surcharge),2)))*(1+FedEx_Markup),2)</f>
        <v>444.53</v>
      </c>
      <c r="O85" s="307">
        <f>ROUND((IF('Intl Economy Base'!$O$105&gt;ROUND(((1-IntEconomyDiscount-IntEoncomyIncentive)*'Intl Economy Base'!O82),2),ROUND('Intl Economy Base'!$O$105*(1+International_Fuel_Surcharge),2),ROUND(((1-IntEconomyDiscount-IntEoncomyIncentive)*'Intl Economy Base'!O82)*(1+International_Fuel_Surcharge),2)))*(1+FedEx_Markup),2)</f>
        <v>292.69</v>
      </c>
      <c r="P85" s="307">
        <f>ROUND((IF('Intl Economy Base'!$P$105&gt;ROUND(((1-IntEconomyDiscount-IntEoncomyIncentive)*'Intl Economy Base'!P82),2),ROUND('Intl Economy Base'!$P$105*(1+International_Fuel_Surcharge),2),ROUND(((1-IntEconomyDiscount-IntEoncomyIncentive)*'Intl Economy Base'!P82)*(1+International_Fuel_Surcharge),2)))*(1+FedEx_Markup),2)</f>
        <v>356.58</v>
      </c>
      <c r="Q85" s="307">
        <f>ROUND((IF('Intl Economy Base'!$Q$105&gt;ROUND(((1-PuertoRicoDiscount)*'Intl Economy Base'!Q82),2),ROUND('Intl Economy Base'!$Q$105*(1+International_Fuel_Surcharge),2),ROUND(((1-PuertoRicoDiscount)*'Intl Economy Base'!Q82)*(1+International_Fuel_Surcharge),2)))*(1+FedEx_Markup),2)</f>
        <v>517.91</v>
      </c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2.75" customHeight="1">
      <c r="A86" s="306">
        <v>130</v>
      </c>
      <c r="B86" s="307">
        <f>ROUND((IF('Intl Economy Base'!$B$105&gt;ROUND(((1-IntEconomyDiscount-IntEoncomyIncentive)*'Intl Economy Base'!B83),2),ROUND('Intl Economy Base'!$B$105*(1+International_Fuel_Surcharge),2),ROUND(((1-IntEconomyDiscount-IntEoncomyIncentive)*'Intl Economy Base'!B83)*(1+International_Fuel_Surcharge),2)))*(1+FedEx_Markup),2)</f>
        <v>176.56</v>
      </c>
      <c r="C86" s="307">
        <f>ROUND((IF('Intl Economy Base'!$C$105&gt;ROUND(((1-IntEconomyDiscount-IntEoncomyIncentive)*'Intl Economy Base'!C83),2),ROUND('Intl Economy Base'!$C$105*(1+International_Fuel_Surcharge),2),ROUND(((1-IntEconomyDiscount-IntEoncomyIncentive)*'Intl Economy Base'!C83)*(1+International_Fuel_Surcharge),2)))*(1+FedEx_Markup),2)</f>
        <v>184.26</v>
      </c>
      <c r="D86" s="307">
        <f>ROUND((IF('Intl Economy Base'!$D$105&gt;ROUND(((1-IntEconomyDiscount-IntEoncomyIncentive)*'Intl Economy Base'!D83),2),ROUND('Intl Economy Base'!$D$105*(1+International_Fuel_Surcharge),2),ROUND(((1-IntEconomyDiscount-IntEoncomyIncentive)*'Intl Economy Base'!D83)*(1+International_Fuel_Surcharge),2)))*(1+FedEx_Markup),2)</f>
        <v>133.58000000000001</v>
      </c>
      <c r="E86" s="307">
        <f>ROUND((IF('Intl Economy Base'!$E$105&gt;ROUND(((1-IntEconomyDiscount-IntEoncomyIncentive)*'Intl Economy Base'!E83),2),ROUND('Intl Economy Base'!$E$105*(1+International_Fuel_Surcharge),2),ROUND(((1-IntEconomyDiscount-IntEoncomyIncentive)*'Intl Economy Base'!E83)*(1+International_Fuel_Surcharge),2)))*(1+FedEx_Markup),2)</f>
        <v>248.37</v>
      </c>
      <c r="F86" s="307">
        <f>ROUND((IF('Intl Economy Base'!$F$105&gt;ROUND(((1-IntEconomyDiscount-IntEoncomyIncentive)*'Intl Economy Base'!F83),2),ROUND('Intl Economy Base'!$F$105*(1+International_Fuel_Surcharge),2),ROUND(((1-IntEconomyDiscount-IntEoncomyIncentive)*'Intl Economy Base'!F83)*(1+International_Fuel_Surcharge),2)))*(1+FedEx_Markup),2)</f>
        <v>447.82</v>
      </c>
      <c r="G86" s="307">
        <f>ROUND((IF('Intl Economy Base'!$G$105&gt;ROUND(((1-IntEconomyDiscount-IntEoncomyIncentive)*'Intl Economy Base'!G83),2),ROUND('Intl Economy Base'!$G$105*(1+International_Fuel_Surcharge),2),ROUND(((1-IntEconomyDiscount-IntEoncomyIncentive)*'Intl Economy Base'!G83)*(1+International_Fuel_Surcharge),2)))*(1+FedEx_Markup),2)</f>
        <v>279.29000000000002</v>
      </c>
      <c r="H86" s="307">
        <f>ROUND((IF('Intl Economy Base'!$H$105&gt;ROUND(((1-IntEconomyDiscount-IntEoncomyIncentive)*'Intl Economy Base'!H83),2),ROUND('Intl Economy Base'!$H$105*(1+International_Fuel_Surcharge),2),ROUND(((1-IntEconomyDiscount-IntEoncomyIncentive)*'Intl Economy Base'!H83)*(1+International_Fuel_Surcharge),2)))*(1+FedEx_Markup),2)</f>
        <v>270.83</v>
      </c>
      <c r="I86" s="307">
        <f>ROUND((IF('Intl Economy Base'!$I$105&gt;ROUND(((1-IntEconomyDiscount-IntEoncomyIncentive)*'Intl Economy Base'!I83),2),ROUND('Intl Economy Base'!$I$105*(1+International_Fuel_Surcharge),2),ROUND(((1-IntEconomyDiscount-IntEoncomyIncentive)*'Intl Economy Base'!I83)*(1+International_Fuel_Surcharge),2)))*(1+FedEx_Markup),2)</f>
        <v>303.39</v>
      </c>
      <c r="J86" s="307">
        <f>ROUND((IF('Intl Economy Base'!$J$105&gt;ROUND(((1-IntEconomyDiscount-IntEoncomyIncentive)*'Intl Economy Base'!J83),2),ROUND('Intl Economy Base'!$J$105*(1+International_Fuel_Surcharge),2),ROUND(((1-IntEconomyDiscount-IntEoncomyIncentive)*'Intl Economy Base'!J83)*(1+International_Fuel_Surcharge),2)))*(1+FedEx_Markup),2)</f>
        <v>194.7</v>
      </c>
      <c r="K86" s="307">
        <f>ROUND((IF('Intl Economy Base'!$K$105&gt;ROUND(((1-IntEconomyDiscount-IntEoncomyIncentive)*'Intl Economy Base'!K83),2),ROUND('Intl Economy Base'!$K$105*(1+International_Fuel_Surcharge),2),ROUND(((1-IntEconomyDiscount-IntEoncomyIncentive)*'Intl Economy Base'!K83)*(1+International_Fuel_Surcharge),2)))*(1+FedEx_Markup),2)</f>
        <v>392.18</v>
      </c>
      <c r="L86" s="307">
        <f>ROUND((IF('Intl Economy Base'!$L$105&gt;ROUND(((1-IntEconomyDiscount-IntEoncomyIncentive)*'Intl Economy Base'!L83),2),ROUND('Intl Economy Base'!$L$105*(1+International_Fuel_Surcharge),2),ROUND(((1-IntEconomyDiscount-IntEoncomyIncentive)*'Intl Economy Base'!L83)*(1+International_Fuel_Surcharge),2)))*(1+FedEx_Markup),2)</f>
        <v>330.21</v>
      </c>
      <c r="M86" s="307">
        <f>ROUND((IF('Intl Economy Base'!$M$105&gt;ROUND(((1-IntEconomyDiscount-IntEoncomyIncentive)*'Intl Economy Base'!M83),2),ROUND('Intl Economy Base'!$M$105*(1+International_Fuel_Surcharge),2),ROUND(((1-IntEconomyDiscount-IntEoncomyIncentive)*'Intl Economy Base'!M83)*(1+International_Fuel_Surcharge),2)))*(1+FedEx_Markup),2)</f>
        <v>429.64</v>
      </c>
      <c r="N86" s="307">
        <f>ROUND((IF('Intl Economy Base'!$N$105&gt;ROUND(((1-IntEconomyDiscount-IntEoncomyIncentive)*'Intl Economy Base'!N83),2),ROUND('Intl Economy Base'!$N$105*(1+International_Fuel_Surcharge),2),ROUND(((1-IntEconomyDiscount-IntEoncomyIncentive)*'Intl Economy Base'!N83)*(1+International_Fuel_Surcharge),2)))*(1+FedEx_Markup),2)</f>
        <v>447.9</v>
      </c>
      <c r="O86" s="307">
        <f>ROUND((IF('Intl Economy Base'!$O$105&gt;ROUND(((1-IntEconomyDiscount-IntEoncomyIncentive)*'Intl Economy Base'!O83),2),ROUND('Intl Economy Base'!$O$105*(1+International_Fuel_Surcharge),2),ROUND(((1-IntEconomyDiscount-IntEoncomyIncentive)*'Intl Economy Base'!O83)*(1+International_Fuel_Surcharge),2)))*(1+FedEx_Markup),2)</f>
        <v>292.76</v>
      </c>
      <c r="P86" s="307">
        <f>ROUND((IF('Intl Economy Base'!$P$105&gt;ROUND(((1-IntEconomyDiscount-IntEoncomyIncentive)*'Intl Economy Base'!P83),2),ROUND('Intl Economy Base'!$P$105*(1+International_Fuel_Surcharge),2),ROUND(((1-IntEconomyDiscount-IntEoncomyIncentive)*'Intl Economy Base'!P83)*(1+International_Fuel_Surcharge),2)))*(1+FedEx_Markup),2)</f>
        <v>356.64</v>
      </c>
      <c r="Q86" s="307">
        <f>ROUND((IF('Intl Economy Base'!$Q$105&gt;ROUND(((1-PuertoRicoDiscount)*'Intl Economy Base'!Q83),2),ROUND('Intl Economy Base'!$Q$105*(1+International_Fuel_Surcharge),2),ROUND(((1-PuertoRicoDiscount)*'Intl Economy Base'!Q83)*(1+International_Fuel_Surcharge),2)))*(1+FedEx_Markup),2)</f>
        <v>518.71</v>
      </c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2.75" customHeight="1">
      <c r="A87" s="306">
        <v>135</v>
      </c>
      <c r="B87" s="307">
        <f>ROUND((IF('Intl Economy Base'!$B$105&gt;ROUND(((1-IntEconomyDiscount-IntEoncomyIncentive)*'Intl Economy Base'!B84),2),ROUND('Intl Economy Base'!$B$105*(1+International_Fuel_Surcharge),2),ROUND(((1-IntEconomyDiscount-IntEoncomyIncentive)*'Intl Economy Base'!B84)*(1+International_Fuel_Surcharge),2)))*(1+FedEx_Markup),2)</f>
        <v>176.62</v>
      </c>
      <c r="C87" s="307">
        <f>ROUND((IF('Intl Economy Base'!$C$105&gt;ROUND(((1-IntEconomyDiscount-IntEoncomyIncentive)*'Intl Economy Base'!C84),2),ROUND('Intl Economy Base'!$C$105*(1+International_Fuel_Surcharge),2),ROUND(((1-IntEconomyDiscount-IntEoncomyIncentive)*'Intl Economy Base'!C84)*(1+International_Fuel_Surcharge),2)))*(1+FedEx_Markup),2)</f>
        <v>184.32</v>
      </c>
      <c r="D87" s="307">
        <f>ROUND((IF('Intl Economy Base'!$D$105&gt;ROUND(((1-IntEconomyDiscount-IntEoncomyIncentive)*'Intl Economy Base'!D84),2),ROUND('Intl Economy Base'!$D$105*(1+International_Fuel_Surcharge),2),ROUND(((1-IntEconomyDiscount-IntEoncomyIncentive)*'Intl Economy Base'!D84)*(1+International_Fuel_Surcharge),2)))*(1+FedEx_Markup),2)</f>
        <v>133.69999999999999</v>
      </c>
      <c r="E87" s="307">
        <f>ROUND((IF('Intl Economy Base'!$E$105&gt;ROUND(((1-IntEconomyDiscount-IntEoncomyIncentive)*'Intl Economy Base'!E84),2),ROUND('Intl Economy Base'!$E$105*(1+International_Fuel_Surcharge),2),ROUND(((1-IntEconomyDiscount-IntEoncomyIncentive)*'Intl Economy Base'!E84)*(1+International_Fuel_Surcharge),2)))*(1+FedEx_Markup),2)</f>
        <v>251.98</v>
      </c>
      <c r="F87" s="307">
        <f>ROUND((IF('Intl Economy Base'!$F$105&gt;ROUND(((1-IntEconomyDiscount-IntEoncomyIncentive)*'Intl Economy Base'!F84),2),ROUND('Intl Economy Base'!$F$105*(1+International_Fuel_Surcharge),2),ROUND(((1-IntEconomyDiscount-IntEoncomyIncentive)*'Intl Economy Base'!F84)*(1+International_Fuel_Surcharge),2)))*(1+FedEx_Markup),2)</f>
        <v>447.88</v>
      </c>
      <c r="G87" s="307">
        <f>ROUND((IF('Intl Economy Base'!$G$105&gt;ROUND(((1-IntEconomyDiscount-IntEoncomyIncentive)*'Intl Economy Base'!G84),2),ROUND('Intl Economy Base'!$G$105*(1+International_Fuel_Surcharge),2),ROUND(((1-IntEconomyDiscount-IntEoncomyIncentive)*'Intl Economy Base'!G84)*(1+International_Fuel_Surcharge),2)))*(1+FedEx_Markup),2)</f>
        <v>279.36</v>
      </c>
      <c r="H87" s="307">
        <f>ROUND((IF('Intl Economy Base'!$H$105&gt;ROUND(((1-IntEconomyDiscount-IntEoncomyIncentive)*'Intl Economy Base'!H84),2),ROUND('Intl Economy Base'!$H$105*(1+International_Fuel_Surcharge),2),ROUND(((1-IntEconomyDiscount-IntEoncomyIncentive)*'Intl Economy Base'!H84)*(1+International_Fuel_Surcharge),2)))*(1+FedEx_Markup),2)</f>
        <v>271</v>
      </c>
      <c r="I87" s="307">
        <f>ROUND((IF('Intl Economy Base'!$I$105&gt;ROUND(((1-IntEconomyDiscount-IntEoncomyIncentive)*'Intl Economy Base'!I84),2),ROUND('Intl Economy Base'!$I$105*(1+International_Fuel_Surcharge),2),ROUND(((1-IntEconomyDiscount-IntEoncomyIncentive)*'Intl Economy Base'!I84)*(1+International_Fuel_Surcharge),2)))*(1+FedEx_Markup),2)</f>
        <v>303.45999999999998</v>
      </c>
      <c r="J87" s="307">
        <f>ROUND((IF('Intl Economy Base'!$J$105&gt;ROUND(((1-IntEconomyDiscount-IntEoncomyIncentive)*'Intl Economy Base'!J84),2),ROUND('Intl Economy Base'!$J$105*(1+International_Fuel_Surcharge),2),ROUND(((1-IntEconomyDiscount-IntEoncomyIncentive)*'Intl Economy Base'!J84)*(1+International_Fuel_Surcharge),2)))*(1+FedEx_Markup),2)</f>
        <v>198.4</v>
      </c>
      <c r="K87" s="307">
        <f>ROUND((IF('Intl Economy Base'!$K$105&gt;ROUND(((1-IntEconomyDiscount-IntEoncomyIncentive)*'Intl Economy Base'!K84),2),ROUND('Intl Economy Base'!$K$105*(1+International_Fuel_Surcharge),2),ROUND(((1-IntEconomyDiscount-IntEoncomyIncentive)*'Intl Economy Base'!K84)*(1+International_Fuel_Surcharge),2)))*(1+FedEx_Markup),2)</f>
        <v>392.25</v>
      </c>
      <c r="L87" s="307">
        <f>ROUND((IF('Intl Economy Base'!$L$105&gt;ROUND(((1-IntEconomyDiscount-IntEoncomyIncentive)*'Intl Economy Base'!L84),2),ROUND('Intl Economy Base'!$L$105*(1+International_Fuel_Surcharge),2),ROUND(((1-IntEconomyDiscount-IntEoncomyIncentive)*'Intl Economy Base'!L84)*(1+International_Fuel_Surcharge),2)))*(1+FedEx_Markup),2)</f>
        <v>330.28</v>
      </c>
      <c r="M87" s="307">
        <f>ROUND((IF('Intl Economy Base'!$M$105&gt;ROUND(((1-IntEconomyDiscount-IntEoncomyIncentive)*'Intl Economy Base'!M84),2),ROUND('Intl Economy Base'!$M$105*(1+International_Fuel_Surcharge),2),ROUND(((1-IntEconomyDiscount-IntEoncomyIncentive)*'Intl Economy Base'!M84)*(1+International_Fuel_Surcharge),2)))*(1+FedEx_Markup),2)</f>
        <v>429.78</v>
      </c>
      <c r="N87" s="307">
        <f>ROUND((IF('Intl Economy Base'!$N$105&gt;ROUND(((1-IntEconomyDiscount-IntEoncomyIncentive)*'Intl Economy Base'!N84),2),ROUND('Intl Economy Base'!$N$105*(1+International_Fuel_Surcharge),2),ROUND(((1-IntEconomyDiscount-IntEoncomyIncentive)*'Intl Economy Base'!N84)*(1+International_Fuel_Surcharge),2)))*(1+FedEx_Markup),2)</f>
        <v>448.24</v>
      </c>
      <c r="O87" s="307">
        <f>ROUND((IF('Intl Economy Base'!$O$105&gt;ROUND(((1-IntEconomyDiscount-IntEoncomyIncentive)*'Intl Economy Base'!O84),2),ROUND('Intl Economy Base'!$O$105*(1+International_Fuel_Surcharge),2),ROUND(((1-IntEconomyDiscount-IntEoncomyIncentive)*'Intl Economy Base'!O84)*(1+International_Fuel_Surcharge),2)))*(1+FedEx_Markup),2)</f>
        <v>292.83999999999997</v>
      </c>
      <c r="P87" s="307">
        <f>ROUND((IF('Intl Economy Base'!$P$105&gt;ROUND(((1-IntEconomyDiscount-IntEoncomyIncentive)*'Intl Economy Base'!P84),2),ROUND('Intl Economy Base'!$P$105*(1+International_Fuel_Surcharge),2),ROUND(((1-IntEconomyDiscount-IntEoncomyIncentive)*'Intl Economy Base'!P84)*(1+International_Fuel_Surcharge),2)))*(1+FedEx_Markup),2)</f>
        <v>356.71</v>
      </c>
      <c r="Q87" s="307">
        <f>ROUND((IF('Intl Economy Base'!$Q$105&gt;ROUND(((1-PuertoRicoDiscount)*'Intl Economy Base'!Q84),2),ROUND('Intl Economy Base'!$Q$105*(1+International_Fuel_Surcharge),2),ROUND(((1-PuertoRicoDiscount)*'Intl Economy Base'!Q84)*(1+International_Fuel_Surcharge),2)))*(1+FedEx_Markup),2)</f>
        <v>541.55999999999995</v>
      </c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2.75" customHeight="1">
      <c r="A88" s="306">
        <v>140</v>
      </c>
      <c r="B88" s="307">
        <f>ROUND((IF('Intl Economy Base'!$B$105&gt;ROUND(((1-IntEconomyDiscount-IntEoncomyIncentive)*'Intl Economy Base'!B85),2),ROUND('Intl Economy Base'!$B$105*(1+International_Fuel_Surcharge),2),ROUND(((1-IntEconomyDiscount-IntEoncomyIncentive)*'Intl Economy Base'!B85)*(1+International_Fuel_Surcharge),2)))*(1+FedEx_Markup),2)</f>
        <v>176.67</v>
      </c>
      <c r="C88" s="307">
        <f>ROUND((IF('Intl Economy Base'!$C$105&gt;ROUND(((1-IntEconomyDiscount-IntEoncomyIncentive)*'Intl Economy Base'!C85),2),ROUND('Intl Economy Base'!$C$105*(1+International_Fuel_Surcharge),2),ROUND(((1-IntEconomyDiscount-IntEoncomyIncentive)*'Intl Economy Base'!C85)*(1+International_Fuel_Surcharge),2)))*(1+FedEx_Markup),2)</f>
        <v>184.38</v>
      </c>
      <c r="D88" s="307">
        <f>ROUND((IF('Intl Economy Base'!$D$105&gt;ROUND(((1-IntEconomyDiscount-IntEoncomyIncentive)*'Intl Economy Base'!D85),2),ROUND('Intl Economy Base'!$D$105*(1+International_Fuel_Surcharge),2),ROUND(((1-IntEconomyDiscount-IntEoncomyIncentive)*'Intl Economy Base'!D85)*(1+International_Fuel_Surcharge),2)))*(1+FedEx_Markup),2)</f>
        <v>136</v>
      </c>
      <c r="E88" s="307">
        <f>ROUND((IF('Intl Economy Base'!$E$105&gt;ROUND(((1-IntEconomyDiscount-IntEoncomyIncentive)*'Intl Economy Base'!E85),2),ROUND('Intl Economy Base'!$E$105*(1+International_Fuel_Surcharge),2),ROUND(((1-IntEconomyDiscount-IntEoncomyIncentive)*'Intl Economy Base'!E85)*(1+International_Fuel_Surcharge),2)))*(1+FedEx_Markup),2)</f>
        <v>252.34</v>
      </c>
      <c r="F88" s="307">
        <f>ROUND((IF('Intl Economy Base'!$F$105&gt;ROUND(((1-IntEconomyDiscount-IntEoncomyIncentive)*'Intl Economy Base'!F85),2),ROUND('Intl Economy Base'!$F$105*(1+International_Fuel_Surcharge),2),ROUND(((1-IntEconomyDiscount-IntEoncomyIncentive)*'Intl Economy Base'!F85)*(1+International_Fuel_Surcharge),2)))*(1+FedEx_Markup),2)</f>
        <v>447.97</v>
      </c>
      <c r="G88" s="307">
        <f>ROUND((IF('Intl Economy Base'!$G$105&gt;ROUND(((1-IntEconomyDiscount-IntEoncomyIncentive)*'Intl Economy Base'!G85),2),ROUND('Intl Economy Base'!$G$105*(1+International_Fuel_Surcharge),2),ROUND(((1-IntEconomyDiscount-IntEoncomyIncentive)*'Intl Economy Base'!G85)*(1+International_Fuel_Surcharge),2)))*(1+FedEx_Markup),2)</f>
        <v>279.43</v>
      </c>
      <c r="H88" s="307">
        <f>ROUND((IF('Intl Economy Base'!$H$105&gt;ROUND(((1-IntEconomyDiscount-IntEoncomyIncentive)*'Intl Economy Base'!H85),2),ROUND('Intl Economy Base'!$H$105*(1+International_Fuel_Surcharge),2),ROUND(((1-IntEconomyDiscount-IntEoncomyIncentive)*'Intl Economy Base'!H85)*(1+International_Fuel_Surcharge),2)))*(1+FedEx_Markup),2)</f>
        <v>271.33</v>
      </c>
      <c r="I88" s="307">
        <f>ROUND((IF('Intl Economy Base'!$I$105&gt;ROUND(((1-IntEconomyDiscount-IntEoncomyIncentive)*'Intl Economy Base'!I85),2),ROUND('Intl Economy Base'!$I$105*(1+International_Fuel_Surcharge),2),ROUND(((1-IntEconomyDiscount-IntEoncomyIncentive)*'Intl Economy Base'!I85)*(1+International_Fuel_Surcharge),2)))*(1+FedEx_Markup),2)</f>
        <v>303.52999999999997</v>
      </c>
      <c r="J88" s="307">
        <f>ROUND((IF('Intl Economy Base'!$J$105&gt;ROUND(((1-IntEconomyDiscount-IntEoncomyIncentive)*'Intl Economy Base'!J85),2),ROUND('Intl Economy Base'!$J$105*(1+International_Fuel_Surcharge),2),ROUND(((1-IntEconomyDiscount-IntEoncomyIncentive)*'Intl Economy Base'!J85)*(1+International_Fuel_Surcharge),2)))*(1+FedEx_Markup),2)</f>
        <v>198.77</v>
      </c>
      <c r="K88" s="307">
        <f>ROUND((IF('Intl Economy Base'!$K$105&gt;ROUND(((1-IntEconomyDiscount-IntEoncomyIncentive)*'Intl Economy Base'!K85),2),ROUND('Intl Economy Base'!$K$105*(1+International_Fuel_Surcharge),2),ROUND(((1-IntEconomyDiscount-IntEoncomyIncentive)*'Intl Economy Base'!K85)*(1+International_Fuel_Surcharge),2)))*(1+FedEx_Markup),2)</f>
        <v>392.31</v>
      </c>
      <c r="L88" s="307">
        <f>ROUND((IF('Intl Economy Base'!$L$105&gt;ROUND(((1-IntEconomyDiscount-IntEoncomyIncentive)*'Intl Economy Base'!L85),2),ROUND('Intl Economy Base'!$L$105*(1+International_Fuel_Surcharge),2),ROUND(((1-IntEconomyDiscount-IntEoncomyIncentive)*'Intl Economy Base'!L85)*(1+International_Fuel_Surcharge),2)))*(1+FedEx_Markup),2)</f>
        <v>330.35</v>
      </c>
      <c r="M88" s="307">
        <f>ROUND((IF('Intl Economy Base'!$M$105&gt;ROUND(((1-IntEconomyDiscount-IntEoncomyIncentive)*'Intl Economy Base'!M85),2),ROUND('Intl Economy Base'!$M$105*(1+International_Fuel_Surcharge),2),ROUND(((1-IntEconomyDiscount-IntEoncomyIncentive)*'Intl Economy Base'!M85)*(1+International_Fuel_Surcharge),2)))*(1+FedEx_Markup),2)</f>
        <v>429.86</v>
      </c>
      <c r="N88" s="307">
        <f>ROUND((IF('Intl Economy Base'!$N$105&gt;ROUND(((1-IntEconomyDiscount-IntEoncomyIncentive)*'Intl Economy Base'!N85),2),ROUND('Intl Economy Base'!$N$105*(1+International_Fuel_Surcharge),2),ROUND(((1-IntEconomyDiscount-IntEoncomyIncentive)*'Intl Economy Base'!N85)*(1+International_Fuel_Surcharge),2)))*(1+FedEx_Markup),2)</f>
        <v>448.3</v>
      </c>
      <c r="O88" s="307">
        <f>ROUND((IF('Intl Economy Base'!$O$105&gt;ROUND(((1-IntEconomyDiscount-IntEoncomyIncentive)*'Intl Economy Base'!O85),2),ROUND('Intl Economy Base'!$O$105*(1+International_Fuel_Surcharge),2),ROUND(((1-IntEconomyDiscount-IntEoncomyIncentive)*'Intl Economy Base'!O85)*(1+International_Fuel_Surcharge),2)))*(1+FedEx_Markup),2)</f>
        <v>292.91000000000003</v>
      </c>
      <c r="P88" s="307">
        <f>ROUND((IF('Intl Economy Base'!$P$105&gt;ROUND(((1-IntEconomyDiscount-IntEoncomyIncentive)*'Intl Economy Base'!P85),2),ROUND('Intl Economy Base'!$P$105*(1+International_Fuel_Surcharge),2),ROUND(((1-IntEconomyDiscount-IntEoncomyIncentive)*'Intl Economy Base'!P85)*(1+International_Fuel_Surcharge),2)))*(1+FedEx_Markup),2)</f>
        <v>356.76</v>
      </c>
      <c r="Q88" s="307">
        <f>ROUND((IF('Intl Economy Base'!$Q$105&gt;ROUND(((1-PuertoRicoDiscount)*'Intl Economy Base'!Q85),2),ROUND('Intl Economy Base'!$Q$105*(1+International_Fuel_Surcharge),2),ROUND(((1-PuertoRicoDiscount)*'Intl Economy Base'!Q85)*(1+International_Fuel_Surcharge),2)))*(1+FedEx_Markup),2)</f>
        <v>545.63</v>
      </c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2.75" customHeight="1">
      <c r="A89" s="306">
        <v>145</v>
      </c>
      <c r="B89" s="307">
        <f>ROUND((IF('Intl Economy Base'!$B$105&gt;ROUND(((1-IntEconomyDiscount-IntEoncomyIncentive)*'Intl Economy Base'!B86),2),ROUND('Intl Economy Base'!$B$105*(1+International_Fuel_Surcharge),2),ROUND(((1-IntEconomyDiscount-IntEoncomyIncentive)*'Intl Economy Base'!B86)*(1+International_Fuel_Surcharge),2)))*(1+FedEx_Markup),2)</f>
        <v>176.73</v>
      </c>
      <c r="C89" s="307">
        <f>ROUND((IF('Intl Economy Base'!$C$105&gt;ROUND(((1-IntEconomyDiscount-IntEoncomyIncentive)*'Intl Economy Base'!C86),2),ROUND('Intl Economy Base'!$C$105*(1+International_Fuel_Surcharge),2),ROUND(((1-IntEconomyDiscount-IntEoncomyIncentive)*'Intl Economy Base'!C86)*(1+International_Fuel_Surcharge),2)))*(1+FedEx_Markup),2)</f>
        <v>184.44</v>
      </c>
      <c r="D89" s="307">
        <f>ROUND((IF('Intl Economy Base'!$D$105&gt;ROUND(((1-IntEconomyDiscount-IntEoncomyIncentive)*'Intl Economy Base'!D86),2),ROUND('Intl Economy Base'!$D$105*(1+International_Fuel_Surcharge),2),ROUND(((1-IntEconomyDiscount-IntEoncomyIncentive)*'Intl Economy Base'!D86)*(1+International_Fuel_Surcharge),2)))*(1+FedEx_Markup),2)</f>
        <v>136.22999999999999</v>
      </c>
      <c r="E89" s="307">
        <f>ROUND((IF('Intl Economy Base'!$E$105&gt;ROUND(((1-IntEconomyDiscount-IntEoncomyIncentive)*'Intl Economy Base'!E86),2),ROUND('Intl Economy Base'!$E$105*(1+International_Fuel_Surcharge),2),ROUND(((1-IntEconomyDiscount-IntEoncomyIncentive)*'Intl Economy Base'!E86)*(1+International_Fuel_Surcharge),2)))*(1+FedEx_Markup),2)</f>
        <v>252.72</v>
      </c>
      <c r="F89" s="307">
        <f>ROUND((IF('Intl Economy Base'!$F$105&gt;ROUND(((1-IntEconomyDiscount-IntEoncomyIncentive)*'Intl Economy Base'!F86),2),ROUND('Intl Economy Base'!$F$105*(1+International_Fuel_Surcharge),2),ROUND(((1-IntEconomyDiscount-IntEoncomyIncentive)*'Intl Economy Base'!F86)*(1+International_Fuel_Surcharge),2)))*(1+FedEx_Markup),2)</f>
        <v>448.04</v>
      </c>
      <c r="G89" s="307">
        <f>ROUND((IF('Intl Economy Base'!$G$105&gt;ROUND(((1-IntEconomyDiscount-IntEoncomyIncentive)*'Intl Economy Base'!G86),2),ROUND('Intl Economy Base'!$G$105*(1+International_Fuel_Surcharge),2),ROUND(((1-IntEconomyDiscount-IntEoncomyIncentive)*'Intl Economy Base'!G86)*(1+International_Fuel_Surcharge),2)))*(1+FedEx_Markup),2)</f>
        <v>279.48</v>
      </c>
      <c r="H89" s="307">
        <f>ROUND((IF('Intl Economy Base'!$H$105&gt;ROUND(((1-IntEconomyDiscount-IntEoncomyIncentive)*'Intl Economy Base'!H86),2),ROUND('Intl Economy Base'!$H$105*(1+International_Fuel_Surcharge),2),ROUND(((1-IntEconomyDiscount-IntEoncomyIncentive)*'Intl Economy Base'!H86)*(1+International_Fuel_Surcharge),2)))*(1+FedEx_Markup),2)</f>
        <v>277.93</v>
      </c>
      <c r="I89" s="307">
        <f>ROUND((IF('Intl Economy Base'!$I$105&gt;ROUND(((1-IntEconomyDiscount-IntEoncomyIncentive)*'Intl Economy Base'!I86),2),ROUND('Intl Economy Base'!$I$105*(1+International_Fuel_Surcharge),2),ROUND(((1-IntEconomyDiscount-IntEoncomyIncentive)*'Intl Economy Base'!I86)*(1+International_Fuel_Surcharge),2)))*(1+FedEx_Markup),2)</f>
        <v>303.60000000000002</v>
      </c>
      <c r="J89" s="307">
        <f>ROUND((IF('Intl Economy Base'!$J$105&gt;ROUND(((1-IntEconomyDiscount-IntEoncomyIncentive)*'Intl Economy Base'!J86),2),ROUND('Intl Economy Base'!$J$105*(1+International_Fuel_Surcharge),2),ROUND(((1-IntEconomyDiscount-IntEoncomyIncentive)*'Intl Economy Base'!J86)*(1+International_Fuel_Surcharge),2)))*(1+FedEx_Markup),2)</f>
        <v>198.89</v>
      </c>
      <c r="K89" s="307">
        <f>ROUND((IF('Intl Economy Base'!$K$105&gt;ROUND(((1-IntEconomyDiscount-IntEoncomyIncentive)*'Intl Economy Base'!K86),2),ROUND('Intl Economy Base'!$K$105*(1+International_Fuel_Surcharge),2),ROUND(((1-IntEconomyDiscount-IntEoncomyIncentive)*'Intl Economy Base'!K86)*(1+International_Fuel_Surcharge),2)))*(1+FedEx_Markup),2)</f>
        <v>392.39</v>
      </c>
      <c r="L89" s="307">
        <f>ROUND((IF('Intl Economy Base'!$L$105&gt;ROUND(((1-IntEconomyDiscount-IntEoncomyIncentive)*'Intl Economy Base'!L86),2),ROUND('Intl Economy Base'!$L$105*(1+International_Fuel_Surcharge),2),ROUND(((1-IntEconomyDiscount-IntEoncomyIncentive)*'Intl Economy Base'!L86)*(1+International_Fuel_Surcharge),2)))*(1+FedEx_Markup),2)</f>
        <v>330.44</v>
      </c>
      <c r="M89" s="307">
        <f>ROUND((IF('Intl Economy Base'!$M$105&gt;ROUND(((1-IntEconomyDiscount-IntEoncomyIncentive)*'Intl Economy Base'!M86),2),ROUND('Intl Economy Base'!$M$105*(1+International_Fuel_Surcharge),2),ROUND(((1-IntEconomyDiscount-IntEoncomyIncentive)*'Intl Economy Base'!M86)*(1+International_Fuel_Surcharge),2)))*(1+FedEx_Markup),2)</f>
        <v>429.94</v>
      </c>
      <c r="N89" s="307">
        <f>ROUND((IF('Intl Economy Base'!$N$105&gt;ROUND(((1-IntEconomyDiscount-IntEoncomyIncentive)*'Intl Economy Base'!N86),2),ROUND('Intl Economy Base'!$N$105*(1+International_Fuel_Surcharge),2),ROUND(((1-IntEconomyDiscount-IntEoncomyIncentive)*'Intl Economy Base'!N86)*(1+International_Fuel_Surcharge),2)))*(1+FedEx_Markup),2)</f>
        <v>448.39</v>
      </c>
      <c r="O89" s="307">
        <f>ROUND((IF('Intl Economy Base'!$O$105&gt;ROUND(((1-IntEconomyDiscount-IntEoncomyIncentive)*'Intl Economy Base'!O86),2),ROUND('Intl Economy Base'!$O$105*(1+International_Fuel_Surcharge),2),ROUND(((1-IntEconomyDiscount-IntEoncomyIncentive)*'Intl Economy Base'!O86)*(1+International_Fuel_Surcharge),2)))*(1+FedEx_Markup),2)</f>
        <v>292.99</v>
      </c>
      <c r="P89" s="307">
        <f>ROUND((IF('Intl Economy Base'!$P$105&gt;ROUND(((1-IntEconomyDiscount-IntEoncomyIncentive)*'Intl Economy Base'!P86),2),ROUND('Intl Economy Base'!$P$105*(1+International_Fuel_Surcharge),2),ROUND(((1-IntEconomyDiscount-IntEoncomyIncentive)*'Intl Economy Base'!P86)*(1+International_Fuel_Surcharge),2)))*(1+FedEx_Markup),2)</f>
        <v>356.83</v>
      </c>
      <c r="Q89" s="307">
        <f>ROUND((IF('Intl Economy Base'!$Q$105&gt;ROUND(((1-PuertoRicoDiscount)*'Intl Economy Base'!Q86),2),ROUND('Intl Economy Base'!$Q$105*(1+International_Fuel_Surcharge),2),ROUND(((1-PuertoRicoDiscount)*'Intl Economy Base'!Q86)*(1+International_Fuel_Surcharge),2)))*(1+FedEx_Markup),2)</f>
        <v>545.76</v>
      </c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2.75" customHeight="1">
      <c r="A90" s="306">
        <v>150</v>
      </c>
      <c r="B90" s="307">
        <f>ROUND((IF('Intl Economy Base'!$B$105&gt;ROUND(((1-IntEconomyDiscount-IntEoncomyIncentive)*'Intl Economy Base'!B87),2),ROUND('Intl Economy Base'!$B$105*(1+International_Fuel_Surcharge),2),ROUND(((1-IntEconomyDiscount-IntEoncomyIncentive)*'Intl Economy Base'!B87)*(1+International_Fuel_Surcharge),2)))*(1+FedEx_Markup),2)</f>
        <v>176.79</v>
      </c>
      <c r="C90" s="307">
        <f>ROUND((IF('Intl Economy Base'!$C$105&gt;ROUND(((1-IntEconomyDiscount-IntEoncomyIncentive)*'Intl Economy Base'!C87),2),ROUND('Intl Economy Base'!$C$105*(1+International_Fuel_Surcharge),2),ROUND(((1-IntEconomyDiscount-IntEoncomyIncentive)*'Intl Economy Base'!C87)*(1+International_Fuel_Surcharge),2)))*(1+FedEx_Markup),2)</f>
        <v>184.49</v>
      </c>
      <c r="D90" s="307">
        <f>ROUND((IF('Intl Economy Base'!$D$105&gt;ROUND(((1-IntEconomyDiscount-IntEoncomyIncentive)*'Intl Economy Base'!D87),2),ROUND('Intl Economy Base'!$D$105*(1+International_Fuel_Surcharge),2),ROUND(((1-IntEconomyDiscount-IntEoncomyIncentive)*'Intl Economy Base'!D87)*(1+International_Fuel_Surcharge),2)))*(1+FedEx_Markup),2)</f>
        <v>139.87</v>
      </c>
      <c r="E90" s="307">
        <f>ROUND((IF('Intl Economy Base'!$E$105&gt;ROUND(((1-IntEconomyDiscount-IntEoncomyIncentive)*'Intl Economy Base'!E87),2),ROUND('Intl Economy Base'!$E$105*(1+International_Fuel_Surcharge),2),ROUND(((1-IntEconomyDiscount-IntEoncomyIncentive)*'Intl Economy Base'!E87)*(1+International_Fuel_Surcharge),2)))*(1+FedEx_Markup),2)</f>
        <v>254.98</v>
      </c>
      <c r="F90" s="307">
        <f>ROUND((IF('Intl Economy Base'!$F$105&gt;ROUND(((1-IntEconomyDiscount-IntEoncomyIncentive)*'Intl Economy Base'!F87),2),ROUND('Intl Economy Base'!$F$105*(1+International_Fuel_Surcharge),2),ROUND(((1-IntEconomyDiscount-IntEoncomyIncentive)*'Intl Economy Base'!F87)*(1+International_Fuel_Surcharge),2)))*(1+FedEx_Markup),2)</f>
        <v>448.11</v>
      </c>
      <c r="G90" s="307">
        <f>ROUND((IF('Intl Economy Base'!$G$105&gt;ROUND(((1-IntEconomyDiscount-IntEoncomyIncentive)*'Intl Economy Base'!G87),2),ROUND('Intl Economy Base'!$G$105*(1+International_Fuel_Surcharge),2),ROUND(((1-IntEconomyDiscount-IntEoncomyIncentive)*'Intl Economy Base'!G87)*(1+International_Fuel_Surcharge),2)))*(1+FedEx_Markup),2)</f>
        <v>279.61</v>
      </c>
      <c r="H90" s="307">
        <f>ROUND((IF('Intl Economy Base'!$H$105&gt;ROUND(((1-IntEconomyDiscount-IntEoncomyIncentive)*'Intl Economy Base'!H87),2),ROUND('Intl Economy Base'!$H$105*(1+International_Fuel_Surcharge),2),ROUND(((1-IntEconomyDiscount-IntEoncomyIncentive)*'Intl Economy Base'!H87)*(1+International_Fuel_Surcharge),2)))*(1+FedEx_Markup),2)</f>
        <v>279.74</v>
      </c>
      <c r="I90" s="307">
        <f>ROUND((IF('Intl Economy Base'!$I$105&gt;ROUND(((1-IntEconomyDiscount-IntEoncomyIncentive)*'Intl Economy Base'!I87),2),ROUND('Intl Economy Base'!$I$105*(1+International_Fuel_Surcharge),2),ROUND(((1-IntEconomyDiscount-IntEoncomyIncentive)*'Intl Economy Base'!I87)*(1+International_Fuel_Surcharge),2)))*(1+FedEx_Markup),2)</f>
        <v>303.67</v>
      </c>
      <c r="J90" s="307">
        <f>ROUND((IF('Intl Economy Base'!$J$105&gt;ROUND(((1-IntEconomyDiscount-IntEoncomyIncentive)*'Intl Economy Base'!J87),2),ROUND('Intl Economy Base'!$J$105*(1+International_Fuel_Surcharge),2),ROUND(((1-IntEconomyDiscount-IntEoncomyIncentive)*'Intl Economy Base'!J87)*(1+International_Fuel_Surcharge),2)))*(1+FedEx_Markup),2)</f>
        <v>201.45</v>
      </c>
      <c r="K90" s="307">
        <f>ROUND((IF('Intl Economy Base'!$K$105&gt;ROUND(((1-IntEconomyDiscount-IntEoncomyIncentive)*'Intl Economy Base'!K87),2),ROUND('Intl Economy Base'!$K$105*(1+International_Fuel_Surcharge),2),ROUND(((1-IntEconomyDiscount-IntEoncomyIncentive)*'Intl Economy Base'!K87)*(1+International_Fuel_Surcharge),2)))*(1+FedEx_Markup),2)</f>
        <v>392.46</v>
      </c>
      <c r="L90" s="307">
        <f>ROUND((IF('Intl Economy Base'!$L$105&gt;ROUND(((1-IntEconomyDiscount-IntEoncomyIncentive)*'Intl Economy Base'!L87),2),ROUND('Intl Economy Base'!$L$105*(1+International_Fuel_Surcharge),2),ROUND(((1-IntEconomyDiscount-IntEoncomyIncentive)*'Intl Economy Base'!L87)*(1+International_Fuel_Surcharge),2)))*(1+FedEx_Markup),2)</f>
        <v>330.51</v>
      </c>
      <c r="M90" s="307">
        <f>ROUND((IF('Intl Economy Base'!$M$105&gt;ROUND(((1-IntEconomyDiscount-IntEoncomyIncentive)*'Intl Economy Base'!M87),2),ROUND('Intl Economy Base'!$M$105*(1+International_Fuel_Surcharge),2),ROUND(((1-IntEconomyDiscount-IntEoncomyIncentive)*'Intl Economy Base'!M87)*(1+International_Fuel_Surcharge),2)))*(1+FedEx_Markup),2)</f>
        <v>430.03</v>
      </c>
      <c r="N90" s="307">
        <f>ROUND((IF('Intl Economy Base'!$N$105&gt;ROUND(((1-IntEconomyDiscount-IntEoncomyIncentive)*'Intl Economy Base'!N87),2),ROUND('Intl Economy Base'!$N$105*(1+International_Fuel_Surcharge),2),ROUND(((1-IntEconomyDiscount-IntEoncomyIncentive)*'Intl Economy Base'!N87)*(1+International_Fuel_Surcharge),2)))*(1+FedEx_Markup),2)</f>
        <v>448.47</v>
      </c>
      <c r="O90" s="307">
        <f>ROUND((IF('Intl Economy Base'!$O$105&gt;ROUND(((1-IntEconomyDiscount-IntEoncomyIncentive)*'Intl Economy Base'!O87),2),ROUND('Intl Economy Base'!$O$105*(1+International_Fuel_Surcharge),2),ROUND(((1-IntEconomyDiscount-IntEoncomyIncentive)*'Intl Economy Base'!O87)*(1+International_Fuel_Surcharge),2)))*(1+FedEx_Markup),2)</f>
        <v>293.05</v>
      </c>
      <c r="P90" s="307">
        <f>ROUND((IF('Intl Economy Base'!$P$105&gt;ROUND(((1-IntEconomyDiscount-IntEoncomyIncentive)*'Intl Economy Base'!P87),2),ROUND('Intl Economy Base'!$P$105*(1+International_Fuel_Surcharge),2),ROUND(((1-IntEconomyDiscount-IntEoncomyIncentive)*'Intl Economy Base'!P87)*(1+International_Fuel_Surcharge),2)))*(1+FedEx_Markup),2)</f>
        <v>357.44</v>
      </c>
      <c r="Q90" s="307">
        <f>ROUND((IF('Intl Economy Base'!$Q$105&gt;ROUND(((1-PuertoRicoDiscount)*'Intl Economy Base'!Q87),2),ROUND('Intl Economy Base'!$Q$105*(1+International_Fuel_Surcharge),2),ROUND(((1-PuertoRicoDiscount)*'Intl Economy Base'!Q87)*(1+International_Fuel_Surcharge),2)))*(1+FedEx_Markup),2)</f>
        <v>547.25</v>
      </c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3.5" customHeight="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2.75" customHeight="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2.75" customHeight="1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2.75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2.75" customHeight="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2.7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2.75" customHeight="1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2.7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2.75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2.7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2.75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2.75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2.75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2.7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2.75" customHeight="1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2.7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2.7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2.7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2.7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2.7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2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2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2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2.7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2.7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2.7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2.7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2.7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2.7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2.7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2.7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2.7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2.7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2.7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2.7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2.7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2.7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2.7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2.7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2.7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2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2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2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2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2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2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2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2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2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2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2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2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2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2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2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2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2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2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2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2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2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2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2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2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2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2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2.7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2.7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2.7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2.7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2.7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2.7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2.7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2.7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2.7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2.7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2.7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2.7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2.7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2.7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2.7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2.7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2.7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2.7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2.7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2.7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2.7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2.7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2.7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2.7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2.7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2.7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2.7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2.7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2.7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2.7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2.7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2.7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2.7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2.7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2.7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2.7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2.7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2.7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2.7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2.7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2.7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2.7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2.7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2.7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2.7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2.7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2.7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2.7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2.7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2.7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2.7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2.7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2.7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2.7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2.7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2.7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2.7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2.7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2.7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2.7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2.7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2.7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2.7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2.7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2.7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2.7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2.7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2.7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2.7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2.7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2.7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2.7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2.7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2.7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2.7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2.7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2.7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2.7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2.7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2.7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2.7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2.7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2.7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2.7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2.7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2.7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2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2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2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2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2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2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2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2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2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2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2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2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2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2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2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2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2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2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2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2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2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2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2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2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2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2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2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2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2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2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2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2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2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2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2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2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2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2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2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2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2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2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2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2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2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2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2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2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2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2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2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2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2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2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2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2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2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2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2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2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2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2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2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2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2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2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2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2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2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2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2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2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2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2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2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2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2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2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2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2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2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2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2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2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2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2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2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2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2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2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2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2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2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2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2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2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2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2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2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2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2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2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2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2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2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2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2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2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2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2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2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2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2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2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2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2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2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2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2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2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2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2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2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2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2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2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2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2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2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2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2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2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2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2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2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2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2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2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2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2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2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2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2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2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2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2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2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2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2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2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2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2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2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2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2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2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2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2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2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2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2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2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2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2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2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2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2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2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2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2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2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2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2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2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2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2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2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2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2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2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2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2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2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2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2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2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2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2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2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2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2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2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2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2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2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2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2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2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2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2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2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2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2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2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2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2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2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2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2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2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2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2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2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2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2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2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2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2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2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2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2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2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2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2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2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2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2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2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2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2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2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2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2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2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2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2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2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2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2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2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2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2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2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2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2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2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2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2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2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2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2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2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2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2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2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2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2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2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2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2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2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2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2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2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2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2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2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2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2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2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2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2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2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2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2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2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2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2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2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2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2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2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2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2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2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2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2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2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2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2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2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2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2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2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2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2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2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2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2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2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2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2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2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2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2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2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2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2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2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2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2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2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2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2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2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2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2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2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2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2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2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2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2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2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2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2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2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2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2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2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2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2.7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2.7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2.7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2.7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2.7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2.7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2.7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2.7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2.7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2.7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2.7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2.7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2.7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2.7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2.7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2.7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2.7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2.7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2.7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2.7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2.7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2.7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2.7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2.7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2.7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2.7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2.7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2.7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2.7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2.7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2.7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2.7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2.7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2.7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2.7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2.7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2.7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2.7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2.7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2.7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2.7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2.7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2.7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2.7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2.7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2.7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2.7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2.7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2.7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2.7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2.7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2.7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2.7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2.7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2.7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2.7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2.7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2.7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2.7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2.7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2.7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2.7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2.7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2.7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2.7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2.7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2.7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2.7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2.7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2.7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2.7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2.7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2.7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2.7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2.7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2.7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2.7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2.7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2.7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2.7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2.7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2.7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2.7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2.7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2.7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2.7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2.7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2.7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2.7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2.7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2.7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2.7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2.7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2.7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2.7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2.7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2.7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2.7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2.7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2.7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2.7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2.7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2.7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2.7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2.7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2.7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2.7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2.7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2.7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2.7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2.7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2.7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2.7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2.7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2.7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2.7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2.7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2.7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2.7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2.7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2.7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2.7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2.7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2.7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2.7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2.7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2.7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2.7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2.7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2.7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2.7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2.7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2.7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2.7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2.7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2.7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2.7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2.7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2.7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2.7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2.7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2.7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2.7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2.7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2.7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2.7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2.7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2.7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2.7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2.7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2.7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2.7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2.7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2.7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2.7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2.7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2.7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2.7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2.7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2.7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2.7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2.7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2.7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2.7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2.7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2.7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2.7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2.7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2.7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2.7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2.7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2.7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2.7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2.7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2.7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2.7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2.7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2.7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2.7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2.7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2.7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2.7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2.7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2.7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2.7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2.7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2.7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2.7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2.7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2.7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2.7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2.7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2.7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2.7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2.7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2.7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2.7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2.7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2.7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2.7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2.7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2.7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2.7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2.7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2.7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2.7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2.7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2.7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2.7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2.7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2.7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2.7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2.7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2.7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2.7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2.7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2.7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2.7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2.7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2.7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2.7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2.7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2.7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2.7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2.7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2.7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2.7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2.7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2.7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2.7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2.7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2.7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2.7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2.7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2.7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2.7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2.7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2.7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2.7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2.7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2.7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2.7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2.7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2.7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2.7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2.7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2.7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2.7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2.7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2.7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2.7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2.7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2.7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2.7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2.7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2.7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2.7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2.7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2.7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2.7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2.7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2.7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2.7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2.7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2.7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2.7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2.7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2.7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2.7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2.7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2.7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2.7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2.7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2.7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2.7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2.7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2.7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2.7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2.7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2.7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2.7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2.7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2.7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2.7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2.7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2.7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2.7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2.7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2.7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2.7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2.7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2.7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2.7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2.7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2.7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2.7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2.7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2.7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2.7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2.7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2.7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2.7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2.7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2.7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2.7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2.7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2.7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2.7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2.7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2.7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2.7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2.7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2.7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2.7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2.7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2.7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2.7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2.7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2.7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2.7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2.7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2.7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2.7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2.7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2.7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2.7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2.7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2.7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2.7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2.7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2.7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2.7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2.7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2.7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2.7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2.7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2.7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2.7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2.7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2.7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2.7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2.75" customHeight="1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2.75" customHeight="1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2.75" customHeight="1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2.75" customHeight="1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2.75" customHeight="1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2.75" customHeight="1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2.75" customHeight="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2.75" customHeight="1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2.75" customHeight="1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2.75" customHeight="1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2.75" customHeight="1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2.75" customHeight="1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2.75" customHeight="1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2.75" customHeight="1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2.75" customHeight="1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2.75" customHeight="1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2.75" customHeight="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2.75" customHeight="1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2.75" customHeight="1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2.75" customHeight="1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2.75" customHeight="1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2.75" customHeight="1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2.75" customHeight="1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2.75" customHeight="1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2.75" customHeight="1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2.75" customHeight="1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2.75" customHeight="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2.75" customHeight="1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2.75" customHeight="1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2.75" customHeight="1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2.75" customHeight="1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2.75" customHeight="1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2.75" customHeight="1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2.75" customHeight="1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2.75" customHeight="1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2.75" customHeight="1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2.75" customHeight="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2.75" customHeight="1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2.75" customHeight="1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2.75" customHeight="1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2.75" customHeight="1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2.75" customHeight="1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2.75" customHeight="1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2.75" customHeight="1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2.75" customHeight="1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2.75" customHeight="1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 spans="1:26" ht="12.75" customHeight="1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 spans="1:26" ht="12.75" customHeight="1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 spans="1:26" ht="12.75" customHeight="1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 spans="1:26" ht="12.75" customHeight="1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 spans="1:26" ht="12.75" customHeight="1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 spans="1:26" ht="12.75" customHeight="1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 spans="1:26" ht="12.75" customHeight="1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 spans="1:26" ht="12.75" customHeight="1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 spans="1:26" ht="12.75" customHeight="1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 spans="1:26" ht="12.75" customHeight="1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 spans="1:26" ht="12.75" customHeight="1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 spans="1:26" ht="12.75" customHeight="1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 spans="1:26" ht="12.75" customHeight="1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 spans="1:26" ht="12.75" customHeight="1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 spans="1:26" ht="12.75" customHeight="1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 spans="1:26" ht="12.75" customHeight="1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 spans="1:26" ht="12.75" customHeight="1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 spans="1:26" ht="12.75" customHeight="1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 spans="1:26" ht="12.75" customHeight="1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 spans="1:26" ht="12.75" customHeight="1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 spans="1:26" ht="12.75" customHeight="1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 spans="1:26" ht="12.75" customHeight="1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 spans="1:26" ht="12.75" customHeight="1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 spans="1:26" ht="12.75" customHeight="1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 spans="1:26" ht="12.75" customHeight="1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 spans="1:26" ht="12.75" customHeight="1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 spans="1:26" ht="12.75" customHeight="1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 spans="1:26" ht="12.75" customHeight="1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</row>
    <row r="989" spans="1:26" ht="12.75" customHeight="1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</row>
    <row r="990" spans="1:26" ht="12.75" customHeight="1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</row>
    <row r="991" spans="1:26" ht="12.75" customHeight="1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</row>
    <row r="992" spans="1:26" ht="12.75" customHeight="1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</row>
    <row r="993" spans="1:26" ht="12.75" customHeight="1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</row>
    <row r="994" spans="1:26" ht="12.75" customHeight="1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</row>
    <row r="995" spans="1:26" ht="12.75" customHeight="1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</row>
    <row r="996" spans="1:26" ht="12.75" customHeight="1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</row>
    <row r="997" spans="1:26" ht="12.75" customHeight="1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</row>
    <row r="998" spans="1:26" ht="12.75" customHeight="1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</row>
    <row r="999" spans="1:26" ht="12.75" customHeight="1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</row>
    <row r="1000" spans="1:26" ht="12.75" customHeight="1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</row>
  </sheetData>
  <conditionalFormatting sqref="A6:Q90">
    <cfRule type="expression" dxfId="3" priority="1">
      <formula>MOD(ROW(),2)=0</formula>
    </cfRule>
  </conditionalFormatting>
  <pageMargins left="0.75" right="0.75" top="0.51" bottom="0.56999999999999995" header="0" footer="0"/>
  <pageSetup scale="68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A5A5A5"/>
  </sheetPr>
  <dimension ref="A1:Z100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/>
  <cols>
    <col min="1" max="6" width="8.5703125" customWidth="1"/>
    <col min="7" max="7" width="10.140625" customWidth="1"/>
    <col min="8" max="8" width="11" customWidth="1"/>
    <col min="9" max="12" width="8.5703125" customWidth="1"/>
    <col min="13" max="13" width="10" customWidth="1"/>
    <col min="14" max="16" width="8.5703125" customWidth="1"/>
    <col min="17" max="26" width="9.42578125" customWidth="1"/>
  </cols>
  <sheetData>
    <row r="1" spans="1:26" ht="12.75" customHeight="1">
      <c r="A1" s="60"/>
      <c r="B1" s="220" t="s">
        <v>161</v>
      </c>
      <c r="C1" s="209"/>
      <c r="D1" s="209"/>
      <c r="E1" s="221"/>
      <c r="F1" s="60"/>
      <c r="G1" s="212" t="s">
        <v>84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2.75" customHeight="1">
      <c r="A2" s="60"/>
      <c r="B2" s="213" t="s">
        <v>85</v>
      </c>
      <c r="C2" s="60"/>
      <c r="D2" s="60"/>
      <c r="E2" s="60"/>
      <c r="F2" s="60"/>
      <c r="G2" s="212" t="s">
        <v>123</v>
      </c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2.75" customHeight="1">
      <c r="A3" s="60"/>
      <c r="B3" s="213" t="s">
        <v>160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33.75">
      <c r="A4" s="222"/>
      <c r="B4" s="223" t="s">
        <v>16</v>
      </c>
      <c r="C4" s="223" t="s">
        <v>16</v>
      </c>
      <c r="D4" s="223" t="s">
        <v>19</v>
      </c>
      <c r="E4" s="223" t="s">
        <v>20</v>
      </c>
      <c r="F4" s="223" t="s">
        <v>21</v>
      </c>
      <c r="G4" s="223" t="s">
        <v>22</v>
      </c>
      <c r="H4" s="223" t="s">
        <v>23</v>
      </c>
      <c r="I4" s="223" t="s">
        <v>24</v>
      </c>
      <c r="J4" s="223" t="s">
        <v>25</v>
      </c>
      <c r="K4" s="223" t="s">
        <v>26</v>
      </c>
      <c r="L4" s="223" t="s">
        <v>27</v>
      </c>
      <c r="M4" s="223" t="s">
        <v>28</v>
      </c>
      <c r="N4" s="223" t="s">
        <v>29</v>
      </c>
      <c r="O4" s="223" t="s">
        <v>30</v>
      </c>
      <c r="P4" s="223" t="s">
        <v>31</v>
      </c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2.75" customHeight="1">
      <c r="A5" s="215" t="s">
        <v>5</v>
      </c>
      <c r="B5" s="214" t="s">
        <v>32</v>
      </c>
      <c r="C5" s="214" t="s">
        <v>33</v>
      </c>
      <c r="D5" s="214" t="s">
        <v>34</v>
      </c>
      <c r="E5" s="214" t="s">
        <v>35</v>
      </c>
      <c r="F5" s="214" t="s">
        <v>36</v>
      </c>
      <c r="G5" s="214" t="s">
        <v>37</v>
      </c>
      <c r="H5" s="214" t="s">
        <v>38</v>
      </c>
      <c r="I5" s="214" t="s">
        <v>39</v>
      </c>
      <c r="J5" s="214" t="s">
        <v>40</v>
      </c>
      <c r="K5" s="214" t="s">
        <v>41</v>
      </c>
      <c r="L5" s="214" t="s">
        <v>42</v>
      </c>
      <c r="M5" s="214" t="s">
        <v>43</v>
      </c>
      <c r="N5" s="214" t="s">
        <v>44</v>
      </c>
      <c r="O5" s="214" t="s">
        <v>45</v>
      </c>
      <c r="P5" s="214" t="s">
        <v>46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306">
        <v>1</v>
      </c>
      <c r="B6" s="307">
        <f>ROUND((IF('F Intl Con Plus Base'!$B$120&gt;ROUND(((1-'F Intl Con Plus Base'!B107)*'F Intl Con Plus Base'!B3),2),ROUND('F Intl Con Plus Base'!$B$120*(1+International_Fuel_Surcharge),2),ROUND(((1-'F Intl Con Plus Base'!B107)*'F Intl Con Plus Base'!B3)*(1+International_Fuel_Surcharge),2)))*(1+FedEx_Markup),2)</f>
        <v>38.659999999999997</v>
      </c>
      <c r="C6" s="307">
        <f>ROUND((IF('F Intl Con Plus Base'!$C$120&gt;ROUND(((1-'F Intl Con Plus Base'!C107)*'F Intl Con Plus Base'!C3),2),ROUND('F Intl Con Plus Base'!$C$120*(1+International_Fuel_Surcharge),2),ROUND(((1-'F Intl Con Plus Base'!C107)*'F Intl Con Plus Base'!C3)*(1+International_Fuel_Surcharge),2)))*(1+FedEx_Markup),2)</f>
        <v>41.56</v>
      </c>
      <c r="D6" s="307">
        <f>ROUND((IF('F Intl Con Plus Base'!$D$120&gt;ROUND(((1-'F Intl Con Plus Base'!D107)*'F Intl Con Plus Base'!D3),2),ROUND('F Intl Con Plus Base'!$D$120*(1+International_Fuel_Surcharge),2),ROUND(((1-'F Intl Con Plus Base'!D107)*'F Intl Con Plus Base'!D3)*(1+International_Fuel_Surcharge),2)))*(1+FedEx_Markup),2)</f>
        <v>34.33</v>
      </c>
      <c r="E6" s="307">
        <f>ROUND((IF('F Intl Con Plus Base'!$E$120&gt;ROUND(((1-'F Intl Con Plus Base'!E107)*'F Intl Con Plus Base'!E3),2),ROUND('F Intl Con Plus Base'!$E$120*(1+International_Fuel_Surcharge),2),ROUND(((1-'F Intl Con Plus Base'!E107)*'F Intl Con Plus Base'!E3)*(1+International_Fuel_Surcharge),2)))*(1+FedEx_Markup),2)</f>
        <v>43.04</v>
      </c>
      <c r="F6" s="307">
        <f>ROUND((IF('F Intl Con Plus Base'!$F$120&gt;ROUND(((1-'F Intl Con Plus Base'!F107)*'F Intl Con Plus Base'!F3),2),ROUND('F Intl Con Plus Base'!$F$120*(1+International_Fuel_Surcharge),2),ROUND(((1-'F Intl Con Plus Base'!F107)*'F Intl Con Plus Base'!F3)*(1+International_Fuel_Surcharge),2)))*(1+FedEx_Markup),2)</f>
        <v>43.31</v>
      </c>
      <c r="G6" s="307">
        <f>ROUND((IF('F Intl Con Plus Base'!$G$120&gt;ROUND(((1-'F Intl Con Plus Base'!G107)*'F Intl Con Plus Base'!G3),2),ROUND('F Intl Con Plus Base'!$G$120*(1+International_Fuel_Surcharge),2),ROUND(((1-'F Intl Con Plus Base'!G107)*'F Intl Con Plus Base'!G3)*(1+International_Fuel_Surcharge),2)))*(1+FedEx_Markup),2)</f>
        <v>44.4</v>
      </c>
      <c r="H6" s="307">
        <f>ROUND((IF('F Intl Con Plus Base'!$H$120&gt;ROUND(((1-'F Intl Con Plus Base'!H107)*'F Intl Con Plus Base'!H3),2),ROUND('F Intl Con Plus Base'!$H$120*(1+International_Fuel_Surcharge),2),ROUND(((1-'F Intl Con Plus Base'!H107)*'F Intl Con Plus Base'!H3)*(1+International_Fuel_Surcharge),2)))*(1+FedEx_Markup),2)</f>
        <v>41.46</v>
      </c>
      <c r="I6" s="307">
        <f>ROUND((IF('F Intl Con Plus Base'!$I$120&gt;ROUND(((1-'F Intl Con Plus Base'!I107)*'F Intl Con Plus Base'!I3),2),ROUND('F Intl Con Plus Base'!$I$120*(1+International_Fuel_Surcharge),2),ROUND(((1-'F Intl Con Plus Base'!I107)*'F Intl Con Plus Base'!I3)*(1+International_Fuel_Surcharge),2)))*(1+FedEx_Markup),2)</f>
        <v>41.54</v>
      </c>
      <c r="J6" s="307">
        <f>ROUND((IF('F Intl Con Plus Base'!$J$120&gt;ROUND(((1-'F Intl Con Plus Base'!J107)*'F Intl Con Plus Base'!J3),2),ROUND('F Intl Con Plus Base'!$J$120*(1+International_Fuel_Surcharge),2),ROUND(((1-'F Intl Con Plus Base'!J107)*'F Intl Con Plus Base'!J3)*(1+International_Fuel_Surcharge),2)))*(1+FedEx_Markup),2)</f>
        <v>35.049999999999997</v>
      </c>
      <c r="K6" s="307">
        <f>ROUND((IF('F Intl Con Plus Base'!$K$120&gt;ROUND(((1-'F Intl Con Plus Base'!K107)*'F Intl Con Plus Base'!K3),2),ROUND('F Intl Con Plus Base'!$K$120*(1+International_Fuel_Surcharge),2),ROUND(((1-'F Intl Con Plus Base'!K107)*'F Intl Con Plus Base'!K3)*(1+International_Fuel_Surcharge),2)))*(1+FedEx_Markup),2)</f>
        <v>50.08</v>
      </c>
      <c r="L6" s="307">
        <f>ROUND((IF('F Intl Con Plus Base'!$L$120&gt;ROUND(((1-'F Intl Con Plus Base'!L107)*'F Intl Con Plus Base'!L3),2),ROUND('F Intl Con Plus Base'!$L$120*(1+International_Fuel_Surcharge),2),ROUND(((1-'F Intl Con Plus Base'!L107)*'F Intl Con Plus Base'!L3)*(1+International_Fuel_Surcharge),2)))*(1+FedEx_Markup),2)</f>
        <v>45.63</v>
      </c>
      <c r="M6" s="307">
        <f>ROUND((IF('F Intl Con Plus Base'!$M$120&gt;ROUND(((1-'F Intl Con Plus Base'!M107)*'F Intl Con Plus Base'!M3),2),ROUND('F Intl Con Plus Base'!$M$120*(1+International_Fuel_Surcharge),2),ROUND(((1-'F Intl Con Plus Base'!M107)*'F Intl Con Plus Base'!M3)*(1+International_Fuel_Surcharge),2)))*(1+FedEx_Markup),2)</f>
        <v>60.73</v>
      </c>
      <c r="N6" s="307">
        <f>ROUND((IF('F Intl Con Plus Base'!$N$120&gt;ROUND(((1-'F Intl Con Plus Base'!N107)*'F Intl Con Plus Base'!N3),2),ROUND('F Intl Con Plus Base'!$N$120*(1+International_Fuel_Surcharge),2),ROUND(((1-'F Intl Con Plus Base'!N107)*'F Intl Con Plus Base'!N3)*(1+International_Fuel_Surcharge),2)))*(1+FedEx_Markup),2)</f>
        <v>41.84</v>
      </c>
      <c r="O6" s="307">
        <f>ROUND((IF('F Intl Con Plus Base'!$O$120&gt;ROUND(((1-'F Intl Con Plus Base'!O107)*'F Intl Con Plus Base'!O3),2),ROUND('F Intl Con Plus Base'!$O$120*(1+International_Fuel_Surcharge),2),ROUND(((1-'F Intl Con Plus Base'!O107)*'F Intl Con Plus Base'!O3)*(1+International_Fuel_Surcharge),2)))*(1+FedEx_Markup),2)</f>
        <v>47.37</v>
      </c>
      <c r="P6" s="307">
        <f>ROUND((IF('F Intl Con Plus Base'!$P$120&gt;ROUND(((1-'F Intl Con Plus Base'!P107)*'F Intl Con Plus Base'!P3),2),ROUND('F Intl Con Plus Base'!$P$120*(1+International_Fuel_Surcharge),2),ROUND(((1-'F Intl Con Plus Base'!P107)*'F Intl Con Plus Base'!P3)*(1+International_Fuel_Surcharge),2)))*(1+FedEx_Markup),2)</f>
        <v>46.23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306">
        <v>2</v>
      </c>
      <c r="B7" s="307">
        <f>ROUND((IF('F Intl Con Plus Base'!$B$120&gt;ROUND(((1-'F Intl Con Plus Base'!B108)*'F Intl Con Plus Base'!B4),2),ROUND('F Intl Con Plus Base'!$B$120*(1+International_Fuel_Surcharge),2),ROUND(((1-'F Intl Con Plus Base'!B108)*'F Intl Con Plus Base'!B4)*(1+International_Fuel_Surcharge),2)))*(1+FedEx_Markup),2)</f>
        <v>38.659999999999997</v>
      </c>
      <c r="C7" s="307">
        <f>ROUND((IF('F Intl Con Plus Base'!$C$120&gt;ROUND(((1-'F Intl Con Plus Base'!C108)*'F Intl Con Plus Base'!C4),2),ROUND('F Intl Con Plus Base'!$C$120*(1+International_Fuel_Surcharge),2),ROUND(((1-'F Intl Con Plus Base'!C108)*'F Intl Con Plus Base'!C4)*(1+International_Fuel_Surcharge),2)))*(1+FedEx_Markup),2)</f>
        <v>41.56</v>
      </c>
      <c r="D7" s="307">
        <f>ROUND((IF('F Intl Con Plus Base'!$D$120&gt;ROUND(((1-'F Intl Con Plus Base'!D108)*'F Intl Con Plus Base'!D4),2),ROUND('F Intl Con Plus Base'!$D$120*(1+International_Fuel_Surcharge),2),ROUND(((1-'F Intl Con Plus Base'!D108)*'F Intl Con Plus Base'!D4)*(1+International_Fuel_Surcharge),2)))*(1+FedEx_Markup),2)</f>
        <v>34.33</v>
      </c>
      <c r="E7" s="307">
        <f>ROUND((IF('F Intl Con Plus Base'!$E$120&gt;ROUND(((1-'F Intl Con Plus Base'!E108)*'F Intl Con Plus Base'!E4),2),ROUND('F Intl Con Plus Base'!$E$120*(1+International_Fuel_Surcharge),2),ROUND(((1-'F Intl Con Plus Base'!E108)*'F Intl Con Plus Base'!E4)*(1+International_Fuel_Surcharge),2)))*(1+FedEx_Markup),2)</f>
        <v>43.04</v>
      </c>
      <c r="F7" s="307">
        <f>ROUND((IF('F Intl Con Plus Base'!$F$120&gt;ROUND(((1-'F Intl Con Plus Base'!F108)*'F Intl Con Plus Base'!F4),2),ROUND('F Intl Con Plus Base'!$F$120*(1+International_Fuel_Surcharge),2),ROUND(((1-'F Intl Con Plus Base'!F108)*'F Intl Con Plus Base'!F4)*(1+International_Fuel_Surcharge),2)))*(1+FedEx_Markup),2)</f>
        <v>43.31</v>
      </c>
      <c r="G7" s="307">
        <f>ROUND((IF('F Intl Con Plus Base'!$G$120&gt;ROUND(((1-'F Intl Con Plus Base'!G108)*'F Intl Con Plus Base'!G4),2),ROUND('F Intl Con Plus Base'!$G$120*(1+International_Fuel_Surcharge),2),ROUND(((1-'F Intl Con Plus Base'!G108)*'F Intl Con Plus Base'!G4)*(1+International_Fuel_Surcharge),2)))*(1+FedEx_Markup),2)</f>
        <v>44.4</v>
      </c>
      <c r="H7" s="307">
        <f>ROUND((IF('F Intl Con Plus Base'!$H$120&gt;ROUND(((1-'F Intl Con Plus Base'!H108)*'F Intl Con Plus Base'!H4),2),ROUND('F Intl Con Plus Base'!$H$120*(1+International_Fuel_Surcharge),2),ROUND(((1-'F Intl Con Plus Base'!H108)*'F Intl Con Plus Base'!H4)*(1+International_Fuel_Surcharge),2)))*(1+FedEx_Markup),2)</f>
        <v>41.46</v>
      </c>
      <c r="I7" s="307">
        <f>ROUND((IF('F Intl Con Plus Base'!$I$120&gt;ROUND(((1-'F Intl Con Plus Base'!I108)*'F Intl Con Plus Base'!I4),2),ROUND('F Intl Con Plus Base'!$I$120*(1+International_Fuel_Surcharge),2),ROUND(((1-'F Intl Con Plus Base'!I108)*'F Intl Con Plus Base'!I4)*(1+International_Fuel_Surcharge),2)))*(1+FedEx_Markup),2)</f>
        <v>41.54</v>
      </c>
      <c r="J7" s="307">
        <f>ROUND((IF('F Intl Con Plus Base'!$J$120&gt;ROUND(((1-'F Intl Con Plus Base'!J108)*'F Intl Con Plus Base'!J4),2),ROUND('F Intl Con Plus Base'!$J$120*(1+International_Fuel_Surcharge),2),ROUND(((1-'F Intl Con Plus Base'!J108)*'F Intl Con Plus Base'!J4)*(1+International_Fuel_Surcharge),2)))*(1+FedEx_Markup),2)</f>
        <v>35.049999999999997</v>
      </c>
      <c r="K7" s="307">
        <f>ROUND((IF('F Intl Con Plus Base'!$K$120&gt;ROUND(((1-'F Intl Con Plus Base'!K108)*'F Intl Con Plus Base'!K4),2),ROUND('F Intl Con Plus Base'!$K$120*(1+International_Fuel_Surcharge),2),ROUND(((1-'F Intl Con Plus Base'!K108)*'F Intl Con Plus Base'!K4)*(1+International_Fuel_Surcharge),2)))*(1+FedEx_Markup),2)</f>
        <v>50.08</v>
      </c>
      <c r="L7" s="307">
        <f>ROUND((IF('F Intl Con Plus Base'!$L$120&gt;ROUND(((1-'F Intl Con Plus Base'!L108)*'F Intl Con Plus Base'!L4),2),ROUND('F Intl Con Plus Base'!$L$120*(1+International_Fuel_Surcharge),2),ROUND(((1-'F Intl Con Plus Base'!L108)*'F Intl Con Plus Base'!L4)*(1+International_Fuel_Surcharge),2)))*(1+FedEx_Markup),2)</f>
        <v>45.63</v>
      </c>
      <c r="M7" s="307">
        <f>ROUND((IF('F Intl Con Plus Base'!$M$120&gt;ROUND(((1-'F Intl Con Plus Base'!M108)*'F Intl Con Plus Base'!M4),2),ROUND('F Intl Con Plus Base'!$M$120*(1+International_Fuel_Surcharge),2),ROUND(((1-'F Intl Con Plus Base'!M108)*'F Intl Con Plus Base'!M4)*(1+International_Fuel_Surcharge),2)))*(1+FedEx_Markup),2)</f>
        <v>60.73</v>
      </c>
      <c r="N7" s="307">
        <f>ROUND((IF('F Intl Con Plus Base'!$N$120&gt;ROUND(((1-'F Intl Con Plus Base'!N108)*'F Intl Con Plus Base'!N4),2),ROUND('F Intl Con Plus Base'!$N$120*(1+International_Fuel_Surcharge),2),ROUND(((1-'F Intl Con Plus Base'!N108)*'F Intl Con Plus Base'!N4)*(1+International_Fuel_Surcharge),2)))*(1+FedEx_Markup),2)</f>
        <v>41.84</v>
      </c>
      <c r="O7" s="307">
        <f>ROUND((IF('F Intl Con Plus Base'!$O$120&gt;ROUND(((1-'F Intl Con Plus Base'!O108)*'F Intl Con Plus Base'!O4),2),ROUND('F Intl Con Plus Base'!$O$120*(1+International_Fuel_Surcharge),2),ROUND(((1-'F Intl Con Plus Base'!O108)*'F Intl Con Plus Base'!O4)*(1+International_Fuel_Surcharge),2)))*(1+FedEx_Markup),2)</f>
        <v>47.37</v>
      </c>
      <c r="P7" s="307">
        <f>ROUND((IF('F Intl Con Plus Base'!$P$120&gt;ROUND(((1-'F Intl Con Plus Base'!P108)*'F Intl Con Plus Base'!P4),2),ROUND('F Intl Con Plus Base'!$P$120*(1+International_Fuel_Surcharge),2),ROUND(((1-'F Intl Con Plus Base'!P108)*'F Intl Con Plus Base'!P4)*(1+International_Fuel_Surcharge),2)))*(1+FedEx_Markup),2)</f>
        <v>46.23</v>
      </c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306">
        <v>3</v>
      </c>
      <c r="B8" s="307">
        <f>ROUND((IF('F Intl Con Plus Base'!$B$120&gt;ROUND(((1-'F Intl Con Plus Base'!B109)*'F Intl Con Plus Base'!B5),2),ROUND('F Intl Con Plus Base'!$B$120*(1+International_Fuel_Surcharge),2),ROUND(((1-'F Intl Con Plus Base'!B109)*'F Intl Con Plus Base'!B5)*(1+International_Fuel_Surcharge),2)))*(1+FedEx_Markup),2)</f>
        <v>38.659999999999997</v>
      </c>
      <c r="C8" s="307">
        <f>ROUND((IF('F Intl Con Plus Base'!$C$120&gt;ROUND(((1-'F Intl Con Plus Base'!C109)*'F Intl Con Plus Base'!C5),2),ROUND('F Intl Con Plus Base'!$C$120*(1+International_Fuel_Surcharge),2),ROUND(((1-'F Intl Con Plus Base'!C109)*'F Intl Con Plus Base'!C5)*(1+International_Fuel_Surcharge),2)))*(1+FedEx_Markup),2)</f>
        <v>41.56</v>
      </c>
      <c r="D8" s="307">
        <f>ROUND((IF('F Intl Con Plus Base'!$D$120&gt;ROUND(((1-'F Intl Con Plus Base'!D109)*'F Intl Con Plus Base'!D5),2),ROUND('F Intl Con Plus Base'!$D$120*(1+International_Fuel_Surcharge),2),ROUND(((1-'F Intl Con Plus Base'!D109)*'F Intl Con Plus Base'!D5)*(1+International_Fuel_Surcharge),2)))*(1+FedEx_Markup),2)</f>
        <v>34.33</v>
      </c>
      <c r="E8" s="307">
        <f>ROUND((IF('F Intl Con Plus Base'!$E$120&gt;ROUND(((1-'F Intl Con Plus Base'!E109)*'F Intl Con Plus Base'!E5),2),ROUND('F Intl Con Plus Base'!$E$120*(1+International_Fuel_Surcharge),2),ROUND(((1-'F Intl Con Plus Base'!E109)*'F Intl Con Plus Base'!E5)*(1+International_Fuel_Surcharge),2)))*(1+FedEx_Markup),2)</f>
        <v>43.04</v>
      </c>
      <c r="F8" s="307">
        <f>ROUND((IF('F Intl Con Plus Base'!$F$120&gt;ROUND(((1-'F Intl Con Plus Base'!F109)*'F Intl Con Plus Base'!F5),2),ROUND('F Intl Con Plus Base'!$F$120*(1+International_Fuel_Surcharge),2),ROUND(((1-'F Intl Con Plus Base'!F109)*'F Intl Con Plus Base'!F5)*(1+International_Fuel_Surcharge),2)))*(1+FedEx_Markup),2)</f>
        <v>48.55</v>
      </c>
      <c r="G8" s="307">
        <f>ROUND((IF('F Intl Con Plus Base'!$G$120&gt;ROUND(((1-'F Intl Con Plus Base'!G109)*'F Intl Con Plus Base'!G5),2),ROUND('F Intl Con Plus Base'!$G$120*(1+International_Fuel_Surcharge),2),ROUND(((1-'F Intl Con Plus Base'!G109)*'F Intl Con Plus Base'!G5)*(1+International_Fuel_Surcharge),2)))*(1+FedEx_Markup),2)</f>
        <v>44.4</v>
      </c>
      <c r="H8" s="307">
        <f>ROUND((IF('F Intl Con Plus Base'!$H$120&gt;ROUND(((1-'F Intl Con Plus Base'!H109)*'F Intl Con Plus Base'!H5),2),ROUND('F Intl Con Plus Base'!$H$120*(1+International_Fuel_Surcharge),2),ROUND(((1-'F Intl Con Plus Base'!H109)*'F Intl Con Plus Base'!H5)*(1+International_Fuel_Surcharge),2)))*(1+FedEx_Markup),2)</f>
        <v>41.46</v>
      </c>
      <c r="I8" s="307">
        <f>ROUND((IF('F Intl Con Plus Base'!$I$120&gt;ROUND(((1-'F Intl Con Plus Base'!I109)*'F Intl Con Plus Base'!I5),2),ROUND('F Intl Con Plus Base'!$I$120*(1+International_Fuel_Surcharge),2),ROUND(((1-'F Intl Con Plus Base'!I109)*'F Intl Con Plus Base'!I5)*(1+International_Fuel_Surcharge),2)))*(1+FedEx_Markup),2)</f>
        <v>41.54</v>
      </c>
      <c r="J8" s="307">
        <f>ROUND((IF('F Intl Con Plus Base'!$J$120&gt;ROUND(((1-'F Intl Con Plus Base'!J109)*'F Intl Con Plus Base'!J5),2),ROUND('F Intl Con Plus Base'!$J$120*(1+International_Fuel_Surcharge),2),ROUND(((1-'F Intl Con Plus Base'!J109)*'F Intl Con Plus Base'!J5)*(1+International_Fuel_Surcharge),2)))*(1+FedEx_Markup),2)</f>
        <v>35.049999999999997</v>
      </c>
      <c r="K8" s="307">
        <f>ROUND((IF('F Intl Con Plus Base'!$K$120&gt;ROUND(((1-'F Intl Con Plus Base'!K109)*'F Intl Con Plus Base'!K5),2),ROUND('F Intl Con Plus Base'!$K$120*(1+International_Fuel_Surcharge),2),ROUND(((1-'F Intl Con Plus Base'!K109)*'F Intl Con Plus Base'!K5)*(1+International_Fuel_Surcharge),2)))*(1+FedEx_Markup),2)</f>
        <v>50.08</v>
      </c>
      <c r="L8" s="307">
        <f>ROUND((IF('F Intl Con Plus Base'!$L$120&gt;ROUND(((1-'F Intl Con Plus Base'!L109)*'F Intl Con Plus Base'!L5),2),ROUND('F Intl Con Plus Base'!$L$120*(1+International_Fuel_Surcharge),2),ROUND(((1-'F Intl Con Plus Base'!L109)*'F Intl Con Plus Base'!L5)*(1+International_Fuel_Surcharge),2)))*(1+FedEx_Markup),2)</f>
        <v>45.63</v>
      </c>
      <c r="M8" s="307">
        <f>ROUND((IF('F Intl Con Plus Base'!$M$120&gt;ROUND(((1-'F Intl Con Plus Base'!M109)*'F Intl Con Plus Base'!M5),2),ROUND('F Intl Con Plus Base'!$M$120*(1+International_Fuel_Surcharge),2),ROUND(((1-'F Intl Con Plus Base'!M109)*'F Intl Con Plus Base'!M5)*(1+International_Fuel_Surcharge),2)))*(1+FedEx_Markup),2)</f>
        <v>60.73</v>
      </c>
      <c r="N8" s="307">
        <f>ROUND((IF('F Intl Con Plus Base'!$N$120&gt;ROUND(((1-'F Intl Con Plus Base'!N109)*'F Intl Con Plus Base'!N5),2),ROUND('F Intl Con Plus Base'!$N$120*(1+International_Fuel_Surcharge),2),ROUND(((1-'F Intl Con Plus Base'!N109)*'F Intl Con Plus Base'!N5)*(1+International_Fuel_Surcharge),2)))*(1+FedEx_Markup),2)</f>
        <v>49.06</v>
      </c>
      <c r="O8" s="307">
        <f>ROUND((IF('F Intl Con Plus Base'!$O$120&gt;ROUND(((1-'F Intl Con Plus Base'!O109)*'F Intl Con Plus Base'!O5),2),ROUND('F Intl Con Plus Base'!$O$120*(1+International_Fuel_Surcharge),2),ROUND(((1-'F Intl Con Plus Base'!O109)*'F Intl Con Plus Base'!O5)*(1+International_Fuel_Surcharge),2)))*(1+FedEx_Markup),2)</f>
        <v>47.37</v>
      </c>
      <c r="P8" s="307">
        <f>ROUND((IF('F Intl Con Plus Base'!$P$120&gt;ROUND(((1-'F Intl Con Plus Base'!P109)*'F Intl Con Plus Base'!P5),2),ROUND('F Intl Con Plus Base'!$P$120*(1+International_Fuel_Surcharge),2),ROUND(((1-'F Intl Con Plus Base'!P109)*'F Intl Con Plus Base'!P5)*(1+International_Fuel_Surcharge),2)))*(1+FedEx_Markup),2)</f>
        <v>46.23</v>
      </c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306">
        <v>4</v>
      </c>
      <c r="B9" s="307">
        <f>ROUND((IF('F Intl Con Plus Base'!$B$120&gt;ROUND(((1-'F Intl Con Plus Base'!B110)*'F Intl Con Plus Base'!B6),2),ROUND('F Intl Con Plus Base'!$B$120*(1+International_Fuel_Surcharge),2),ROUND(((1-'F Intl Con Plus Base'!B110)*'F Intl Con Plus Base'!B6)*(1+International_Fuel_Surcharge),2)))*(1+FedEx_Markup),2)</f>
        <v>38.659999999999997</v>
      </c>
      <c r="C9" s="307">
        <f>ROUND((IF('F Intl Con Plus Base'!$C$120&gt;ROUND(((1-'F Intl Con Plus Base'!C110)*'F Intl Con Plus Base'!C6),2),ROUND('F Intl Con Plus Base'!$C$120*(1+International_Fuel_Surcharge),2),ROUND(((1-'F Intl Con Plus Base'!C110)*'F Intl Con Plus Base'!C6)*(1+International_Fuel_Surcharge),2)))*(1+FedEx_Markup),2)</f>
        <v>41.56</v>
      </c>
      <c r="D9" s="307">
        <f>ROUND((IF('F Intl Con Plus Base'!$D$120&gt;ROUND(((1-'F Intl Con Plus Base'!D110)*'F Intl Con Plus Base'!D6),2),ROUND('F Intl Con Plus Base'!$D$120*(1+International_Fuel_Surcharge),2),ROUND(((1-'F Intl Con Plus Base'!D110)*'F Intl Con Plus Base'!D6)*(1+International_Fuel_Surcharge),2)))*(1+FedEx_Markup),2)</f>
        <v>34.33</v>
      </c>
      <c r="E9" s="307">
        <f>ROUND((IF('F Intl Con Plus Base'!$E$120&gt;ROUND(((1-'F Intl Con Plus Base'!E110)*'F Intl Con Plus Base'!E6),2),ROUND('F Intl Con Plus Base'!$E$120*(1+International_Fuel_Surcharge),2),ROUND(((1-'F Intl Con Plus Base'!E110)*'F Intl Con Plus Base'!E6)*(1+International_Fuel_Surcharge),2)))*(1+FedEx_Markup),2)</f>
        <v>43.04</v>
      </c>
      <c r="F9" s="307">
        <f>ROUND((IF('F Intl Con Plus Base'!$F$120&gt;ROUND(((1-'F Intl Con Plus Base'!F110)*'F Intl Con Plus Base'!F6),2),ROUND('F Intl Con Plus Base'!$F$120*(1+International_Fuel_Surcharge),2),ROUND(((1-'F Intl Con Plus Base'!F110)*'F Intl Con Plus Base'!F6)*(1+International_Fuel_Surcharge),2)))*(1+FedEx_Markup),2)</f>
        <v>59.27</v>
      </c>
      <c r="G9" s="307">
        <f>ROUND((IF('F Intl Con Plus Base'!$G$120&gt;ROUND(((1-'F Intl Con Plus Base'!G110)*'F Intl Con Plus Base'!G6),2),ROUND('F Intl Con Plus Base'!$G$120*(1+International_Fuel_Surcharge),2),ROUND(((1-'F Intl Con Plus Base'!G110)*'F Intl Con Plus Base'!G6)*(1+International_Fuel_Surcharge),2)))*(1+FedEx_Markup),2)</f>
        <v>44.4</v>
      </c>
      <c r="H9" s="307">
        <f>ROUND((IF('F Intl Con Plus Base'!$H$120&gt;ROUND(((1-'F Intl Con Plus Base'!H110)*'F Intl Con Plus Base'!H6),2),ROUND('F Intl Con Plus Base'!$H$120*(1+International_Fuel_Surcharge),2),ROUND(((1-'F Intl Con Plus Base'!H110)*'F Intl Con Plus Base'!H6)*(1+International_Fuel_Surcharge),2)))*(1+FedEx_Markup),2)</f>
        <v>41.46</v>
      </c>
      <c r="I9" s="307">
        <f>ROUND((IF('F Intl Con Plus Base'!$I$120&gt;ROUND(((1-'F Intl Con Plus Base'!I110)*'F Intl Con Plus Base'!I6),2),ROUND('F Intl Con Plus Base'!$I$120*(1+International_Fuel_Surcharge),2),ROUND(((1-'F Intl Con Plus Base'!I110)*'F Intl Con Plus Base'!I6)*(1+International_Fuel_Surcharge),2)))*(1+FedEx_Markup),2)</f>
        <v>45.51</v>
      </c>
      <c r="J9" s="307">
        <f>ROUND((IF('F Intl Con Plus Base'!$J$120&gt;ROUND(((1-'F Intl Con Plus Base'!J110)*'F Intl Con Plus Base'!J6),2),ROUND('F Intl Con Plus Base'!$J$120*(1+International_Fuel_Surcharge),2),ROUND(((1-'F Intl Con Plus Base'!J110)*'F Intl Con Plus Base'!J6)*(1+International_Fuel_Surcharge),2)))*(1+FedEx_Markup),2)</f>
        <v>35.049999999999997</v>
      </c>
      <c r="K9" s="307">
        <f>ROUND((IF('F Intl Con Plus Base'!$K$120&gt;ROUND(((1-'F Intl Con Plus Base'!K110)*'F Intl Con Plus Base'!K6),2),ROUND('F Intl Con Plus Base'!$K$120*(1+International_Fuel_Surcharge),2),ROUND(((1-'F Intl Con Plus Base'!K110)*'F Intl Con Plus Base'!K6)*(1+International_Fuel_Surcharge),2)))*(1+FedEx_Markup),2)</f>
        <v>50.08</v>
      </c>
      <c r="L9" s="307">
        <f>ROUND((IF('F Intl Con Plus Base'!$L$120&gt;ROUND(((1-'F Intl Con Plus Base'!L110)*'F Intl Con Plus Base'!L6),2),ROUND('F Intl Con Plus Base'!$L$120*(1+International_Fuel_Surcharge),2),ROUND(((1-'F Intl Con Plus Base'!L110)*'F Intl Con Plus Base'!L6)*(1+International_Fuel_Surcharge),2)))*(1+FedEx_Markup),2)</f>
        <v>45.63</v>
      </c>
      <c r="M9" s="307">
        <f>ROUND((IF('F Intl Con Plus Base'!$M$120&gt;ROUND(((1-'F Intl Con Plus Base'!M110)*'F Intl Con Plus Base'!M6),2),ROUND('F Intl Con Plus Base'!$M$120*(1+International_Fuel_Surcharge),2),ROUND(((1-'F Intl Con Plus Base'!M110)*'F Intl Con Plus Base'!M6)*(1+International_Fuel_Surcharge),2)))*(1+FedEx_Markup),2)</f>
        <v>60.73</v>
      </c>
      <c r="N9" s="307">
        <f>ROUND((IF('F Intl Con Plus Base'!$N$120&gt;ROUND(((1-'F Intl Con Plus Base'!N110)*'F Intl Con Plus Base'!N6),2),ROUND('F Intl Con Plus Base'!$N$120*(1+International_Fuel_Surcharge),2),ROUND(((1-'F Intl Con Plus Base'!N110)*'F Intl Con Plus Base'!N6)*(1+International_Fuel_Surcharge),2)))*(1+FedEx_Markup),2)</f>
        <v>56.35</v>
      </c>
      <c r="O9" s="307">
        <f>ROUND((IF('F Intl Con Plus Base'!$O$120&gt;ROUND(((1-'F Intl Con Plus Base'!O110)*'F Intl Con Plus Base'!O6),2),ROUND('F Intl Con Plus Base'!$O$120*(1+International_Fuel_Surcharge),2),ROUND(((1-'F Intl Con Plus Base'!O110)*'F Intl Con Plus Base'!O6)*(1+International_Fuel_Surcharge),2)))*(1+FedEx_Markup),2)</f>
        <v>47.37</v>
      </c>
      <c r="P9" s="307">
        <f>ROUND((IF('F Intl Con Plus Base'!$P$120&gt;ROUND(((1-'F Intl Con Plus Base'!P110)*'F Intl Con Plus Base'!P6),2),ROUND('F Intl Con Plus Base'!$P$120*(1+International_Fuel_Surcharge),2),ROUND(((1-'F Intl Con Plus Base'!P110)*'F Intl Con Plus Base'!P6)*(1+International_Fuel_Surcharge),2)))*(1+FedEx_Markup),2)</f>
        <v>46.23</v>
      </c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306">
        <v>5</v>
      </c>
      <c r="B10" s="307">
        <f>ROUND((IF('F Intl Con Plus Base'!$B$120&gt;ROUND(((1-'F Intl Con Plus Base'!B111)*'F Intl Con Plus Base'!B7),2),ROUND('F Intl Con Plus Base'!$B$120*(1+International_Fuel_Surcharge),2),ROUND(((1-'F Intl Con Plus Base'!B111)*'F Intl Con Plus Base'!B7)*(1+International_Fuel_Surcharge),2)))*(1+FedEx_Markup),2)</f>
        <v>38.659999999999997</v>
      </c>
      <c r="C10" s="307">
        <f>ROUND((IF('F Intl Con Plus Base'!$C$120&gt;ROUND(((1-'F Intl Con Plus Base'!C111)*'F Intl Con Plus Base'!C7),2),ROUND('F Intl Con Plus Base'!$C$120*(1+International_Fuel_Surcharge),2),ROUND(((1-'F Intl Con Plus Base'!C111)*'F Intl Con Plus Base'!C7)*(1+International_Fuel_Surcharge),2)))*(1+FedEx_Markup),2)</f>
        <v>41.56</v>
      </c>
      <c r="D10" s="307">
        <f>ROUND((IF('F Intl Con Plus Base'!$D$120&gt;ROUND(((1-'F Intl Con Plus Base'!D111)*'F Intl Con Plus Base'!D7),2),ROUND('F Intl Con Plus Base'!$D$120*(1+International_Fuel_Surcharge),2),ROUND(((1-'F Intl Con Plus Base'!D111)*'F Intl Con Plus Base'!D7)*(1+International_Fuel_Surcharge),2)))*(1+FedEx_Markup),2)</f>
        <v>34.33</v>
      </c>
      <c r="E10" s="307">
        <f>ROUND((IF('F Intl Con Plus Base'!$E$120&gt;ROUND(((1-'F Intl Con Plus Base'!E111)*'F Intl Con Plus Base'!E7),2),ROUND('F Intl Con Plus Base'!$E$120*(1+International_Fuel_Surcharge),2),ROUND(((1-'F Intl Con Plus Base'!E111)*'F Intl Con Plus Base'!E7)*(1+International_Fuel_Surcharge),2)))*(1+FedEx_Markup),2)</f>
        <v>43.04</v>
      </c>
      <c r="F10" s="307">
        <f>ROUND((IF('F Intl Con Plus Base'!$F$120&gt;ROUND(((1-'F Intl Con Plus Base'!F111)*'F Intl Con Plus Base'!F7),2),ROUND('F Intl Con Plus Base'!$F$120*(1+International_Fuel_Surcharge),2),ROUND(((1-'F Intl Con Plus Base'!F111)*'F Intl Con Plus Base'!F7)*(1+International_Fuel_Surcharge),2)))*(1+FedEx_Markup),2)</f>
        <v>68.239999999999995</v>
      </c>
      <c r="G10" s="307">
        <f>ROUND((IF('F Intl Con Plus Base'!$G$120&gt;ROUND(((1-'F Intl Con Plus Base'!G111)*'F Intl Con Plus Base'!G7),2),ROUND('F Intl Con Plus Base'!$G$120*(1+International_Fuel_Surcharge),2),ROUND(((1-'F Intl Con Plus Base'!G111)*'F Intl Con Plus Base'!G7)*(1+International_Fuel_Surcharge),2)))*(1+FedEx_Markup),2)</f>
        <v>48.08</v>
      </c>
      <c r="H10" s="307">
        <f>ROUND((IF('F Intl Con Plus Base'!$H$120&gt;ROUND(((1-'F Intl Con Plus Base'!H111)*'F Intl Con Plus Base'!H7),2),ROUND('F Intl Con Plus Base'!$H$120*(1+International_Fuel_Surcharge),2),ROUND(((1-'F Intl Con Plus Base'!H111)*'F Intl Con Plus Base'!H7)*(1+International_Fuel_Surcharge),2)))*(1+FedEx_Markup),2)</f>
        <v>48.08</v>
      </c>
      <c r="I10" s="307">
        <f>ROUND((IF('F Intl Con Plus Base'!$I$120&gt;ROUND(((1-'F Intl Con Plus Base'!I111)*'F Intl Con Plus Base'!I7),2),ROUND('F Intl Con Plus Base'!$I$120*(1+International_Fuel_Surcharge),2),ROUND(((1-'F Intl Con Plus Base'!I111)*'F Intl Con Plus Base'!I7)*(1+International_Fuel_Surcharge),2)))*(1+FedEx_Markup),2)</f>
        <v>54.1</v>
      </c>
      <c r="J10" s="307">
        <f>ROUND((IF('F Intl Con Plus Base'!$J$120&gt;ROUND(((1-'F Intl Con Plus Base'!J111)*'F Intl Con Plus Base'!J7),2),ROUND('F Intl Con Plus Base'!$J$120*(1+International_Fuel_Surcharge),2),ROUND(((1-'F Intl Con Plus Base'!J111)*'F Intl Con Plus Base'!J7)*(1+International_Fuel_Surcharge),2)))*(1+FedEx_Markup),2)</f>
        <v>35.89</v>
      </c>
      <c r="K10" s="307">
        <f>ROUND((IF('F Intl Con Plus Base'!$K$120&gt;ROUND(((1-'F Intl Con Plus Base'!K111)*'F Intl Con Plus Base'!K7),2),ROUND('F Intl Con Plus Base'!$K$120*(1+International_Fuel_Surcharge),2),ROUND(((1-'F Intl Con Plus Base'!K111)*'F Intl Con Plus Base'!K7)*(1+International_Fuel_Surcharge),2)))*(1+FedEx_Markup),2)</f>
        <v>50.08</v>
      </c>
      <c r="L10" s="307">
        <f>ROUND((IF('F Intl Con Plus Base'!$L$120&gt;ROUND(((1-'F Intl Con Plus Base'!L111)*'F Intl Con Plus Base'!L7),2),ROUND('F Intl Con Plus Base'!$L$120*(1+International_Fuel_Surcharge),2),ROUND(((1-'F Intl Con Plus Base'!L111)*'F Intl Con Plus Base'!L7)*(1+International_Fuel_Surcharge),2)))*(1+FedEx_Markup),2)</f>
        <v>51</v>
      </c>
      <c r="M10" s="307">
        <f>ROUND((IF('F Intl Con Plus Base'!$M$120&gt;ROUND(((1-'F Intl Con Plus Base'!M111)*'F Intl Con Plus Base'!M7),2),ROUND('F Intl Con Plus Base'!$M$120*(1+International_Fuel_Surcharge),2),ROUND(((1-'F Intl Con Plus Base'!M111)*'F Intl Con Plus Base'!M7)*(1+International_Fuel_Surcharge),2)))*(1+FedEx_Markup),2)</f>
        <v>64.64</v>
      </c>
      <c r="N10" s="307">
        <f>ROUND((IF('F Intl Con Plus Base'!$N$120&gt;ROUND(((1-'F Intl Con Plus Base'!N111)*'F Intl Con Plus Base'!N7),2),ROUND('F Intl Con Plus Base'!$N$120*(1+International_Fuel_Surcharge),2),ROUND(((1-'F Intl Con Plus Base'!N111)*'F Intl Con Plus Base'!N7)*(1+International_Fuel_Surcharge),2)))*(1+FedEx_Markup),2)</f>
        <v>64.55</v>
      </c>
      <c r="O10" s="307">
        <f>ROUND((IF('F Intl Con Plus Base'!$O$120&gt;ROUND(((1-'F Intl Con Plus Base'!O111)*'F Intl Con Plus Base'!O7),2),ROUND('F Intl Con Plus Base'!$O$120*(1+International_Fuel_Surcharge),2),ROUND(((1-'F Intl Con Plus Base'!O111)*'F Intl Con Plus Base'!O7)*(1+International_Fuel_Surcharge),2)))*(1+FedEx_Markup),2)</f>
        <v>47.89</v>
      </c>
      <c r="P10" s="307">
        <f>ROUND((IF('F Intl Con Plus Base'!$P$120&gt;ROUND(((1-'F Intl Con Plus Base'!P111)*'F Intl Con Plus Base'!P7),2),ROUND('F Intl Con Plus Base'!$P$120*(1+International_Fuel_Surcharge),2),ROUND(((1-'F Intl Con Plus Base'!P111)*'F Intl Con Plus Base'!P7)*(1+International_Fuel_Surcharge),2)))*(1+FedEx_Markup),2)</f>
        <v>48.22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306">
        <v>6</v>
      </c>
      <c r="B11" s="307">
        <f>ROUND((IF('F Intl Con Plus Base'!$B$120&gt;ROUND(((1-'F Intl Con Plus Base'!B112)*'F Intl Con Plus Base'!B8),2),ROUND('F Intl Con Plus Base'!$B$120*(1+International_Fuel_Surcharge),2),ROUND(((1-'F Intl Con Plus Base'!B112)*'F Intl Con Plus Base'!B8)*(1+International_Fuel_Surcharge),2)))*(1+FedEx_Markup),2)</f>
        <v>38.659999999999997</v>
      </c>
      <c r="C11" s="307">
        <f>ROUND((IF('F Intl Con Plus Base'!$C$120&gt;ROUND(((1-'F Intl Con Plus Base'!C112)*'F Intl Con Plus Base'!C8),2),ROUND('F Intl Con Plus Base'!$C$120*(1+International_Fuel_Surcharge),2),ROUND(((1-'F Intl Con Plus Base'!C112)*'F Intl Con Plus Base'!C8)*(1+International_Fuel_Surcharge),2)))*(1+FedEx_Markup),2)</f>
        <v>41.56</v>
      </c>
      <c r="D11" s="307">
        <f>ROUND((IF('F Intl Con Plus Base'!$D$120&gt;ROUND(((1-'F Intl Con Plus Base'!D112)*'F Intl Con Plus Base'!D8),2),ROUND('F Intl Con Plus Base'!$D$120*(1+International_Fuel_Surcharge),2),ROUND(((1-'F Intl Con Plus Base'!D112)*'F Intl Con Plus Base'!D8)*(1+International_Fuel_Surcharge),2)))*(1+FedEx_Markup),2)</f>
        <v>35.340000000000003</v>
      </c>
      <c r="E11" s="307">
        <f>ROUND((IF('F Intl Con Plus Base'!$E$120&gt;ROUND(((1-'F Intl Con Plus Base'!E112)*'F Intl Con Plus Base'!E8),2),ROUND('F Intl Con Plus Base'!$E$120*(1+International_Fuel_Surcharge),2),ROUND(((1-'F Intl Con Plus Base'!E112)*'F Intl Con Plus Base'!E8)*(1+International_Fuel_Surcharge),2)))*(1+FedEx_Markup),2)</f>
        <v>43.04</v>
      </c>
      <c r="F11" s="307">
        <f>ROUND((IF('F Intl Con Plus Base'!$F$120&gt;ROUND(((1-'F Intl Con Plus Base'!F112)*'F Intl Con Plus Base'!F8),2),ROUND('F Intl Con Plus Base'!$F$120*(1+International_Fuel_Surcharge),2),ROUND(((1-'F Intl Con Plus Base'!F112)*'F Intl Con Plus Base'!F8)*(1+International_Fuel_Surcharge),2)))*(1+FedEx_Markup),2)</f>
        <v>72.36</v>
      </c>
      <c r="G11" s="307">
        <f>ROUND((IF('F Intl Con Plus Base'!$G$120&gt;ROUND(((1-'F Intl Con Plus Base'!G112)*'F Intl Con Plus Base'!G8),2),ROUND('F Intl Con Plus Base'!$G$120*(1+International_Fuel_Surcharge),2),ROUND(((1-'F Intl Con Plus Base'!G112)*'F Intl Con Plus Base'!G8)*(1+International_Fuel_Surcharge),2)))*(1+FedEx_Markup),2)</f>
        <v>56.44</v>
      </c>
      <c r="H11" s="307">
        <f>ROUND((IF('F Intl Con Plus Base'!$H$120&gt;ROUND(((1-'F Intl Con Plus Base'!H112)*'F Intl Con Plus Base'!H8),2),ROUND('F Intl Con Plus Base'!$H$120*(1+International_Fuel_Surcharge),2),ROUND(((1-'F Intl Con Plus Base'!H112)*'F Intl Con Plus Base'!H8)*(1+International_Fuel_Surcharge),2)))*(1+FedEx_Markup),2)</f>
        <v>51.87</v>
      </c>
      <c r="I11" s="307">
        <f>ROUND((IF('F Intl Con Plus Base'!$I$120&gt;ROUND(((1-'F Intl Con Plus Base'!I112)*'F Intl Con Plus Base'!I8),2),ROUND('F Intl Con Plus Base'!$I$120*(1+International_Fuel_Surcharge),2),ROUND(((1-'F Intl Con Plus Base'!I112)*'F Intl Con Plus Base'!I8)*(1+International_Fuel_Surcharge),2)))*(1+FedEx_Markup),2)</f>
        <v>57.45</v>
      </c>
      <c r="J11" s="307">
        <f>ROUND((IF('F Intl Con Plus Base'!$J$120&gt;ROUND(((1-'F Intl Con Plus Base'!J112)*'F Intl Con Plus Base'!J8),2),ROUND('F Intl Con Plus Base'!$J$120*(1+International_Fuel_Surcharge),2),ROUND(((1-'F Intl Con Plus Base'!J112)*'F Intl Con Plus Base'!J8)*(1+International_Fuel_Surcharge),2)))*(1+FedEx_Markup),2)</f>
        <v>40.11</v>
      </c>
      <c r="K11" s="307">
        <f>ROUND((IF('F Intl Con Plus Base'!$K$120&gt;ROUND(((1-'F Intl Con Plus Base'!K112)*'F Intl Con Plus Base'!K8),2),ROUND('F Intl Con Plus Base'!$K$120*(1+International_Fuel_Surcharge),2),ROUND(((1-'F Intl Con Plus Base'!K112)*'F Intl Con Plus Base'!K8)*(1+International_Fuel_Surcharge),2)))*(1+FedEx_Markup),2)</f>
        <v>50.08</v>
      </c>
      <c r="L11" s="307">
        <f>ROUND((IF('F Intl Con Plus Base'!$L$120&gt;ROUND(((1-'F Intl Con Plus Base'!L112)*'F Intl Con Plus Base'!L8),2),ROUND('F Intl Con Plus Base'!$L$120*(1+International_Fuel_Surcharge),2),ROUND(((1-'F Intl Con Plus Base'!L112)*'F Intl Con Plus Base'!L8)*(1+International_Fuel_Surcharge),2)))*(1+FedEx_Markup),2)</f>
        <v>53.85</v>
      </c>
      <c r="M11" s="307">
        <f>ROUND((IF('F Intl Con Plus Base'!$M$120&gt;ROUND(((1-'F Intl Con Plus Base'!M112)*'F Intl Con Plus Base'!M8),2),ROUND('F Intl Con Plus Base'!$M$120*(1+International_Fuel_Surcharge),2),ROUND(((1-'F Intl Con Plus Base'!M112)*'F Intl Con Plus Base'!M8)*(1+International_Fuel_Surcharge),2)))*(1+FedEx_Markup),2)</f>
        <v>80.290000000000006</v>
      </c>
      <c r="N11" s="307">
        <f>ROUND((IF('F Intl Con Plus Base'!$N$120&gt;ROUND(((1-'F Intl Con Plus Base'!N112)*'F Intl Con Plus Base'!N8),2),ROUND('F Intl Con Plus Base'!$N$120*(1+International_Fuel_Surcharge),2),ROUND(((1-'F Intl Con Plus Base'!N112)*'F Intl Con Plus Base'!N8)*(1+International_Fuel_Surcharge),2)))*(1+FedEx_Markup),2)</f>
        <v>74.260000000000005</v>
      </c>
      <c r="O11" s="307">
        <f>ROUND((IF('F Intl Con Plus Base'!$O$120&gt;ROUND(((1-'F Intl Con Plus Base'!O112)*'F Intl Con Plus Base'!O8),2),ROUND('F Intl Con Plus Base'!$O$120*(1+International_Fuel_Surcharge),2),ROUND(((1-'F Intl Con Plus Base'!O112)*'F Intl Con Plus Base'!O8)*(1+International_Fuel_Surcharge),2)))*(1+FedEx_Markup),2)</f>
        <v>56.01</v>
      </c>
      <c r="P11" s="307">
        <f>ROUND((IF('F Intl Con Plus Base'!$P$120&gt;ROUND(((1-'F Intl Con Plus Base'!P112)*'F Intl Con Plus Base'!P8),2),ROUND('F Intl Con Plus Base'!$P$120*(1+International_Fuel_Surcharge),2),ROUND(((1-'F Intl Con Plus Base'!P112)*'F Intl Con Plus Base'!P8)*(1+International_Fuel_Surcharge),2)))*(1+FedEx_Markup),2)</f>
        <v>51.8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306">
        <v>7</v>
      </c>
      <c r="B12" s="307">
        <f>ROUND((IF('F Intl Con Plus Base'!$B$120&gt;ROUND(((1-'F Intl Con Plus Base'!B113)*'F Intl Con Plus Base'!B9),2),ROUND('F Intl Con Plus Base'!$B$120*(1+International_Fuel_Surcharge),2),ROUND(((1-'F Intl Con Plus Base'!B113)*'F Intl Con Plus Base'!B9)*(1+International_Fuel_Surcharge),2)))*(1+FedEx_Markup),2)</f>
        <v>38.659999999999997</v>
      </c>
      <c r="C12" s="307">
        <f>ROUND((IF('F Intl Con Plus Base'!$C$120&gt;ROUND(((1-'F Intl Con Plus Base'!C113)*'F Intl Con Plus Base'!C9),2),ROUND('F Intl Con Plus Base'!$C$120*(1+International_Fuel_Surcharge),2),ROUND(((1-'F Intl Con Plus Base'!C113)*'F Intl Con Plus Base'!C9)*(1+International_Fuel_Surcharge),2)))*(1+FedEx_Markup),2)</f>
        <v>41.56</v>
      </c>
      <c r="D12" s="307">
        <f>ROUND((IF('F Intl Con Plus Base'!$D$120&gt;ROUND(((1-'F Intl Con Plus Base'!D113)*'F Intl Con Plus Base'!D9),2),ROUND('F Intl Con Plus Base'!$D$120*(1+International_Fuel_Surcharge),2),ROUND(((1-'F Intl Con Plus Base'!D113)*'F Intl Con Plus Base'!D9)*(1+International_Fuel_Surcharge),2)))*(1+FedEx_Markup),2)</f>
        <v>40.04</v>
      </c>
      <c r="E12" s="307">
        <f>ROUND((IF('F Intl Con Plus Base'!$E$120&gt;ROUND(((1-'F Intl Con Plus Base'!E113)*'F Intl Con Plus Base'!E9),2),ROUND('F Intl Con Plus Base'!$E$120*(1+International_Fuel_Surcharge),2),ROUND(((1-'F Intl Con Plus Base'!E113)*'F Intl Con Plus Base'!E9)*(1+International_Fuel_Surcharge),2)))*(1+FedEx_Markup),2)</f>
        <v>43.04</v>
      </c>
      <c r="F12" s="307">
        <f>ROUND((IF('F Intl Con Plus Base'!$F$120&gt;ROUND(((1-'F Intl Con Plus Base'!F113)*'F Intl Con Plus Base'!F9),2),ROUND('F Intl Con Plus Base'!$F$120*(1+International_Fuel_Surcharge),2),ROUND(((1-'F Intl Con Plus Base'!F113)*'F Intl Con Plus Base'!F9)*(1+International_Fuel_Surcharge),2)))*(1+FedEx_Markup),2)</f>
        <v>80.64</v>
      </c>
      <c r="G12" s="307">
        <f>ROUND((IF('F Intl Con Plus Base'!$G$120&gt;ROUND(((1-'F Intl Con Plus Base'!G113)*'F Intl Con Plus Base'!G9),2),ROUND('F Intl Con Plus Base'!$G$120*(1+International_Fuel_Surcharge),2),ROUND(((1-'F Intl Con Plus Base'!G113)*'F Intl Con Plus Base'!G9)*(1+International_Fuel_Surcharge),2)))*(1+FedEx_Markup),2)</f>
        <v>57.78</v>
      </c>
      <c r="H12" s="307">
        <f>ROUND((IF('F Intl Con Plus Base'!$H$120&gt;ROUND(((1-'F Intl Con Plus Base'!H113)*'F Intl Con Plus Base'!H9),2),ROUND('F Intl Con Plus Base'!$H$120*(1+International_Fuel_Surcharge),2),ROUND(((1-'F Intl Con Plus Base'!H113)*'F Intl Con Plus Base'!H9)*(1+International_Fuel_Surcharge),2)))*(1+FedEx_Markup),2)</f>
        <v>52.42</v>
      </c>
      <c r="I12" s="307">
        <f>ROUND((IF('F Intl Con Plus Base'!$I$120&gt;ROUND(((1-'F Intl Con Plus Base'!I113)*'F Intl Con Plus Base'!I9),2),ROUND('F Intl Con Plus Base'!$I$120*(1+International_Fuel_Surcharge),2),ROUND(((1-'F Intl Con Plus Base'!I113)*'F Intl Con Plus Base'!I9)*(1+International_Fuel_Surcharge),2)))*(1+FedEx_Markup),2)</f>
        <v>59.02</v>
      </c>
      <c r="J12" s="307">
        <f>ROUND((IF('F Intl Con Plus Base'!$J$120&gt;ROUND(((1-'F Intl Con Plus Base'!J113)*'F Intl Con Plus Base'!J9),2),ROUND('F Intl Con Plus Base'!$J$120*(1+International_Fuel_Surcharge),2),ROUND(((1-'F Intl Con Plus Base'!J113)*'F Intl Con Plus Base'!J9)*(1+International_Fuel_Surcharge),2)))*(1+FedEx_Markup),2)</f>
        <v>43.62</v>
      </c>
      <c r="K12" s="307">
        <f>ROUND((IF('F Intl Con Plus Base'!$K$120&gt;ROUND(((1-'F Intl Con Plus Base'!K113)*'F Intl Con Plus Base'!K9),2),ROUND('F Intl Con Plus Base'!$K$120*(1+International_Fuel_Surcharge),2),ROUND(((1-'F Intl Con Plus Base'!K113)*'F Intl Con Plus Base'!K9)*(1+International_Fuel_Surcharge),2)))*(1+FedEx_Markup),2)</f>
        <v>50.08</v>
      </c>
      <c r="L12" s="307">
        <f>ROUND((IF('F Intl Con Plus Base'!$L$120&gt;ROUND(((1-'F Intl Con Plus Base'!L113)*'F Intl Con Plus Base'!L9),2),ROUND('F Intl Con Plus Base'!$L$120*(1+International_Fuel_Surcharge),2),ROUND(((1-'F Intl Con Plus Base'!L113)*'F Intl Con Plus Base'!L9)*(1+International_Fuel_Surcharge),2)))*(1+FedEx_Markup),2)</f>
        <v>62.35</v>
      </c>
      <c r="M12" s="307">
        <f>ROUND((IF('F Intl Con Plus Base'!$M$120&gt;ROUND(((1-'F Intl Con Plus Base'!M113)*'F Intl Con Plus Base'!M9),2),ROUND('F Intl Con Plus Base'!$M$120*(1+International_Fuel_Surcharge),2),ROUND(((1-'F Intl Con Plus Base'!M113)*'F Intl Con Plus Base'!M9)*(1+International_Fuel_Surcharge),2)))*(1+FedEx_Markup),2)</f>
        <v>81.86</v>
      </c>
      <c r="N12" s="307">
        <f>ROUND((IF('F Intl Con Plus Base'!$N$120&gt;ROUND(((1-'F Intl Con Plus Base'!N113)*'F Intl Con Plus Base'!N9),2),ROUND('F Intl Con Plus Base'!$N$120*(1+International_Fuel_Surcharge),2),ROUND(((1-'F Intl Con Plus Base'!N113)*'F Intl Con Plus Base'!N9)*(1+International_Fuel_Surcharge),2)))*(1+FedEx_Markup),2)</f>
        <v>77.760000000000005</v>
      </c>
      <c r="O12" s="307">
        <f>ROUND((IF('F Intl Con Plus Base'!$O$120&gt;ROUND(((1-'F Intl Con Plus Base'!O113)*'F Intl Con Plus Base'!O9),2),ROUND('F Intl Con Plus Base'!$O$120*(1+International_Fuel_Surcharge),2),ROUND(((1-'F Intl Con Plus Base'!O113)*'F Intl Con Plus Base'!O9)*(1+International_Fuel_Surcharge),2)))*(1+FedEx_Markup),2)</f>
        <v>56.82</v>
      </c>
      <c r="P12" s="307">
        <f>ROUND((IF('F Intl Con Plus Base'!$P$120&gt;ROUND(((1-'F Intl Con Plus Base'!P113)*'F Intl Con Plus Base'!P9),2),ROUND('F Intl Con Plus Base'!$P$120*(1+International_Fuel_Surcharge),2),ROUND(((1-'F Intl Con Plus Base'!P113)*'F Intl Con Plus Base'!P9)*(1+International_Fuel_Surcharge),2)))*(1+FedEx_Markup),2)</f>
        <v>57.28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306">
        <v>8</v>
      </c>
      <c r="B13" s="307">
        <f>ROUND((IF('F Intl Con Plus Base'!$B$120&gt;ROUND(((1-'F Intl Con Plus Base'!B114)*'F Intl Con Plus Base'!B10),2),ROUND('F Intl Con Plus Base'!$B$120*(1+International_Fuel_Surcharge),2),ROUND(((1-'F Intl Con Plus Base'!B114)*'F Intl Con Plus Base'!B10)*(1+International_Fuel_Surcharge),2)))*(1+FedEx_Markup),2)</f>
        <v>38.659999999999997</v>
      </c>
      <c r="C13" s="307">
        <f>ROUND((IF('F Intl Con Plus Base'!$C$120&gt;ROUND(((1-'F Intl Con Plus Base'!C114)*'F Intl Con Plus Base'!C10),2),ROUND('F Intl Con Plus Base'!$C$120*(1+International_Fuel_Surcharge),2),ROUND(((1-'F Intl Con Plus Base'!C114)*'F Intl Con Plus Base'!C10)*(1+International_Fuel_Surcharge),2)))*(1+FedEx_Markup),2)</f>
        <v>41.56</v>
      </c>
      <c r="D13" s="307">
        <f>ROUND((IF('F Intl Con Plus Base'!$D$120&gt;ROUND(((1-'F Intl Con Plus Base'!D114)*'F Intl Con Plus Base'!D10),2),ROUND('F Intl Con Plus Base'!$D$120*(1+International_Fuel_Surcharge),2),ROUND(((1-'F Intl Con Plus Base'!D114)*'F Intl Con Plus Base'!D10)*(1+International_Fuel_Surcharge),2)))*(1+FedEx_Markup),2)</f>
        <v>42.52</v>
      </c>
      <c r="E13" s="307">
        <f>ROUND((IF('F Intl Con Plus Base'!$E$120&gt;ROUND(((1-'F Intl Con Plus Base'!E114)*'F Intl Con Plus Base'!E10),2),ROUND('F Intl Con Plus Base'!$E$120*(1+International_Fuel_Surcharge),2),ROUND(((1-'F Intl Con Plus Base'!E114)*'F Intl Con Plus Base'!E10)*(1+International_Fuel_Surcharge),2)))*(1+FedEx_Markup),2)</f>
        <v>43.04</v>
      </c>
      <c r="F13" s="307">
        <f>ROUND((IF('F Intl Con Plus Base'!$F$120&gt;ROUND(((1-'F Intl Con Plus Base'!F114)*'F Intl Con Plus Base'!F10),2),ROUND('F Intl Con Plus Base'!$F$120*(1+International_Fuel_Surcharge),2),ROUND(((1-'F Intl Con Plus Base'!F114)*'F Intl Con Plus Base'!F10)*(1+International_Fuel_Surcharge),2)))*(1+FedEx_Markup),2)</f>
        <v>81.47</v>
      </c>
      <c r="G13" s="307">
        <f>ROUND((IF('F Intl Con Plus Base'!$G$120&gt;ROUND(((1-'F Intl Con Plus Base'!G114)*'F Intl Con Plus Base'!G10),2),ROUND('F Intl Con Plus Base'!$G$120*(1+International_Fuel_Surcharge),2),ROUND(((1-'F Intl Con Plus Base'!G114)*'F Intl Con Plus Base'!G10)*(1+International_Fuel_Surcharge),2)))*(1+FedEx_Markup),2)</f>
        <v>59.79</v>
      </c>
      <c r="H13" s="307">
        <f>ROUND((IF('F Intl Con Plus Base'!$H$120&gt;ROUND(((1-'F Intl Con Plus Base'!H114)*'F Intl Con Plus Base'!H10),2),ROUND('F Intl Con Plus Base'!$H$120*(1+International_Fuel_Surcharge),2),ROUND(((1-'F Intl Con Plus Base'!H114)*'F Intl Con Plus Base'!H10)*(1+International_Fuel_Surcharge),2)))*(1+FedEx_Markup),2)</f>
        <v>52.88</v>
      </c>
      <c r="I13" s="307">
        <f>ROUND((IF('F Intl Con Plus Base'!$I$120&gt;ROUND(((1-'F Intl Con Plus Base'!I114)*'F Intl Con Plus Base'!I10),2),ROUND('F Intl Con Plus Base'!$I$120*(1+International_Fuel_Surcharge),2),ROUND(((1-'F Intl Con Plus Base'!I114)*'F Intl Con Plus Base'!I10)*(1+International_Fuel_Surcharge),2)))*(1+FedEx_Markup),2)</f>
        <v>62.76</v>
      </c>
      <c r="J13" s="307">
        <f>ROUND((IF('F Intl Con Plus Base'!$J$120&gt;ROUND(((1-'F Intl Con Plus Base'!J114)*'F Intl Con Plus Base'!J10),2),ROUND('F Intl Con Plus Base'!$J$120*(1+International_Fuel_Surcharge),2),ROUND(((1-'F Intl Con Plus Base'!J114)*'F Intl Con Plus Base'!J10)*(1+International_Fuel_Surcharge),2)))*(1+FedEx_Markup),2)</f>
        <v>43.96</v>
      </c>
      <c r="K13" s="307">
        <f>ROUND((IF('F Intl Con Plus Base'!$K$120&gt;ROUND(((1-'F Intl Con Plus Base'!K114)*'F Intl Con Plus Base'!K10),2),ROUND('F Intl Con Plus Base'!$K$120*(1+International_Fuel_Surcharge),2),ROUND(((1-'F Intl Con Plus Base'!K114)*'F Intl Con Plus Base'!K10)*(1+International_Fuel_Surcharge),2)))*(1+FedEx_Markup),2)</f>
        <v>50.08</v>
      </c>
      <c r="L13" s="307">
        <f>ROUND((IF('F Intl Con Plus Base'!$L$120&gt;ROUND(((1-'F Intl Con Plus Base'!L114)*'F Intl Con Plus Base'!L10),2),ROUND('F Intl Con Plus Base'!$L$120*(1+International_Fuel_Surcharge),2),ROUND(((1-'F Intl Con Plus Base'!L114)*'F Intl Con Plus Base'!L10)*(1+International_Fuel_Surcharge),2)))*(1+FedEx_Markup),2)</f>
        <v>63.2</v>
      </c>
      <c r="M13" s="307">
        <f>ROUND((IF('F Intl Con Plus Base'!$M$120&gt;ROUND(((1-'F Intl Con Plus Base'!M114)*'F Intl Con Plus Base'!M10),2),ROUND('F Intl Con Plus Base'!$M$120*(1+International_Fuel_Surcharge),2),ROUND(((1-'F Intl Con Plus Base'!M114)*'F Intl Con Plus Base'!M10)*(1+International_Fuel_Surcharge),2)))*(1+FedEx_Markup),2)</f>
        <v>92.67</v>
      </c>
      <c r="N13" s="307">
        <f>ROUND((IF('F Intl Con Plus Base'!$N$120&gt;ROUND(((1-'F Intl Con Plus Base'!N114)*'F Intl Con Plus Base'!N10),2),ROUND('F Intl Con Plus Base'!$N$120*(1+International_Fuel_Surcharge),2),ROUND(((1-'F Intl Con Plus Base'!N114)*'F Intl Con Plus Base'!N10)*(1+International_Fuel_Surcharge),2)))*(1+FedEx_Markup),2)</f>
        <v>86.89</v>
      </c>
      <c r="O13" s="307">
        <f>ROUND((IF('F Intl Con Plus Base'!$O$120&gt;ROUND(((1-'F Intl Con Plus Base'!O114)*'F Intl Con Plus Base'!O10),2),ROUND('F Intl Con Plus Base'!$O$120*(1+International_Fuel_Surcharge),2),ROUND(((1-'F Intl Con Plus Base'!O114)*'F Intl Con Plus Base'!O10)*(1+International_Fuel_Surcharge),2)))*(1+FedEx_Markup),2)</f>
        <v>65.53</v>
      </c>
      <c r="P13" s="307">
        <f>ROUND((IF('F Intl Con Plus Base'!$P$120&gt;ROUND(((1-'F Intl Con Plus Base'!P114)*'F Intl Con Plus Base'!P10),2),ROUND('F Intl Con Plus Base'!$P$120*(1+International_Fuel_Surcharge),2),ROUND(((1-'F Intl Con Plus Base'!P114)*'F Intl Con Plus Base'!P10)*(1+International_Fuel_Surcharge),2)))*(1+FedEx_Markup),2)</f>
        <v>62.74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306">
        <v>9</v>
      </c>
      <c r="B14" s="307">
        <f>ROUND((IF('F Intl Con Plus Base'!$B$120&gt;ROUND(((1-'F Intl Con Plus Base'!B115)*'F Intl Con Plus Base'!B11),2),ROUND('F Intl Con Plus Base'!$B$120*(1+International_Fuel_Surcharge),2),ROUND(((1-'F Intl Con Plus Base'!B115)*'F Intl Con Plus Base'!B11)*(1+International_Fuel_Surcharge),2)))*(1+FedEx_Markup),2)</f>
        <v>38.659999999999997</v>
      </c>
      <c r="C14" s="307">
        <f>ROUND((IF('F Intl Con Plus Base'!$C$120&gt;ROUND(((1-'F Intl Con Plus Base'!C115)*'F Intl Con Plus Base'!C11),2),ROUND('F Intl Con Plus Base'!$C$120*(1+International_Fuel_Surcharge),2),ROUND(((1-'F Intl Con Plus Base'!C115)*'F Intl Con Plus Base'!C11)*(1+International_Fuel_Surcharge),2)))*(1+FedEx_Markup),2)</f>
        <v>42.62</v>
      </c>
      <c r="D14" s="307">
        <f>ROUND((IF('F Intl Con Plus Base'!$D$120&gt;ROUND(((1-'F Intl Con Plus Base'!D115)*'F Intl Con Plus Base'!D11),2),ROUND('F Intl Con Plus Base'!$D$120*(1+International_Fuel_Surcharge),2),ROUND(((1-'F Intl Con Plus Base'!D115)*'F Intl Con Plus Base'!D11)*(1+International_Fuel_Surcharge),2)))*(1+FedEx_Markup),2)</f>
        <v>42.77</v>
      </c>
      <c r="E14" s="307">
        <f>ROUND((IF('F Intl Con Plus Base'!$E$120&gt;ROUND(((1-'F Intl Con Plus Base'!E115)*'F Intl Con Plus Base'!E11),2),ROUND('F Intl Con Plus Base'!$E$120*(1+International_Fuel_Surcharge),2),ROUND(((1-'F Intl Con Plus Base'!E115)*'F Intl Con Plus Base'!E11)*(1+International_Fuel_Surcharge),2)))*(1+FedEx_Markup),2)</f>
        <v>43.04</v>
      </c>
      <c r="F14" s="307">
        <f>ROUND((IF('F Intl Con Plus Base'!$F$120&gt;ROUND(((1-'F Intl Con Plus Base'!F115)*'F Intl Con Plus Base'!F11),2),ROUND('F Intl Con Plus Base'!$F$120*(1+International_Fuel_Surcharge),2),ROUND(((1-'F Intl Con Plus Base'!F115)*'F Intl Con Plus Base'!F11)*(1+International_Fuel_Surcharge),2)))*(1+FedEx_Markup),2)</f>
        <v>91.15</v>
      </c>
      <c r="G14" s="307">
        <f>ROUND((IF('F Intl Con Plus Base'!$G$120&gt;ROUND(((1-'F Intl Con Plus Base'!G115)*'F Intl Con Plus Base'!G11),2),ROUND('F Intl Con Plus Base'!$G$120*(1+International_Fuel_Surcharge),2),ROUND(((1-'F Intl Con Plus Base'!G115)*'F Intl Con Plus Base'!G11)*(1+International_Fuel_Surcharge),2)))*(1+FedEx_Markup),2)</f>
        <v>61.32</v>
      </c>
      <c r="H14" s="307">
        <f>ROUND((IF('F Intl Con Plus Base'!$H$120&gt;ROUND(((1-'F Intl Con Plus Base'!H115)*'F Intl Con Plus Base'!H11),2),ROUND('F Intl Con Plus Base'!$H$120*(1+International_Fuel_Surcharge),2),ROUND(((1-'F Intl Con Plus Base'!H115)*'F Intl Con Plus Base'!H11)*(1+International_Fuel_Surcharge),2)))*(1+FedEx_Markup),2)</f>
        <v>61.9</v>
      </c>
      <c r="I14" s="307">
        <f>ROUND((IF('F Intl Con Plus Base'!$I$120&gt;ROUND(((1-'F Intl Con Plus Base'!I115)*'F Intl Con Plus Base'!I11),2),ROUND('F Intl Con Plus Base'!$I$120*(1+International_Fuel_Surcharge),2),ROUND(((1-'F Intl Con Plus Base'!I115)*'F Intl Con Plus Base'!I11)*(1+International_Fuel_Surcharge),2)))*(1+FedEx_Markup),2)</f>
        <v>66.489999999999995</v>
      </c>
      <c r="J14" s="307">
        <f>ROUND((IF('F Intl Con Plus Base'!$J$120&gt;ROUND(((1-'F Intl Con Plus Base'!J115)*'F Intl Con Plus Base'!J11),2),ROUND('F Intl Con Plus Base'!$J$120*(1+International_Fuel_Surcharge),2),ROUND(((1-'F Intl Con Plus Base'!J115)*'F Intl Con Plus Base'!J11)*(1+International_Fuel_Surcharge),2)))*(1+FedEx_Markup),2)</f>
        <v>46.15</v>
      </c>
      <c r="K14" s="307">
        <f>ROUND((IF('F Intl Con Plus Base'!$K$120&gt;ROUND(((1-'F Intl Con Plus Base'!K115)*'F Intl Con Plus Base'!K11),2),ROUND('F Intl Con Plus Base'!$K$120*(1+International_Fuel_Surcharge),2),ROUND(((1-'F Intl Con Plus Base'!K115)*'F Intl Con Plus Base'!K11)*(1+International_Fuel_Surcharge),2)))*(1+FedEx_Markup),2)</f>
        <v>53.31</v>
      </c>
      <c r="L14" s="307">
        <f>ROUND((IF('F Intl Con Plus Base'!$L$120&gt;ROUND(((1-'F Intl Con Plus Base'!L115)*'F Intl Con Plus Base'!L11),2),ROUND('F Intl Con Plus Base'!$L$120*(1+International_Fuel_Surcharge),2),ROUND(((1-'F Intl Con Plus Base'!L115)*'F Intl Con Plus Base'!L11)*(1+International_Fuel_Surcharge),2)))*(1+FedEx_Markup),2)</f>
        <v>71.31</v>
      </c>
      <c r="M14" s="307">
        <f>ROUND((IF('F Intl Con Plus Base'!$M$120&gt;ROUND(((1-'F Intl Con Plus Base'!M115)*'F Intl Con Plus Base'!M11),2),ROUND('F Intl Con Plus Base'!$M$120*(1+International_Fuel_Surcharge),2),ROUND(((1-'F Intl Con Plus Base'!M115)*'F Intl Con Plus Base'!M11)*(1+International_Fuel_Surcharge),2)))*(1+FedEx_Markup),2)</f>
        <v>104.24</v>
      </c>
      <c r="N14" s="307">
        <f>ROUND((IF('F Intl Con Plus Base'!$N$120&gt;ROUND(((1-'F Intl Con Plus Base'!N115)*'F Intl Con Plus Base'!N11),2),ROUND('F Intl Con Plus Base'!$N$120*(1+International_Fuel_Surcharge),2),ROUND(((1-'F Intl Con Plus Base'!N115)*'F Intl Con Plus Base'!N11)*(1+International_Fuel_Surcharge),2)))*(1+FedEx_Markup),2)</f>
        <v>100.48</v>
      </c>
      <c r="O14" s="307">
        <f>ROUND((IF('F Intl Con Plus Base'!$O$120&gt;ROUND(((1-'F Intl Con Plus Base'!O115)*'F Intl Con Plus Base'!O11),2),ROUND('F Intl Con Plus Base'!$O$120*(1+International_Fuel_Surcharge),2),ROUND(((1-'F Intl Con Plus Base'!O115)*'F Intl Con Plus Base'!O11)*(1+International_Fuel_Surcharge),2)))*(1+FedEx_Markup),2)</f>
        <v>68.44</v>
      </c>
      <c r="P14" s="307">
        <f>ROUND((IF('F Intl Con Plus Base'!$P$120&gt;ROUND(((1-'F Intl Con Plus Base'!P115)*'F Intl Con Plus Base'!P11),2),ROUND('F Intl Con Plus Base'!$P$120*(1+International_Fuel_Surcharge),2),ROUND(((1-'F Intl Con Plus Base'!P115)*'F Intl Con Plus Base'!P11)*(1+International_Fuel_Surcharge),2)))*(1+FedEx_Markup),2)</f>
        <v>68.97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306">
        <v>10</v>
      </c>
      <c r="B15" s="307">
        <f>ROUND((IF('F Intl Con Plus Base'!$B$120&gt;ROUND(((1-'F Intl Con Plus Base'!B116)*'F Intl Con Plus Base'!B12),2),ROUND('F Intl Con Plus Base'!$B$120*(1+International_Fuel_Surcharge),2),ROUND(((1-'F Intl Con Plus Base'!B116)*'F Intl Con Plus Base'!B12)*(1+International_Fuel_Surcharge),2)))*(1+FedEx_Markup),2)</f>
        <v>38.659999999999997</v>
      </c>
      <c r="C15" s="307">
        <f>ROUND((IF('F Intl Con Plus Base'!$C$120&gt;ROUND(((1-'F Intl Con Plus Base'!C116)*'F Intl Con Plus Base'!C12),2),ROUND('F Intl Con Plus Base'!$C$120*(1+International_Fuel_Surcharge),2),ROUND(((1-'F Intl Con Plus Base'!C116)*'F Intl Con Plus Base'!C12)*(1+International_Fuel_Surcharge),2)))*(1+FedEx_Markup),2)</f>
        <v>43.96</v>
      </c>
      <c r="D15" s="307">
        <f>ROUND((IF('F Intl Con Plus Base'!$D$120&gt;ROUND(((1-'F Intl Con Plus Base'!D116)*'F Intl Con Plus Base'!D12),2),ROUND('F Intl Con Plus Base'!$D$120*(1+International_Fuel_Surcharge),2),ROUND(((1-'F Intl Con Plus Base'!D116)*'F Intl Con Plus Base'!D12)*(1+International_Fuel_Surcharge),2)))*(1+FedEx_Markup),2)</f>
        <v>43.04</v>
      </c>
      <c r="E15" s="307">
        <f>ROUND((IF('F Intl Con Plus Base'!$E$120&gt;ROUND(((1-'F Intl Con Plus Base'!E116)*'F Intl Con Plus Base'!E12),2),ROUND('F Intl Con Plus Base'!$E$120*(1+International_Fuel_Surcharge),2),ROUND(((1-'F Intl Con Plus Base'!E116)*'F Intl Con Plus Base'!E12)*(1+International_Fuel_Surcharge),2)))*(1+FedEx_Markup),2)</f>
        <v>43.04</v>
      </c>
      <c r="F15" s="307">
        <f>ROUND((IF('F Intl Con Plus Base'!$F$120&gt;ROUND(((1-'F Intl Con Plus Base'!F116)*'F Intl Con Plus Base'!F12),2),ROUND('F Intl Con Plus Base'!$F$120*(1+International_Fuel_Surcharge),2),ROUND(((1-'F Intl Con Plus Base'!F116)*'F Intl Con Plus Base'!F12)*(1+International_Fuel_Surcharge),2)))*(1+FedEx_Markup),2)</f>
        <v>92.13</v>
      </c>
      <c r="G15" s="307">
        <f>ROUND((IF('F Intl Con Plus Base'!$G$120&gt;ROUND(((1-'F Intl Con Plus Base'!G116)*'F Intl Con Plus Base'!G12),2),ROUND('F Intl Con Plus Base'!$G$120*(1+International_Fuel_Surcharge),2),ROUND(((1-'F Intl Con Plus Base'!G116)*'F Intl Con Plus Base'!G12)*(1+International_Fuel_Surcharge),2)))*(1+FedEx_Markup),2)</f>
        <v>61.47</v>
      </c>
      <c r="H15" s="307">
        <f>ROUND((IF('F Intl Con Plus Base'!$H$120&gt;ROUND(((1-'F Intl Con Plus Base'!H116)*'F Intl Con Plus Base'!H12),2),ROUND('F Intl Con Plus Base'!$H$120*(1+International_Fuel_Surcharge),2),ROUND(((1-'F Intl Con Plus Base'!H116)*'F Intl Con Plus Base'!H12)*(1+International_Fuel_Surcharge),2)))*(1+FedEx_Markup),2)</f>
        <v>62.81</v>
      </c>
      <c r="I15" s="307">
        <f>ROUND((IF('F Intl Con Plus Base'!$I$120&gt;ROUND(((1-'F Intl Con Plus Base'!I116)*'F Intl Con Plus Base'!I12),2),ROUND('F Intl Con Plus Base'!$I$120*(1+International_Fuel_Surcharge),2),ROUND(((1-'F Intl Con Plus Base'!I116)*'F Intl Con Plus Base'!I12)*(1+International_Fuel_Surcharge),2)))*(1+FedEx_Markup),2)</f>
        <v>66.86</v>
      </c>
      <c r="J15" s="307">
        <f>ROUND((IF('F Intl Con Plus Base'!$J$120&gt;ROUND(((1-'F Intl Con Plus Base'!J116)*'F Intl Con Plus Base'!J12),2),ROUND('F Intl Con Plus Base'!$J$120*(1+International_Fuel_Surcharge),2),ROUND(((1-'F Intl Con Plus Base'!J116)*'F Intl Con Plus Base'!J12)*(1+International_Fuel_Surcharge),2)))*(1+FedEx_Markup),2)</f>
        <v>48.42</v>
      </c>
      <c r="K15" s="307">
        <f>ROUND((IF('F Intl Con Plus Base'!$K$120&gt;ROUND(((1-'F Intl Con Plus Base'!K116)*'F Intl Con Plus Base'!K12),2),ROUND('F Intl Con Plus Base'!$K$120*(1+International_Fuel_Surcharge),2),ROUND(((1-'F Intl Con Plus Base'!K116)*'F Intl Con Plus Base'!K12)*(1+International_Fuel_Surcharge),2)))*(1+FedEx_Markup),2)</f>
        <v>53.8</v>
      </c>
      <c r="L15" s="307">
        <f>ROUND((IF('F Intl Con Plus Base'!$L$120&gt;ROUND(((1-'F Intl Con Plus Base'!L116)*'F Intl Con Plus Base'!L12),2),ROUND('F Intl Con Plus Base'!$L$120*(1+International_Fuel_Surcharge),2),ROUND(((1-'F Intl Con Plus Base'!L116)*'F Intl Con Plus Base'!L12)*(1+International_Fuel_Surcharge),2)))*(1+FedEx_Markup),2)</f>
        <v>72.13</v>
      </c>
      <c r="M15" s="307">
        <f>ROUND((IF('F Intl Con Plus Base'!$M$120&gt;ROUND(((1-'F Intl Con Plus Base'!M116)*'F Intl Con Plus Base'!M12),2),ROUND('F Intl Con Plus Base'!$M$120*(1+International_Fuel_Surcharge),2),ROUND(((1-'F Intl Con Plus Base'!M116)*'F Intl Con Plus Base'!M12)*(1+International_Fuel_Surcharge),2)))*(1+FedEx_Markup),2)</f>
        <v>105.4</v>
      </c>
      <c r="N15" s="307">
        <f>ROUND((IF('F Intl Con Plus Base'!$N$120&gt;ROUND(((1-'F Intl Con Plus Base'!N116)*'F Intl Con Plus Base'!N12),2),ROUND('F Intl Con Plus Base'!$N$120*(1+International_Fuel_Surcharge),2),ROUND(((1-'F Intl Con Plus Base'!N116)*'F Intl Con Plus Base'!N12)*(1+International_Fuel_Surcharge),2)))*(1+FedEx_Markup),2)</f>
        <v>101.84</v>
      </c>
      <c r="O15" s="307">
        <f>ROUND((IF('F Intl Con Plus Base'!$O$120&gt;ROUND(((1-'F Intl Con Plus Base'!O116)*'F Intl Con Plus Base'!O12),2),ROUND('F Intl Con Plus Base'!$O$120*(1+International_Fuel_Surcharge),2),ROUND(((1-'F Intl Con Plus Base'!O116)*'F Intl Con Plus Base'!O12)*(1+International_Fuel_Surcharge),2)))*(1+FedEx_Markup),2)</f>
        <v>70.86</v>
      </c>
      <c r="P15" s="307">
        <f>ROUND((IF('F Intl Con Plus Base'!$P$120&gt;ROUND(((1-'F Intl Con Plus Base'!P116)*'F Intl Con Plus Base'!P12),2),ROUND('F Intl Con Plus Base'!$P$120*(1+International_Fuel_Surcharge),2),ROUND(((1-'F Intl Con Plus Base'!P116)*'F Intl Con Plus Base'!P12)*(1+International_Fuel_Surcharge),2)))*(1+FedEx_Markup),2)</f>
        <v>69.59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306">
        <v>11</v>
      </c>
      <c r="B16" s="307">
        <f>ROUND((IF('F Intl Con Plus Base'!$B$120&gt;ROUND(((1-'F Intl Con Plus Base'!$B$117)*'F Intl Con Plus Base'!B13),2),ROUND('F Intl Con Plus Base'!$B$120*(1+International_Fuel_Surcharge),2),ROUND(((1-'F Intl Con Plus Base'!$B$117)*'F Intl Con Plus Base'!B13)*(1+International_Fuel_Surcharge),2)))*(1+FedEx_Markup),2)</f>
        <v>42.79</v>
      </c>
      <c r="C16" s="307">
        <f>ROUND((IF('F Intl Con Plus Base'!$C$120&gt;ROUND(((1-'F Intl Con Plus Base'!$C$117)*'F Intl Con Plus Base'!C13),2),ROUND('F Intl Con Plus Base'!$C$120*(1+International_Fuel_Surcharge),2),ROUND(((1-'F Intl Con Plus Base'!$C$117)*'F Intl Con Plus Base'!C13)*(1+International_Fuel_Surcharge),2)))*(1+FedEx_Markup),2)</f>
        <v>51.8</v>
      </c>
      <c r="D16" s="307">
        <f>ROUND((IF('F Intl Con Plus Base'!$D$120&gt;ROUND(((1-'F Intl Con Plus Base'!$D$117)*'F Intl Con Plus Base'!D13),2),ROUND('F Intl Con Plus Base'!$D$120*(1+International_Fuel_Surcharge),2),ROUND(((1-'F Intl Con Plus Base'!$D$117)*'F Intl Con Plus Base'!D13)*(1+International_Fuel_Surcharge),2)))*(1+FedEx_Markup),2)</f>
        <v>51.03</v>
      </c>
      <c r="E16" s="307">
        <f>ROUND((IF('F Intl Con Plus Base'!$E$120&gt;ROUND(((1-'F Intl Con Plus Base'!$E$117)*'F Intl Con Plus Base'!E13),2),ROUND('F Intl Con Plus Base'!$E$120*(1+International_Fuel_Surcharge),2),ROUND(((1-'F Intl Con Plus Base'!$E$117)*'F Intl Con Plus Base'!E13)*(1+International_Fuel_Surcharge),2)))*(1+FedEx_Markup),2)</f>
        <v>61.94</v>
      </c>
      <c r="F16" s="307">
        <f>ROUND((IF('F Intl Con Plus Base'!$F$120&gt;ROUND(((1-'F Intl Con Plus Base'!$F$117)*'F Intl Con Plus Base'!F13),2),ROUND('F Intl Con Plus Base'!$F$120*(1+International_Fuel_Surcharge),2),ROUND(((1-'F Intl Con Plus Base'!$F$117)*'F Intl Con Plus Base'!F13)*(1+International_Fuel_Surcharge),2)))*(1+FedEx_Markup),2)</f>
        <v>97.51</v>
      </c>
      <c r="G16" s="307">
        <f>ROUND((IF('F Intl Con Plus Base'!$G$120&gt;ROUND(((1-'F Intl Con Plus Base'!$G$117)*'F Intl Con Plus Base'!G13),2),ROUND('F Intl Con Plus Base'!$G$120*(1+International_Fuel_Surcharge),2),ROUND(((1-'F Intl Con Plus Base'!$G$117)*'F Intl Con Plus Base'!G13)*(1+International_Fuel_Surcharge),2)))*(1+FedEx_Markup),2)</f>
        <v>65.69</v>
      </c>
      <c r="H16" s="307">
        <f>ROUND((IF('F Intl Con Plus Base'!$H$120&gt;ROUND(((1-'F Intl Con Plus Base'!$H$117)*'F Intl Con Plus Base'!H13),2),ROUND('F Intl Con Plus Base'!$H$120*(1+International_Fuel_Surcharge),2),ROUND(((1-'F Intl Con Plus Base'!$H$117)*'F Intl Con Plus Base'!H13)*(1+International_Fuel_Surcharge),2)))*(1+FedEx_Markup),2)</f>
        <v>66.489999999999995</v>
      </c>
      <c r="I16" s="307">
        <f>ROUND((IF('F Intl Con Plus Base'!$I$120&gt;ROUND(((1-'F Intl Con Plus Base'!$I$117)*'F Intl Con Plus Base'!I13),2),ROUND('F Intl Con Plus Base'!$I$120*(1+International_Fuel_Surcharge),2),ROUND(((1-'F Intl Con Plus Base'!$I$117)*'F Intl Con Plus Base'!I13)*(1+International_Fuel_Surcharge),2)))*(1+FedEx_Markup),2)</f>
        <v>71.81</v>
      </c>
      <c r="J16" s="307">
        <f>ROUND((IF('F Intl Con Plus Base'!$J$120&gt;ROUND(((1-'F Intl Con Plus Base'!$J$117)*'F Intl Con Plus Base'!J13),2),ROUND('F Intl Con Plus Base'!$J$120*(1+International_Fuel_Surcharge),2),ROUND(((1-'F Intl Con Plus Base'!$J$117)*'F Intl Con Plus Base'!J13)*(1+International_Fuel_Surcharge),2)))*(1+FedEx_Markup),2)</f>
        <v>55.5</v>
      </c>
      <c r="K16" s="307">
        <f>ROUND((IF('F Intl Con Plus Base'!$K$120&gt;ROUND(((1-'F Intl Con Plus Base'!$K$117)*'F Intl Con Plus Base'!K13),2),ROUND('F Intl Con Plus Base'!$K$120*(1+International_Fuel_Surcharge),2),ROUND(((1-'F Intl Con Plus Base'!$K$117)*'F Intl Con Plus Base'!K13)*(1+International_Fuel_Surcharge),2)))*(1+FedEx_Markup),2)</f>
        <v>83.01</v>
      </c>
      <c r="L16" s="307">
        <f>ROUND((IF('F Intl Con Plus Base'!$L$120&gt;ROUND(((1-'F Intl Con Plus Base'!$L$117)*'F Intl Con Plus Base'!L13),2),ROUND('F Intl Con Plus Base'!$L$120*(1+International_Fuel_Surcharge),2),ROUND(((1-'F Intl Con Plus Base'!$L$117)*'F Intl Con Plus Base'!L13)*(1+International_Fuel_Surcharge),2)))*(1+FedEx_Markup),2)</f>
        <v>77</v>
      </c>
      <c r="M16" s="307">
        <f>ROUND((IF('F Intl Con Plus Base'!$M$120&gt;ROUND(((1-'F Intl Con Plus Base'!$M$117)*'F Intl Con Plus Base'!M13),2),ROUND('F Intl Con Plus Base'!$M$120*(1+International_Fuel_Surcharge),2),ROUND(((1-'F Intl Con Plus Base'!$M$117)*'F Intl Con Plus Base'!M13)*(1+International_Fuel_Surcharge),2)))*(1+FedEx_Markup),2)</f>
        <v>116.84</v>
      </c>
      <c r="N16" s="307">
        <f>ROUND((IF('F Intl Con Plus Base'!$N$120&gt;ROUND(((1-'F Intl Con Plus Base'!$N$117)*'F Intl Con Plus Base'!N13),2),ROUND('F Intl Con Plus Base'!$N$120*(1+International_Fuel_Surcharge),2),ROUND(((1-'F Intl Con Plus Base'!$N$117)*'F Intl Con Plus Base'!N13)*(1+International_Fuel_Surcharge),2)))*(1+FedEx_Markup),2)</f>
        <v>107.8</v>
      </c>
      <c r="O16" s="307">
        <f>ROUND((IF('F Intl Con Plus Base'!$O$120&gt;ROUND(((1-'F Intl Con Plus Base'!$O$117)*'F Intl Con Plus Base'!O13),2),ROUND('F Intl Con Plus Base'!$O$120*(1+International_Fuel_Surcharge),2),ROUND(((1-'F Intl Con Plus Base'!$O$117)*'F Intl Con Plus Base'!O13)*(1+International_Fuel_Surcharge),2)))*(1+FedEx_Markup),2)</f>
        <v>75.11</v>
      </c>
      <c r="P16" s="307">
        <f>ROUND((IF('F Intl Con Plus Base'!$P$120&gt;ROUND(((1-'F Intl Con Plus Base'!$P$117)*'F Intl Con Plus Base'!P13),2),ROUND('F Intl Con Plus Base'!$P$120*(1+International_Fuel_Surcharge),2),ROUND(((1-'F Intl Con Plus Base'!$P$117)*'F Intl Con Plus Base'!P13)*(1+International_Fuel_Surcharge),2)))*(1+FedEx_Markup),2)</f>
        <v>77.66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306">
        <v>12</v>
      </c>
      <c r="B17" s="307">
        <f>ROUND((IF('F Intl Con Plus Base'!$B$120&gt;ROUND(((1-'F Intl Con Plus Base'!$B$117)*'F Intl Con Plus Base'!B14),2),ROUND('F Intl Con Plus Base'!$B$120*(1+International_Fuel_Surcharge),2),ROUND(((1-'F Intl Con Plus Base'!$B$117)*'F Intl Con Plus Base'!B14)*(1+International_Fuel_Surcharge),2)))*(1+FedEx_Markup),2)</f>
        <v>43.48</v>
      </c>
      <c r="C17" s="307">
        <f>ROUND((IF('F Intl Con Plus Base'!$C$120&gt;ROUND(((1-'F Intl Con Plus Base'!$C$117)*'F Intl Con Plus Base'!C14),2),ROUND('F Intl Con Plus Base'!$C$120*(1+International_Fuel_Surcharge),2),ROUND(((1-'F Intl Con Plus Base'!$C$117)*'F Intl Con Plus Base'!C14)*(1+International_Fuel_Surcharge),2)))*(1+FedEx_Markup),2)</f>
        <v>54.82</v>
      </c>
      <c r="D17" s="307">
        <f>ROUND((IF('F Intl Con Plus Base'!$D$120&gt;ROUND(((1-'F Intl Con Plus Base'!$D$117)*'F Intl Con Plus Base'!D14),2),ROUND('F Intl Con Plus Base'!$D$120*(1+International_Fuel_Surcharge),2),ROUND(((1-'F Intl Con Plus Base'!$D$117)*'F Intl Con Plus Base'!D14)*(1+International_Fuel_Surcharge),2)))*(1+FedEx_Markup),2)</f>
        <v>52.07</v>
      </c>
      <c r="E17" s="307">
        <f>ROUND((IF('F Intl Con Plus Base'!$E$120&gt;ROUND(((1-'F Intl Con Plus Base'!$E$117)*'F Intl Con Plus Base'!E14),2),ROUND('F Intl Con Plus Base'!$E$120*(1+International_Fuel_Surcharge),2),ROUND(((1-'F Intl Con Plus Base'!$E$117)*'F Intl Con Plus Base'!E14)*(1+International_Fuel_Surcharge),2)))*(1+FedEx_Markup),2)</f>
        <v>63.54</v>
      </c>
      <c r="F17" s="307">
        <f>ROUND((IF('F Intl Con Plus Base'!$F$120&gt;ROUND(((1-'F Intl Con Plus Base'!$F$117)*'F Intl Con Plus Base'!F14),2),ROUND('F Intl Con Plus Base'!$F$120*(1+International_Fuel_Surcharge),2),ROUND(((1-'F Intl Con Plus Base'!$F$117)*'F Intl Con Plus Base'!F14)*(1+International_Fuel_Surcharge),2)))*(1+FedEx_Markup),2)</f>
        <v>100.95</v>
      </c>
      <c r="G17" s="307">
        <f>ROUND((IF('F Intl Con Plus Base'!$G$120&gt;ROUND(((1-'F Intl Con Plus Base'!$G$117)*'F Intl Con Plus Base'!G14),2),ROUND('F Intl Con Plus Base'!$G$120*(1+International_Fuel_Surcharge),2),ROUND(((1-'F Intl Con Plus Base'!$G$117)*'F Intl Con Plus Base'!G14)*(1+International_Fuel_Surcharge),2)))*(1+FedEx_Markup),2)</f>
        <v>66.709999999999994</v>
      </c>
      <c r="H17" s="307">
        <f>ROUND((IF('F Intl Con Plus Base'!$H$120&gt;ROUND(((1-'F Intl Con Plus Base'!$H$117)*'F Intl Con Plus Base'!H14),2),ROUND('F Intl Con Plus Base'!$H$120*(1+International_Fuel_Surcharge),2),ROUND(((1-'F Intl Con Plus Base'!$H$117)*'F Intl Con Plus Base'!H14)*(1+International_Fuel_Surcharge),2)))*(1+FedEx_Markup),2)</f>
        <v>67.64</v>
      </c>
      <c r="I17" s="307">
        <f>ROUND((IF('F Intl Con Plus Base'!$I$120&gt;ROUND(((1-'F Intl Con Plus Base'!$I$117)*'F Intl Con Plus Base'!I14),2),ROUND('F Intl Con Plus Base'!$I$120*(1+International_Fuel_Surcharge),2),ROUND(((1-'F Intl Con Plus Base'!$I$117)*'F Intl Con Plus Base'!I14)*(1+International_Fuel_Surcharge),2)))*(1+FedEx_Markup),2)</f>
        <v>72.55</v>
      </c>
      <c r="J17" s="307">
        <f>ROUND((IF('F Intl Con Plus Base'!$J$120&gt;ROUND(((1-'F Intl Con Plus Base'!$J$117)*'F Intl Con Plus Base'!J14),2),ROUND('F Intl Con Plus Base'!$J$120*(1+International_Fuel_Surcharge),2),ROUND(((1-'F Intl Con Plus Base'!$J$117)*'F Intl Con Plus Base'!J14)*(1+International_Fuel_Surcharge),2)))*(1+FedEx_Markup),2)</f>
        <v>55.94</v>
      </c>
      <c r="K17" s="307">
        <f>ROUND((IF('F Intl Con Plus Base'!$K$120&gt;ROUND(((1-'F Intl Con Plus Base'!$K$117)*'F Intl Con Plus Base'!K14),2),ROUND('F Intl Con Plus Base'!$K$120*(1+International_Fuel_Surcharge),2),ROUND(((1-'F Intl Con Plus Base'!$K$117)*'F Intl Con Plus Base'!K14)*(1+International_Fuel_Surcharge),2)))*(1+FedEx_Markup),2)</f>
        <v>84.7</v>
      </c>
      <c r="L17" s="307">
        <f>ROUND((IF('F Intl Con Plus Base'!$L$120&gt;ROUND(((1-'F Intl Con Plus Base'!$L$117)*'F Intl Con Plus Base'!L14),2),ROUND('F Intl Con Plus Base'!$L$120*(1+International_Fuel_Surcharge),2),ROUND(((1-'F Intl Con Plus Base'!$L$117)*'F Intl Con Plus Base'!L14)*(1+International_Fuel_Surcharge),2)))*(1+FedEx_Markup),2)</f>
        <v>78.09</v>
      </c>
      <c r="M17" s="307">
        <f>ROUND((IF('F Intl Con Plus Base'!$M$120&gt;ROUND(((1-'F Intl Con Plus Base'!$M$117)*'F Intl Con Plus Base'!M14),2),ROUND('F Intl Con Plus Base'!$M$120*(1+International_Fuel_Surcharge),2),ROUND(((1-'F Intl Con Plus Base'!$M$117)*'F Intl Con Plus Base'!M14)*(1+International_Fuel_Surcharge),2)))*(1+FedEx_Markup),2)</f>
        <v>118.11</v>
      </c>
      <c r="N17" s="307">
        <f>ROUND((IF('F Intl Con Plus Base'!$N$120&gt;ROUND(((1-'F Intl Con Plus Base'!$N$117)*'F Intl Con Plus Base'!N14),2),ROUND('F Intl Con Plus Base'!$N$120*(1+International_Fuel_Surcharge),2),ROUND(((1-'F Intl Con Plus Base'!$N$117)*'F Intl Con Plus Base'!N14)*(1+International_Fuel_Surcharge),2)))*(1+FedEx_Markup),2)</f>
        <v>109.46</v>
      </c>
      <c r="O17" s="307">
        <f>ROUND((IF('F Intl Con Plus Base'!$O$120&gt;ROUND(((1-'F Intl Con Plus Base'!$O$117)*'F Intl Con Plus Base'!O14),2),ROUND('F Intl Con Plus Base'!$O$120*(1+International_Fuel_Surcharge),2),ROUND(((1-'F Intl Con Plus Base'!$O$117)*'F Intl Con Plus Base'!O14)*(1+International_Fuel_Surcharge),2)))*(1+FedEx_Markup),2)</f>
        <v>76.2</v>
      </c>
      <c r="P17" s="307">
        <f>ROUND((IF('F Intl Con Plus Base'!$P$120&gt;ROUND(((1-'F Intl Con Plus Base'!$P$117)*'F Intl Con Plus Base'!P14),2),ROUND('F Intl Con Plus Base'!$P$120*(1+International_Fuel_Surcharge),2),ROUND(((1-'F Intl Con Plus Base'!$P$117)*'F Intl Con Plus Base'!P14)*(1+International_Fuel_Surcharge),2)))*(1+FedEx_Markup),2)</f>
        <v>78.069999999999993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06">
        <v>13</v>
      </c>
      <c r="B18" s="307">
        <f>ROUND((IF('F Intl Con Plus Base'!$B$120&gt;ROUND(((1-'F Intl Con Plus Base'!$B$117)*'F Intl Con Plus Base'!B15),2),ROUND('F Intl Con Plus Base'!$B$120*(1+International_Fuel_Surcharge),2),ROUND(((1-'F Intl Con Plus Base'!$B$117)*'F Intl Con Plus Base'!B15)*(1+International_Fuel_Surcharge),2)))*(1+FedEx_Markup),2)</f>
        <v>47.25</v>
      </c>
      <c r="C18" s="307">
        <f>ROUND((IF('F Intl Con Plus Base'!$C$120&gt;ROUND(((1-'F Intl Con Plus Base'!$C$117)*'F Intl Con Plus Base'!C15),2),ROUND('F Intl Con Plus Base'!$C$120*(1+International_Fuel_Surcharge),2),ROUND(((1-'F Intl Con Plus Base'!$C$117)*'F Intl Con Plus Base'!C15)*(1+International_Fuel_Surcharge),2)))*(1+FedEx_Markup),2)</f>
        <v>60.18</v>
      </c>
      <c r="D18" s="307">
        <f>ROUND((IF('F Intl Con Plus Base'!$D$120&gt;ROUND(((1-'F Intl Con Plus Base'!$D$117)*'F Intl Con Plus Base'!D15),2),ROUND('F Intl Con Plus Base'!$D$120*(1+International_Fuel_Surcharge),2),ROUND(((1-'F Intl Con Plus Base'!$D$117)*'F Intl Con Plus Base'!D15)*(1+International_Fuel_Surcharge),2)))*(1+FedEx_Markup),2)</f>
        <v>52.42</v>
      </c>
      <c r="E18" s="307">
        <f>ROUND((IF('F Intl Con Plus Base'!$E$120&gt;ROUND(((1-'F Intl Con Plus Base'!$E$117)*'F Intl Con Plus Base'!E15),2),ROUND('F Intl Con Plus Base'!$E$120*(1+International_Fuel_Surcharge),2),ROUND(((1-'F Intl Con Plus Base'!$E$117)*'F Intl Con Plus Base'!E15)*(1+International_Fuel_Surcharge),2)))*(1+FedEx_Markup),2)</f>
        <v>66.67</v>
      </c>
      <c r="F18" s="307">
        <f>ROUND((IF('F Intl Con Plus Base'!$F$120&gt;ROUND(((1-'F Intl Con Plus Base'!$F$117)*'F Intl Con Plus Base'!F15),2),ROUND('F Intl Con Plus Base'!$F$120*(1+International_Fuel_Surcharge),2),ROUND(((1-'F Intl Con Plus Base'!$F$117)*'F Intl Con Plus Base'!F15)*(1+International_Fuel_Surcharge),2)))*(1+FedEx_Markup),2)</f>
        <v>110.14</v>
      </c>
      <c r="G18" s="307">
        <f>ROUND((IF('F Intl Con Plus Base'!$G$120&gt;ROUND(((1-'F Intl Con Plus Base'!$G$117)*'F Intl Con Plus Base'!G15),2),ROUND('F Intl Con Plus Base'!$G$120*(1+International_Fuel_Surcharge),2),ROUND(((1-'F Intl Con Plus Base'!$G$117)*'F Intl Con Plus Base'!G15)*(1+International_Fuel_Surcharge),2)))*(1+FedEx_Markup),2)</f>
        <v>72.680000000000007</v>
      </c>
      <c r="H18" s="307">
        <f>ROUND((IF('F Intl Con Plus Base'!$H$120&gt;ROUND(((1-'F Intl Con Plus Base'!$H$117)*'F Intl Con Plus Base'!H15),2),ROUND('F Intl Con Plus Base'!$H$120*(1+International_Fuel_Surcharge),2),ROUND(((1-'F Intl Con Plus Base'!$H$117)*'F Intl Con Plus Base'!H15)*(1+International_Fuel_Surcharge),2)))*(1+FedEx_Markup),2)</f>
        <v>79.84</v>
      </c>
      <c r="I18" s="307">
        <f>ROUND((IF('F Intl Con Plus Base'!$I$120&gt;ROUND(((1-'F Intl Con Plus Base'!$I$117)*'F Intl Con Plus Base'!I15),2),ROUND('F Intl Con Plus Base'!$I$120*(1+International_Fuel_Surcharge),2),ROUND(((1-'F Intl Con Plus Base'!$I$117)*'F Intl Con Plus Base'!I15)*(1+International_Fuel_Surcharge),2)))*(1+FedEx_Markup),2)</f>
        <v>81.430000000000007</v>
      </c>
      <c r="J18" s="307">
        <f>ROUND((IF('F Intl Con Plus Base'!$J$120&gt;ROUND(((1-'F Intl Con Plus Base'!$J$117)*'F Intl Con Plus Base'!J15),2),ROUND('F Intl Con Plus Base'!$J$120*(1+International_Fuel_Surcharge),2),ROUND(((1-'F Intl Con Plus Base'!$J$117)*'F Intl Con Plus Base'!J15)*(1+International_Fuel_Surcharge),2)))*(1+FedEx_Markup),2)</f>
        <v>57.5</v>
      </c>
      <c r="K18" s="307">
        <f>ROUND((IF('F Intl Con Plus Base'!$K$120&gt;ROUND(((1-'F Intl Con Plus Base'!$K$117)*'F Intl Con Plus Base'!K15),2),ROUND('F Intl Con Plus Base'!$K$120*(1+International_Fuel_Surcharge),2),ROUND(((1-'F Intl Con Plus Base'!$K$117)*'F Intl Con Plus Base'!K15)*(1+International_Fuel_Surcharge),2)))*(1+FedEx_Markup),2)</f>
        <v>99.06</v>
      </c>
      <c r="L18" s="307">
        <f>ROUND((IF('F Intl Con Plus Base'!$L$120&gt;ROUND(((1-'F Intl Con Plus Base'!$L$117)*'F Intl Con Plus Base'!L15),2),ROUND('F Intl Con Plus Base'!$L$120*(1+International_Fuel_Surcharge),2),ROUND(((1-'F Intl Con Plus Base'!$L$117)*'F Intl Con Plus Base'!L15)*(1+International_Fuel_Surcharge),2)))*(1+FedEx_Markup),2)</f>
        <v>85.55</v>
      </c>
      <c r="M18" s="307">
        <f>ROUND((IF('F Intl Con Plus Base'!$M$120&gt;ROUND(((1-'F Intl Con Plus Base'!$M$117)*'F Intl Con Plus Base'!M15),2),ROUND('F Intl Con Plus Base'!$M$120*(1+International_Fuel_Surcharge),2),ROUND(((1-'F Intl Con Plus Base'!$M$117)*'F Intl Con Plus Base'!M15)*(1+International_Fuel_Surcharge),2)))*(1+FedEx_Markup),2)</f>
        <v>126.5</v>
      </c>
      <c r="N18" s="307">
        <f>ROUND((IF('F Intl Con Plus Base'!$N$120&gt;ROUND(((1-'F Intl Con Plus Base'!$N$117)*'F Intl Con Plus Base'!N15),2),ROUND('F Intl Con Plus Base'!$N$120*(1+International_Fuel_Surcharge),2),ROUND(((1-'F Intl Con Plus Base'!$N$117)*'F Intl Con Plus Base'!N15)*(1+International_Fuel_Surcharge),2)))*(1+FedEx_Markup),2)</f>
        <v>118.82</v>
      </c>
      <c r="O18" s="307">
        <f>ROUND((IF('F Intl Con Plus Base'!$O$120&gt;ROUND(((1-'F Intl Con Plus Base'!$O$117)*'F Intl Con Plus Base'!O15),2),ROUND('F Intl Con Plus Base'!$O$120*(1+International_Fuel_Surcharge),2),ROUND(((1-'F Intl Con Plus Base'!$O$117)*'F Intl Con Plus Base'!O15)*(1+International_Fuel_Surcharge),2)))*(1+FedEx_Markup),2)</f>
        <v>88.37</v>
      </c>
      <c r="P18" s="307">
        <f>ROUND((IF('F Intl Con Plus Base'!$P$120&gt;ROUND(((1-'F Intl Con Plus Base'!$P$117)*'F Intl Con Plus Base'!P15),2),ROUND('F Intl Con Plus Base'!$P$120*(1+International_Fuel_Surcharge),2),ROUND(((1-'F Intl Con Plus Base'!$P$117)*'F Intl Con Plus Base'!P15)*(1+International_Fuel_Surcharge),2)))*(1+FedEx_Markup),2)</f>
        <v>83.94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306">
        <v>14</v>
      </c>
      <c r="B19" s="307">
        <f>ROUND((IF('F Intl Con Plus Base'!$B$120&gt;ROUND(((1-'F Intl Con Plus Base'!$B$117)*'F Intl Con Plus Base'!B16),2),ROUND('F Intl Con Plus Base'!$B$120*(1+International_Fuel_Surcharge),2),ROUND(((1-'F Intl Con Plus Base'!$B$117)*'F Intl Con Plus Base'!B16)*(1+International_Fuel_Surcharge),2)))*(1+FedEx_Markup),2)</f>
        <v>48.86</v>
      </c>
      <c r="C19" s="307">
        <f>ROUND((IF('F Intl Con Plus Base'!$C$120&gt;ROUND(((1-'F Intl Con Plus Base'!$C$117)*'F Intl Con Plus Base'!C16),2),ROUND('F Intl Con Plus Base'!$C$120*(1+International_Fuel_Surcharge),2),ROUND(((1-'F Intl Con Plus Base'!$C$117)*'F Intl Con Plus Base'!C16)*(1+International_Fuel_Surcharge),2)))*(1+FedEx_Markup),2)</f>
        <v>62.07</v>
      </c>
      <c r="D19" s="307">
        <f>ROUND((IF('F Intl Con Plus Base'!$D$120&gt;ROUND(((1-'F Intl Con Plus Base'!$D$117)*'F Intl Con Plus Base'!D16),2),ROUND('F Intl Con Plus Base'!$D$120*(1+International_Fuel_Surcharge),2),ROUND(((1-'F Intl Con Plus Base'!$D$117)*'F Intl Con Plus Base'!D16)*(1+International_Fuel_Surcharge),2)))*(1+FedEx_Markup),2)</f>
        <v>52.56</v>
      </c>
      <c r="E19" s="307">
        <f>ROUND((IF('F Intl Con Plus Base'!$E$120&gt;ROUND(((1-'F Intl Con Plus Base'!$E$117)*'F Intl Con Plus Base'!E16),2),ROUND('F Intl Con Plus Base'!$E$120*(1+International_Fuel_Surcharge),2),ROUND(((1-'F Intl Con Plus Base'!$E$117)*'F Intl Con Plus Base'!E16)*(1+International_Fuel_Surcharge),2)))*(1+FedEx_Markup),2)</f>
        <v>72.2</v>
      </c>
      <c r="F19" s="307">
        <f>ROUND((IF('F Intl Con Plus Base'!$F$120&gt;ROUND(((1-'F Intl Con Plus Base'!$F$117)*'F Intl Con Plus Base'!F16),2),ROUND('F Intl Con Plus Base'!$F$120*(1+International_Fuel_Surcharge),2),ROUND(((1-'F Intl Con Plus Base'!$F$117)*'F Intl Con Plus Base'!F16)*(1+International_Fuel_Surcharge),2)))*(1+FedEx_Markup),2)</f>
        <v>127.54</v>
      </c>
      <c r="G19" s="307">
        <f>ROUND((IF('F Intl Con Plus Base'!$G$120&gt;ROUND(((1-'F Intl Con Plus Base'!$G$117)*'F Intl Con Plus Base'!G16),2),ROUND('F Intl Con Plus Base'!$G$120*(1+International_Fuel_Surcharge),2),ROUND(((1-'F Intl Con Plus Base'!$G$117)*'F Intl Con Plus Base'!G16)*(1+International_Fuel_Surcharge),2)))*(1+FedEx_Markup),2)</f>
        <v>78.099999999999994</v>
      </c>
      <c r="H19" s="307">
        <f>ROUND((IF('F Intl Con Plus Base'!$H$120&gt;ROUND(((1-'F Intl Con Plus Base'!$H$117)*'F Intl Con Plus Base'!H16),2),ROUND('F Intl Con Plus Base'!$H$120*(1+International_Fuel_Surcharge),2),ROUND(((1-'F Intl Con Plus Base'!$H$117)*'F Intl Con Plus Base'!H16)*(1+International_Fuel_Surcharge),2)))*(1+FedEx_Markup),2)</f>
        <v>81.06</v>
      </c>
      <c r="I19" s="307">
        <f>ROUND((IF('F Intl Con Plus Base'!$I$120&gt;ROUND(((1-'F Intl Con Plus Base'!$I$117)*'F Intl Con Plus Base'!I16),2),ROUND('F Intl Con Plus Base'!$I$120*(1+International_Fuel_Surcharge),2),ROUND(((1-'F Intl Con Plus Base'!$I$117)*'F Intl Con Plus Base'!I16)*(1+International_Fuel_Surcharge),2)))*(1+FedEx_Markup),2)</f>
        <v>92.03</v>
      </c>
      <c r="J19" s="307">
        <f>ROUND((IF('F Intl Con Plus Base'!$J$120&gt;ROUND(((1-'F Intl Con Plus Base'!$J$117)*'F Intl Con Plus Base'!J16),2),ROUND('F Intl Con Plus Base'!$J$120*(1+International_Fuel_Surcharge),2),ROUND(((1-'F Intl Con Plus Base'!$J$117)*'F Intl Con Plus Base'!J16)*(1+International_Fuel_Surcharge),2)))*(1+FedEx_Markup),2)</f>
        <v>59.17</v>
      </c>
      <c r="K19" s="307">
        <f>ROUND((IF('F Intl Con Plus Base'!$K$120&gt;ROUND(((1-'F Intl Con Plus Base'!$K$117)*'F Intl Con Plus Base'!K16),2),ROUND('F Intl Con Plus Base'!$K$120*(1+International_Fuel_Surcharge),2),ROUND(((1-'F Intl Con Plus Base'!$K$117)*'F Intl Con Plus Base'!K16)*(1+International_Fuel_Surcharge),2)))*(1+FedEx_Markup),2)</f>
        <v>104.8</v>
      </c>
      <c r="L19" s="307">
        <f>ROUND((IF('F Intl Con Plus Base'!$L$120&gt;ROUND(((1-'F Intl Con Plus Base'!$L$117)*'F Intl Con Plus Base'!L16),2),ROUND('F Intl Con Plus Base'!$L$120*(1+International_Fuel_Surcharge),2),ROUND(((1-'F Intl Con Plus Base'!$L$117)*'F Intl Con Plus Base'!L16)*(1+International_Fuel_Surcharge),2)))*(1+FedEx_Markup),2)</f>
        <v>94.32</v>
      </c>
      <c r="M19" s="307">
        <f>ROUND((IF('F Intl Con Plus Base'!$M$120&gt;ROUND(((1-'F Intl Con Plus Base'!$M$117)*'F Intl Con Plus Base'!M16),2),ROUND('F Intl Con Plus Base'!$M$120*(1+International_Fuel_Surcharge),2),ROUND(((1-'F Intl Con Plus Base'!$M$117)*'F Intl Con Plus Base'!M16)*(1+International_Fuel_Surcharge),2)))*(1+FedEx_Markup),2)</f>
        <v>147.27000000000001</v>
      </c>
      <c r="N19" s="307">
        <f>ROUND((IF('F Intl Con Plus Base'!$N$120&gt;ROUND(((1-'F Intl Con Plus Base'!$N$117)*'F Intl Con Plus Base'!N16),2),ROUND('F Intl Con Plus Base'!$N$120*(1+International_Fuel_Surcharge),2),ROUND(((1-'F Intl Con Plus Base'!$N$117)*'F Intl Con Plus Base'!N16)*(1+International_Fuel_Surcharge),2)))*(1+FedEx_Markup),2)</f>
        <v>135.18</v>
      </c>
      <c r="O19" s="307">
        <f>ROUND((IF('F Intl Con Plus Base'!$O$120&gt;ROUND(((1-'F Intl Con Plus Base'!$O$117)*'F Intl Con Plus Base'!O16),2),ROUND('F Intl Con Plus Base'!$O$120*(1+International_Fuel_Surcharge),2),ROUND(((1-'F Intl Con Plus Base'!$O$117)*'F Intl Con Plus Base'!O16)*(1+International_Fuel_Surcharge),2)))*(1+FedEx_Markup),2)</f>
        <v>97.13</v>
      </c>
      <c r="P19" s="307">
        <f>ROUND((IF('F Intl Con Plus Base'!$P$120&gt;ROUND(((1-'F Intl Con Plus Base'!$P$117)*'F Intl Con Plus Base'!P16),2),ROUND('F Intl Con Plus Base'!$P$120*(1+International_Fuel_Surcharge),2),ROUND(((1-'F Intl Con Plus Base'!$P$117)*'F Intl Con Plus Base'!P16)*(1+International_Fuel_Surcharge),2)))*(1+FedEx_Markup),2)</f>
        <v>98.06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306">
        <v>15</v>
      </c>
      <c r="B20" s="307">
        <f>ROUND((IF('F Intl Con Plus Base'!$B$120&gt;ROUND(((1-'F Intl Con Plus Base'!$B$117)*'F Intl Con Plus Base'!B17),2),ROUND('F Intl Con Plus Base'!$B$120*(1+International_Fuel_Surcharge),2),ROUND(((1-'F Intl Con Plus Base'!$B$117)*'F Intl Con Plus Base'!B17)*(1+International_Fuel_Surcharge),2)))*(1+FedEx_Markup),2)</f>
        <v>50.47</v>
      </c>
      <c r="C20" s="307">
        <f>ROUND((IF('F Intl Con Plus Base'!$C$120&gt;ROUND(((1-'F Intl Con Plus Base'!$C$117)*'F Intl Con Plus Base'!C17),2),ROUND('F Intl Con Plus Base'!$C$120*(1+International_Fuel_Surcharge),2),ROUND(((1-'F Intl Con Plus Base'!$C$117)*'F Intl Con Plus Base'!C17)*(1+International_Fuel_Surcharge),2)))*(1+FedEx_Markup),2)</f>
        <v>65.319999999999993</v>
      </c>
      <c r="D20" s="307">
        <f>ROUND((IF('F Intl Con Plus Base'!$D$120&gt;ROUND(((1-'F Intl Con Plus Base'!$D$117)*'F Intl Con Plus Base'!D17),2),ROUND('F Intl Con Plus Base'!$D$120*(1+International_Fuel_Surcharge),2),ROUND(((1-'F Intl Con Plus Base'!$D$117)*'F Intl Con Plus Base'!D17)*(1+International_Fuel_Surcharge),2)))*(1+FedEx_Markup),2)</f>
        <v>55.25</v>
      </c>
      <c r="E20" s="307">
        <f>ROUND((IF('F Intl Con Plus Base'!$E$120&gt;ROUND(((1-'F Intl Con Plus Base'!$E$117)*'F Intl Con Plus Base'!E17),2),ROUND('F Intl Con Plus Base'!$E$120*(1+International_Fuel_Surcharge),2),ROUND(((1-'F Intl Con Plus Base'!$E$117)*'F Intl Con Plus Base'!E17)*(1+International_Fuel_Surcharge),2)))*(1+FedEx_Markup),2)</f>
        <v>74.11</v>
      </c>
      <c r="F20" s="307">
        <f>ROUND((IF('F Intl Con Plus Base'!$F$120&gt;ROUND(((1-'F Intl Con Plus Base'!$F$117)*'F Intl Con Plus Base'!F17),2),ROUND('F Intl Con Plus Base'!$F$120*(1+International_Fuel_Surcharge),2),ROUND(((1-'F Intl Con Plus Base'!$F$117)*'F Intl Con Plus Base'!F17)*(1+International_Fuel_Surcharge),2)))*(1+FedEx_Markup),2)</f>
        <v>140.9</v>
      </c>
      <c r="G20" s="307">
        <f>ROUND((IF('F Intl Con Plus Base'!$G$120&gt;ROUND(((1-'F Intl Con Plus Base'!$G$117)*'F Intl Con Plus Base'!G17),2),ROUND('F Intl Con Plus Base'!$G$120*(1+International_Fuel_Surcharge),2),ROUND(((1-'F Intl Con Plus Base'!$G$117)*'F Intl Con Plus Base'!G17)*(1+International_Fuel_Surcharge),2)))*(1+FedEx_Markup),2)</f>
        <v>78.64</v>
      </c>
      <c r="H20" s="307">
        <f>ROUND((IF('F Intl Con Plus Base'!$H$120&gt;ROUND(((1-'F Intl Con Plus Base'!$H$117)*'F Intl Con Plus Base'!H17),2),ROUND('F Intl Con Plus Base'!$H$120*(1+International_Fuel_Surcharge),2),ROUND(((1-'F Intl Con Plus Base'!$H$117)*'F Intl Con Plus Base'!H17)*(1+International_Fuel_Surcharge),2)))*(1+FedEx_Markup),2)</f>
        <v>81.22</v>
      </c>
      <c r="I20" s="307">
        <f>ROUND((IF('F Intl Con Plus Base'!$I$120&gt;ROUND(((1-'F Intl Con Plus Base'!$I$117)*'F Intl Con Plus Base'!I17),2),ROUND('F Intl Con Plus Base'!$I$120*(1+International_Fuel_Surcharge),2),ROUND(((1-'F Intl Con Plus Base'!$I$117)*'F Intl Con Plus Base'!I17)*(1+International_Fuel_Surcharge),2)))*(1+FedEx_Markup),2)</f>
        <v>97.01</v>
      </c>
      <c r="J20" s="307">
        <f>ROUND((IF('F Intl Con Plus Base'!$J$120&gt;ROUND(((1-'F Intl Con Plus Base'!$J$117)*'F Intl Con Plus Base'!J17),2),ROUND('F Intl Con Plus Base'!$J$120*(1+International_Fuel_Surcharge),2),ROUND(((1-'F Intl Con Plus Base'!$J$117)*'F Intl Con Plus Base'!J17)*(1+International_Fuel_Surcharge),2)))*(1+FedEx_Markup),2)</f>
        <v>61.34</v>
      </c>
      <c r="K20" s="307">
        <f>ROUND((IF('F Intl Con Plus Base'!$K$120&gt;ROUND(((1-'F Intl Con Plus Base'!$K$117)*'F Intl Con Plus Base'!K17),2),ROUND('F Intl Con Plus Base'!$K$120*(1+International_Fuel_Surcharge),2),ROUND(((1-'F Intl Con Plus Base'!$K$117)*'F Intl Con Plus Base'!K17)*(1+International_Fuel_Surcharge),2)))*(1+FedEx_Markup),2)</f>
        <v>108.08</v>
      </c>
      <c r="L20" s="307">
        <f>ROUND((IF('F Intl Con Plus Base'!$L$120&gt;ROUND(((1-'F Intl Con Plus Base'!$L$117)*'F Intl Con Plus Base'!L17),2),ROUND('F Intl Con Plus Base'!$L$120*(1+International_Fuel_Surcharge),2),ROUND(((1-'F Intl Con Plus Base'!$L$117)*'F Intl Con Plus Base'!L17)*(1+International_Fuel_Surcharge),2)))*(1+FedEx_Markup),2)</f>
        <v>95.21</v>
      </c>
      <c r="M20" s="307">
        <f>ROUND((IF('F Intl Con Plus Base'!$M$120&gt;ROUND(((1-'F Intl Con Plus Base'!$M$117)*'F Intl Con Plus Base'!M17),2),ROUND('F Intl Con Plus Base'!$M$120*(1+International_Fuel_Surcharge),2),ROUND(((1-'F Intl Con Plus Base'!$M$117)*'F Intl Con Plus Base'!M17)*(1+International_Fuel_Surcharge),2)))*(1+FedEx_Markup),2)</f>
        <v>149.35</v>
      </c>
      <c r="N20" s="307">
        <f>ROUND((IF('F Intl Con Plus Base'!$N$120&gt;ROUND(((1-'F Intl Con Plus Base'!$N$117)*'F Intl Con Plus Base'!N17),2),ROUND('F Intl Con Plus Base'!$N$120*(1+International_Fuel_Surcharge),2),ROUND(((1-'F Intl Con Plus Base'!$N$117)*'F Intl Con Plus Base'!N17)*(1+International_Fuel_Surcharge),2)))*(1+FedEx_Markup),2)</f>
        <v>136.82</v>
      </c>
      <c r="O20" s="307">
        <f>ROUND((IF('F Intl Con Plus Base'!$O$120&gt;ROUND(((1-'F Intl Con Plus Base'!$O$117)*'F Intl Con Plus Base'!O17),2),ROUND('F Intl Con Plus Base'!$O$120*(1+International_Fuel_Surcharge),2),ROUND(((1-'F Intl Con Plus Base'!$O$117)*'F Intl Con Plus Base'!O17)*(1+International_Fuel_Surcharge),2)))*(1+FedEx_Markup),2)</f>
        <v>100.63</v>
      </c>
      <c r="P20" s="307">
        <f>ROUND((IF('F Intl Con Plus Base'!$P$120&gt;ROUND(((1-'F Intl Con Plus Base'!$P$117)*'F Intl Con Plus Base'!P17),2),ROUND('F Intl Con Plus Base'!$P$120*(1+International_Fuel_Surcharge),2),ROUND(((1-'F Intl Con Plus Base'!$P$117)*'F Intl Con Plus Base'!P17)*(1+International_Fuel_Surcharge),2)))*(1+FedEx_Markup),2)</f>
        <v>108.41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306">
        <v>16</v>
      </c>
      <c r="B21" s="307">
        <f>ROUND((IF('F Intl Con Plus Base'!$B$120&gt;ROUND(((1-'F Intl Con Plus Base'!$B$117)*'F Intl Con Plus Base'!B18),2),ROUND('F Intl Con Plus Base'!$B$120*(1+International_Fuel_Surcharge),2),ROUND(((1-'F Intl Con Plus Base'!$B$117)*'F Intl Con Plus Base'!B18)*(1+International_Fuel_Surcharge),2)))*(1+FedEx_Markup),2)</f>
        <v>52.83</v>
      </c>
      <c r="C21" s="307">
        <f>ROUND((IF('F Intl Con Plus Base'!$C$120&gt;ROUND(((1-'F Intl Con Plus Base'!$C$117)*'F Intl Con Plus Base'!C18),2),ROUND('F Intl Con Plus Base'!$C$120*(1+International_Fuel_Surcharge),2),ROUND(((1-'F Intl Con Plus Base'!$C$117)*'F Intl Con Plus Base'!C18)*(1+International_Fuel_Surcharge),2)))*(1+FedEx_Markup),2)</f>
        <v>66.790000000000006</v>
      </c>
      <c r="D21" s="307">
        <f>ROUND((IF('F Intl Con Plus Base'!$D$120&gt;ROUND(((1-'F Intl Con Plus Base'!$D$117)*'F Intl Con Plus Base'!D18),2),ROUND('F Intl Con Plus Base'!$D$120*(1+International_Fuel_Surcharge),2),ROUND(((1-'F Intl Con Plus Base'!$D$117)*'F Intl Con Plus Base'!D18)*(1+International_Fuel_Surcharge),2)))*(1+FedEx_Markup),2)</f>
        <v>55.52</v>
      </c>
      <c r="E21" s="307">
        <f>ROUND((IF('F Intl Con Plus Base'!$E$120&gt;ROUND(((1-'F Intl Con Plus Base'!$E$117)*'F Intl Con Plus Base'!E18),2),ROUND('F Intl Con Plus Base'!$E$120*(1+International_Fuel_Surcharge),2),ROUND(((1-'F Intl Con Plus Base'!$E$117)*'F Intl Con Plus Base'!E18)*(1+International_Fuel_Surcharge),2)))*(1+FedEx_Markup),2)</f>
        <v>79.930000000000007</v>
      </c>
      <c r="F21" s="307">
        <f>ROUND((IF('F Intl Con Plus Base'!$F$120&gt;ROUND(((1-'F Intl Con Plus Base'!$F$117)*'F Intl Con Plus Base'!F18),2),ROUND('F Intl Con Plus Base'!$F$120*(1+International_Fuel_Surcharge),2),ROUND(((1-'F Intl Con Plus Base'!$F$117)*'F Intl Con Plus Base'!F18)*(1+International_Fuel_Surcharge),2)))*(1+FedEx_Markup),2)</f>
        <v>142.24</v>
      </c>
      <c r="G21" s="307">
        <f>ROUND((IF('F Intl Con Plus Base'!$G$120&gt;ROUND(((1-'F Intl Con Plus Base'!$G$117)*'F Intl Con Plus Base'!G18),2),ROUND('F Intl Con Plus Base'!$G$120*(1+International_Fuel_Surcharge),2),ROUND(((1-'F Intl Con Plus Base'!$G$117)*'F Intl Con Plus Base'!G18)*(1+International_Fuel_Surcharge),2)))*(1+FedEx_Markup),2)</f>
        <v>83.5</v>
      </c>
      <c r="H21" s="307">
        <f>ROUND((IF('F Intl Con Plus Base'!$H$120&gt;ROUND(((1-'F Intl Con Plus Base'!$H$117)*'F Intl Con Plus Base'!H18),2),ROUND('F Intl Con Plus Base'!$H$120*(1+International_Fuel_Surcharge),2),ROUND(((1-'F Intl Con Plus Base'!$H$117)*'F Intl Con Plus Base'!H18)*(1+International_Fuel_Surcharge),2)))*(1+FedEx_Markup),2)</f>
        <v>81.39</v>
      </c>
      <c r="I21" s="307">
        <f>ROUND((IF('F Intl Con Plus Base'!$I$120&gt;ROUND(((1-'F Intl Con Plus Base'!$I$117)*'F Intl Con Plus Base'!I18),2),ROUND('F Intl Con Plus Base'!$I$120*(1+International_Fuel_Surcharge),2),ROUND(((1-'F Intl Con Plus Base'!$I$117)*'F Intl Con Plus Base'!I18)*(1+International_Fuel_Surcharge),2)))*(1+FedEx_Markup),2)</f>
        <v>97.51</v>
      </c>
      <c r="J21" s="307">
        <f>ROUND((IF('F Intl Con Plus Base'!$J$120&gt;ROUND(((1-'F Intl Con Plus Base'!$J$117)*'F Intl Con Plus Base'!J18),2),ROUND('F Intl Con Plus Base'!$J$120*(1+International_Fuel_Surcharge),2),ROUND(((1-'F Intl Con Plus Base'!$J$117)*'F Intl Con Plus Base'!J18)*(1+International_Fuel_Surcharge),2)))*(1+FedEx_Markup),2)</f>
        <v>69.31</v>
      </c>
      <c r="K21" s="307">
        <f>ROUND((IF('F Intl Con Plus Base'!$K$120&gt;ROUND(((1-'F Intl Con Plus Base'!$K$117)*'F Intl Con Plus Base'!K18),2),ROUND('F Intl Con Plus Base'!$K$120*(1+International_Fuel_Surcharge),2),ROUND(((1-'F Intl Con Plus Base'!$K$117)*'F Intl Con Plus Base'!K18)*(1+International_Fuel_Surcharge),2)))*(1+FedEx_Markup),2)</f>
        <v>115.06</v>
      </c>
      <c r="L21" s="307">
        <f>ROUND((IF('F Intl Con Plus Base'!$L$120&gt;ROUND(((1-'F Intl Con Plus Base'!$L$117)*'F Intl Con Plus Base'!L18),2),ROUND('F Intl Con Plus Base'!$L$120*(1+International_Fuel_Surcharge),2),ROUND(((1-'F Intl Con Plus Base'!$L$117)*'F Intl Con Plus Base'!L18)*(1+International_Fuel_Surcharge),2)))*(1+FedEx_Markup),2)</f>
        <v>106.26</v>
      </c>
      <c r="M21" s="307">
        <f>ROUND((IF('F Intl Con Plus Base'!$M$120&gt;ROUND(((1-'F Intl Con Plus Base'!$M$117)*'F Intl Con Plus Base'!M18),2),ROUND('F Intl Con Plus Base'!$M$120*(1+International_Fuel_Surcharge),2),ROUND(((1-'F Intl Con Plus Base'!$M$117)*'F Intl Con Plus Base'!M18)*(1+International_Fuel_Surcharge),2)))*(1+FedEx_Markup),2)</f>
        <v>155.19</v>
      </c>
      <c r="N21" s="307">
        <f>ROUND((IF('F Intl Con Plus Base'!$N$120&gt;ROUND(((1-'F Intl Con Plus Base'!$N$117)*'F Intl Con Plus Base'!N18),2),ROUND('F Intl Con Plus Base'!$N$120*(1+International_Fuel_Surcharge),2),ROUND(((1-'F Intl Con Plus Base'!$N$117)*'F Intl Con Plus Base'!N18)*(1+International_Fuel_Surcharge),2)))*(1+FedEx_Markup),2)</f>
        <v>137.24</v>
      </c>
      <c r="O21" s="307">
        <f>ROUND((IF('F Intl Con Plus Base'!$O$120&gt;ROUND(((1-'F Intl Con Plus Base'!$O$117)*'F Intl Con Plus Base'!O18),2),ROUND('F Intl Con Plus Base'!$O$120*(1+International_Fuel_Surcharge),2),ROUND(((1-'F Intl Con Plus Base'!$O$117)*'F Intl Con Plus Base'!O18)*(1+International_Fuel_Surcharge),2)))*(1+FedEx_Markup),2)</f>
        <v>102.51</v>
      </c>
      <c r="P21" s="307">
        <f>ROUND((IF('F Intl Con Plus Base'!$P$120&gt;ROUND(((1-'F Intl Con Plus Base'!$P$117)*'F Intl Con Plus Base'!P18),2),ROUND('F Intl Con Plus Base'!$P$120*(1+International_Fuel_Surcharge),2),ROUND(((1-'F Intl Con Plus Base'!$P$117)*'F Intl Con Plus Base'!P18)*(1+International_Fuel_Surcharge),2)))*(1+FedEx_Markup),2)</f>
        <v>113.78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306">
        <v>17</v>
      </c>
      <c r="B22" s="307">
        <f>ROUND((IF('F Intl Con Plus Base'!$B$120&gt;ROUND(((1-'F Intl Con Plus Base'!$B$117)*'F Intl Con Plus Base'!B19),2),ROUND('F Intl Con Plus Base'!$B$120*(1+International_Fuel_Surcharge),2),ROUND(((1-'F Intl Con Plus Base'!$B$117)*'F Intl Con Plus Base'!B19)*(1+International_Fuel_Surcharge),2)))*(1+FedEx_Markup),2)</f>
        <v>53.25</v>
      </c>
      <c r="C22" s="307">
        <f>ROUND((IF('F Intl Con Plus Base'!$C$120&gt;ROUND(((1-'F Intl Con Plus Base'!$C$117)*'F Intl Con Plus Base'!C19),2),ROUND('F Intl Con Plus Base'!$C$120*(1+International_Fuel_Surcharge),2),ROUND(((1-'F Intl Con Plus Base'!$C$117)*'F Intl Con Plus Base'!C19)*(1+International_Fuel_Surcharge),2)))*(1+FedEx_Markup),2)</f>
        <v>66.959999999999994</v>
      </c>
      <c r="D22" s="307">
        <f>ROUND((IF('F Intl Con Plus Base'!$D$120&gt;ROUND(((1-'F Intl Con Plus Base'!$D$117)*'F Intl Con Plus Base'!D19),2),ROUND('F Intl Con Plus Base'!$D$120*(1+International_Fuel_Surcharge),2),ROUND(((1-'F Intl Con Plus Base'!$D$117)*'F Intl Con Plus Base'!D19)*(1+International_Fuel_Surcharge),2)))*(1+FedEx_Markup),2)</f>
        <v>58.52</v>
      </c>
      <c r="E22" s="307">
        <f>ROUND((IF('F Intl Con Plus Base'!$E$120&gt;ROUND(((1-'F Intl Con Plus Base'!$E$117)*'F Intl Con Plus Base'!E19),2),ROUND('F Intl Con Plus Base'!$E$120*(1+International_Fuel_Surcharge),2),ROUND(((1-'F Intl Con Plus Base'!$E$117)*'F Intl Con Plus Base'!E19)*(1+International_Fuel_Surcharge),2)))*(1+FedEx_Markup),2)</f>
        <v>80.5</v>
      </c>
      <c r="F22" s="307">
        <f>ROUND((IF('F Intl Con Plus Base'!$F$120&gt;ROUND(((1-'F Intl Con Plus Base'!$F$117)*'F Intl Con Plus Base'!F19),2),ROUND('F Intl Con Plus Base'!$F$120*(1+International_Fuel_Surcharge),2),ROUND(((1-'F Intl Con Plus Base'!$F$117)*'F Intl Con Plus Base'!F19)*(1+International_Fuel_Surcharge),2)))*(1+FedEx_Markup),2)</f>
        <v>142.88999999999999</v>
      </c>
      <c r="G22" s="307">
        <f>ROUND((IF('F Intl Con Plus Base'!$G$120&gt;ROUND(((1-'F Intl Con Plus Base'!$G$117)*'F Intl Con Plus Base'!G19),2),ROUND('F Intl Con Plus Base'!$G$120*(1+International_Fuel_Surcharge),2),ROUND(((1-'F Intl Con Plus Base'!$G$117)*'F Intl Con Plus Base'!G19)*(1+International_Fuel_Surcharge),2)))*(1+FedEx_Markup),2)</f>
        <v>88.16</v>
      </c>
      <c r="H22" s="307">
        <f>ROUND((IF('F Intl Con Plus Base'!$H$120&gt;ROUND(((1-'F Intl Con Plus Base'!$H$117)*'F Intl Con Plus Base'!H19),2),ROUND('F Intl Con Plus Base'!$H$120*(1+International_Fuel_Surcharge),2),ROUND(((1-'F Intl Con Plus Base'!$H$117)*'F Intl Con Plus Base'!H19)*(1+International_Fuel_Surcharge),2)))*(1+FedEx_Markup),2)</f>
        <v>84</v>
      </c>
      <c r="I22" s="307">
        <f>ROUND((IF('F Intl Con Plus Base'!$I$120&gt;ROUND(((1-'F Intl Con Plus Base'!$I$117)*'F Intl Con Plus Base'!I19),2),ROUND('F Intl Con Plus Base'!$I$120*(1+International_Fuel_Surcharge),2),ROUND(((1-'F Intl Con Plus Base'!$I$117)*'F Intl Con Plus Base'!I19)*(1+International_Fuel_Surcharge),2)))*(1+FedEx_Markup),2)</f>
        <v>102.11</v>
      </c>
      <c r="J22" s="307">
        <f>ROUND((IF('F Intl Con Plus Base'!$J$120&gt;ROUND(((1-'F Intl Con Plus Base'!$J$117)*'F Intl Con Plus Base'!J19),2),ROUND('F Intl Con Plus Base'!$J$120*(1+International_Fuel_Surcharge),2),ROUND(((1-'F Intl Con Plus Base'!$J$117)*'F Intl Con Plus Base'!J19)*(1+International_Fuel_Surcharge),2)))*(1+FedEx_Markup),2)</f>
        <v>71.680000000000007</v>
      </c>
      <c r="K22" s="307">
        <f>ROUND((IF('F Intl Con Plus Base'!$K$120&gt;ROUND(((1-'F Intl Con Plus Base'!$K$117)*'F Intl Con Plus Base'!K19),2),ROUND('F Intl Con Plus Base'!$K$120*(1+International_Fuel_Surcharge),2),ROUND(((1-'F Intl Con Plus Base'!$K$117)*'F Intl Con Plus Base'!K19)*(1+International_Fuel_Surcharge),2)))*(1+FedEx_Markup),2)</f>
        <v>117.83</v>
      </c>
      <c r="L22" s="307">
        <f>ROUND((IF('F Intl Con Plus Base'!$L$120&gt;ROUND(((1-'F Intl Con Plus Base'!$L$117)*'F Intl Con Plus Base'!L19),2),ROUND('F Intl Con Plus Base'!$L$120*(1+International_Fuel_Surcharge),2),ROUND(((1-'F Intl Con Plus Base'!$L$117)*'F Intl Con Plus Base'!L19)*(1+International_Fuel_Surcharge),2)))*(1+FedEx_Markup),2)</f>
        <v>110.81</v>
      </c>
      <c r="M22" s="307">
        <f>ROUND((IF('F Intl Con Plus Base'!$M$120&gt;ROUND(((1-'F Intl Con Plus Base'!$M$117)*'F Intl Con Plus Base'!M19),2),ROUND('F Intl Con Plus Base'!$M$120*(1+International_Fuel_Surcharge),2),ROUND(((1-'F Intl Con Plus Base'!$M$117)*'F Intl Con Plus Base'!M19)*(1+International_Fuel_Surcharge),2)))*(1+FedEx_Markup),2)</f>
        <v>163.61000000000001</v>
      </c>
      <c r="N22" s="307">
        <f>ROUND((IF('F Intl Con Plus Base'!$N$120&gt;ROUND(((1-'F Intl Con Plus Base'!$N$117)*'F Intl Con Plus Base'!N19),2),ROUND('F Intl Con Plus Base'!$N$120*(1+International_Fuel_Surcharge),2),ROUND(((1-'F Intl Con Plus Base'!$N$117)*'F Intl Con Plus Base'!N19)*(1+International_Fuel_Surcharge),2)))*(1+FedEx_Markup),2)</f>
        <v>138.16999999999999</v>
      </c>
      <c r="O22" s="307">
        <f>ROUND((IF('F Intl Con Plus Base'!$O$120&gt;ROUND(((1-'F Intl Con Plus Base'!$O$117)*'F Intl Con Plus Base'!O19),2),ROUND('F Intl Con Plus Base'!$O$120*(1+International_Fuel_Surcharge),2),ROUND(((1-'F Intl Con Plus Base'!$O$117)*'F Intl Con Plus Base'!O19)*(1+International_Fuel_Surcharge),2)))*(1+FedEx_Markup),2)</f>
        <v>106.12</v>
      </c>
      <c r="P22" s="307">
        <f>ROUND((IF('F Intl Con Plus Base'!$P$120&gt;ROUND(((1-'F Intl Con Plus Base'!$P$117)*'F Intl Con Plus Base'!P19),2),ROUND('F Intl Con Plus Base'!$P$120*(1+International_Fuel_Surcharge),2),ROUND(((1-'F Intl Con Plus Base'!$P$117)*'F Intl Con Plus Base'!P19)*(1+International_Fuel_Surcharge),2)))*(1+FedEx_Markup),2)</f>
        <v>114.32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06">
        <v>18</v>
      </c>
      <c r="B23" s="307">
        <f>ROUND((IF('F Intl Con Plus Base'!$B$120&gt;ROUND(((1-'F Intl Con Plus Base'!$B$117)*'F Intl Con Plus Base'!B20),2),ROUND('F Intl Con Plus Base'!$B$120*(1+International_Fuel_Surcharge),2),ROUND(((1-'F Intl Con Plus Base'!$B$117)*'F Intl Con Plus Base'!B20)*(1+International_Fuel_Surcharge),2)))*(1+FedEx_Markup),2)</f>
        <v>54.65</v>
      </c>
      <c r="C23" s="307">
        <f>ROUND((IF('F Intl Con Plus Base'!$C$120&gt;ROUND(((1-'F Intl Con Plus Base'!$C$117)*'F Intl Con Plus Base'!C20),2),ROUND('F Intl Con Plus Base'!$C$120*(1+International_Fuel_Surcharge),2),ROUND(((1-'F Intl Con Plus Base'!$C$117)*'F Intl Con Plus Base'!C20)*(1+International_Fuel_Surcharge),2)))*(1+FedEx_Markup),2)</f>
        <v>68.63</v>
      </c>
      <c r="D23" s="307">
        <f>ROUND((IF('F Intl Con Plus Base'!$D$120&gt;ROUND(((1-'F Intl Con Plus Base'!$D$117)*'F Intl Con Plus Base'!D20),2),ROUND('F Intl Con Plus Base'!$D$120*(1+International_Fuel_Surcharge),2),ROUND(((1-'F Intl Con Plus Base'!$D$117)*'F Intl Con Plus Base'!D20)*(1+International_Fuel_Surcharge),2)))*(1+FedEx_Markup),2)</f>
        <v>58.94</v>
      </c>
      <c r="E23" s="307">
        <f>ROUND((IF('F Intl Con Plus Base'!$E$120&gt;ROUND(((1-'F Intl Con Plus Base'!$E$117)*'F Intl Con Plus Base'!E20),2),ROUND('F Intl Con Plus Base'!$E$120*(1+International_Fuel_Surcharge),2),ROUND(((1-'F Intl Con Plus Base'!$E$117)*'F Intl Con Plus Base'!E20)*(1+International_Fuel_Surcharge),2)))*(1+FedEx_Markup),2)</f>
        <v>81.22</v>
      </c>
      <c r="F23" s="307">
        <f>ROUND((IF('F Intl Con Plus Base'!$F$120&gt;ROUND(((1-'F Intl Con Plus Base'!$F$117)*'F Intl Con Plus Base'!F20),2),ROUND('F Intl Con Plus Base'!$F$120*(1+International_Fuel_Surcharge),2),ROUND(((1-'F Intl Con Plus Base'!$F$117)*'F Intl Con Plus Base'!F20)*(1+International_Fuel_Surcharge),2)))*(1+FedEx_Markup),2)</f>
        <v>155.88</v>
      </c>
      <c r="G23" s="307">
        <f>ROUND((IF('F Intl Con Plus Base'!$G$120&gt;ROUND(((1-'F Intl Con Plus Base'!$G$117)*'F Intl Con Plus Base'!G20),2),ROUND('F Intl Con Plus Base'!$G$120*(1+International_Fuel_Surcharge),2),ROUND(((1-'F Intl Con Plus Base'!$G$117)*'F Intl Con Plus Base'!G20)*(1+International_Fuel_Surcharge),2)))*(1+FedEx_Markup),2)</f>
        <v>88.63</v>
      </c>
      <c r="H23" s="307">
        <f>ROUND((IF('F Intl Con Plus Base'!$H$120&gt;ROUND(((1-'F Intl Con Plus Base'!$H$117)*'F Intl Con Plus Base'!H20),2),ROUND('F Intl Con Plus Base'!$H$120*(1+International_Fuel_Surcharge),2),ROUND(((1-'F Intl Con Plus Base'!$H$117)*'F Intl Con Plus Base'!H20)*(1+International_Fuel_Surcharge),2)))*(1+FedEx_Markup),2)</f>
        <v>91.32</v>
      </c>
      <c r="I23" s="307">
        <f>ROUND((IF('F Intl Con Plus Base'!$I$120&gt;ROUND(((1-'F Intl Con Plus Base'!$I$117)*'F Intl Con Plus Base'!I20),2),ROUND('F Intl Con Plus Base'!$I$120*(1+International_Fuel_Surcharge),2),ROUND(((1-'F Intl Con Plus Base'!$I$117)*'F Intl Con Plus Base'!I20)*(1+International_Fuel_Surcharge),2)))*(1+FedEx_Markup),2)</f>
        <v>106.13</v>
      </c>
      <c r="J23" s="307">
        <f>ROUND((IF('F Intl Con Plus Base'!$J$120&gt;ROUND(((1-'F Intl Con Plus Base'!$J$117)*'F Intl Con Plus Base'!J20),2),ROUND('F Intl Con Plus Base'!$J$120*(1+International_Fuel_Surcharge),2),ROUND(((1-'F Intl Con Plus Base'!$J$117)*'F Intl Con Plus Base'!J20)*(1+International_Fuel_Surcharge),2)))*(1+FedEx_Markup),2)</f>
        <v>71.92</v>
      </c>
      <c r="K23" s="307">
        <f>ROUND((IF('F Intl Con Plus Base'!$K$120&gt;ROUND(((1-'F Intl Con Plus Base'!$K$117)*'F Intl Con Plus Base'!K20),2),ROUND('F Intl Con Plus Base'!$K$120*(1+International_Fuel_Surcharge),2),ROUND(((1-'F Intl Con Plus Base'!$K$117)*'F Intl Con Plus Base'!K20)*(1+International_Fuel_Surcharge),2)))*(1+FedEx_Markup),2)</f>
        <v>120.07</v>
      </c>
      <c r="L23" s="307">
        <f>ROUND((IF('F Intl Con Plus Base'!$L$120&gt;ROUND(((1-'F Intl Con Plus Base'!$L$117)*'F Intl Con Plus Base'!L20),2),ROUND('F Intl Con Plus Base'!$L$120*(1+International_Fuel_Surcharge),2),ROUND(((1-'F Intl Con Plus Base'!$L$117)*'F Intl Con Plus Base'!L20)*(1+International_Fuel_Surcharge),2)))*(1+FedEx_Markup),2)</f>
        <v>113.91</v>
      </c>
      <c r="M23" s="307">
        <f>ROUND((IF('F Intl Con Plus Base'!$M$120&gt;ROUND(((1-'F Intl Con Plus Base'!$M$117)*'F Intl Con Plus Base'!M20),2),ROUND('F Intl Con Plus Base'!$M$120*(1+International_Fuel_Surcharge),2),ROUND(((1-'F Intl Con Plus Base'!$M$117)*'F Intl Con Plus Base'!M20)*(1+International_Fuel_Surcharge),2)))*(1+FedEx_Markup),2)</f>
        <v>176.79</v>
      </c>
      <c r="N23" s="307">
        <f>ROUND((IF('F Intl Con Plus Base'!$N$120&gt;ROUND(((1-'F Intl Con Plus Base'!$N$117)*'F Intl Con Plus Base'!N20),2),ROUND('F Intl Con Plus Base'!$N$120*(1+International_Fuel_Surcharge),2),ROUND(((1-'F Intl Con Plus Base'!$N$117)*'F Intl Con Plus Base'!N20)*(1+International_Fuel_Surcharge),2)))*(1+FedEx_Markup),2)</f>
        <v>156.79</v>
      </c>
      <c r="O23" s="307">
        <f>ROUND((IF('F Intl Con Plus Base'!$O$120&gt;ROUND(((1-'F Intl Con Plus Base'!$O$117)*'F Intl Con Plus Base'!O20),2),ROUND('F Intl Con Plus Base'!$O$120*(1+International_Fuel_Surcharge),2),ROUND(((1-'F Intl Con Plus Base'!$O$117)*'F Intl Con Plus Base'!O20)*(1+International_Fuel_Surcharge),2)))*(1+FedEx_Markup),2)</f>
        <v>107.87</v>
      </c>
      <c r="P23" s="307">
        <f>ROUND((IF('F Intl Con Plus Base'!$P$120&gt;ROUND(((1-'F Intl Con Plus Base'!$P$117)*'F Intl Con Plus Base'!P20),2),ROUND('F Intl Con Plus Base'!$P$120*(1+International_Fuel_Surcharge),2),ROUND(((1-'F Intl Con Plus Base'!$P$117)*'F Intl Con Plus Base'!P20)*(1+International_Fuel_Surcharge),2)))*(1+FedEx_Markup),2)</f>
        <v>120.39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306">
        <v>19</v>
      </c>
      <c r="B24" s="307">
        <f>ROUND((IF('F Intl Con Plus Base'!$B$120&gt;ROUND(((1-'F Intl Con Plus Base'!$B$117)*'F Intl Con Plus Base'!B21),2),ROUND('F Intl Con Plus Base'!$B$120*(1+International_Fuel_Surcharge),2),ROUND(((1-'F Intl Con Plus Base'!$B$117)*'F Intl Con Plus Base'!B21)*(1+International_Fuel_Surcharge),2)))*(1+FedEx_Markup),2)</f>
        <v>56.04</v>
      </c>
      <c r="C24" s="307">
        <f>ROUND((IF('F Intl Con Plus Base'!$C$120&gt;ROUND(((1-'F Intl Con Plus Base'!$C$117)*'F Intl Con Plus Base'!C21),2),ROUND('F Intl Con Plus Base'!$C$120*(1+International_Fuel_Surcharge),2),ROUND(((1-'F Intl Con Plus Base'!$C$117)*'F Intl Con Plus Base'!C21)*(1+International_Fuel_Surcharge),2)))*(1+FedEx_Markup),2)</f>
        <v>70.319999999999993</v>
      </c>
      <c r="D24" s="307">
        <f>ROUND((IF('F Intl Con Plus Base'!$D$120&gt;ROUND(((1-'F Intl Con Plus Base'!$D$117)*'F Intl Con Plus Base'!D21),2),ROUND('F Intl Con Plus Base'!$D$120*(1+International_Fuel_Surcharge),2),ROUND(((1-'F Intl Con Plus Base'!$D$117)*'F Intl Con Plus Base'!D21)*(1+International_Fuel_Surcharge),2)))*(1+FedEx_Markup),2)</f>
        <v>67.13</v>
      </c>
      <c r="E24" s="307">
        <f>ROUND((IF('F Intl Con Plus Base'!$E$120&gt;ROUND(((1-'F Intl Con Plus Base'!$E$117)*'F Intl Con Plus Base'!E21),2),ROUND('F Intl Con Plus Base'!$E$120*(1+International_Fuel_Surcharge),2),ROUND(((1-'F Intl Con Plus Base'!$E$117)*'F Intl Con Plus Base'!E21)*(1+International_Fuel_Surcharge),2)))*(1+FedEx_Markup),2)</f>
        <v>83.59</v>
      </c>
      <c r="F24" s="307">
        <f>ROUND((IF('F Intl Con Plus Base'!$F$120&gt;ROUND(((1-'F Intl Con Plus Base'!$F$117)*'F Intl Con Plus Base'!F21),2),ROUND('F Intl Con Plus Base'!$F$120*(1+International_Fuel_Surcharge),2),ROUND(((1-'F Intl Con Plus Base'!$F$117)*'F Intl Con Plus Base'!F21)*(1+International_Fuel_Surcharge),2)))*(1+FedEx_Markup),2)</f>
        <v>158.56</v>
      </c>
      <c r="G24" s="307">
        <f>ROUND((IF('F Intl Con Plus Base'!$G$120&gt;ROUND(((1-'F Intl Con Plus Base'!$G$117)*'F Intl Con Plus Base'!G21),2),ROUND('F Intl Con Plus Base'!$G$120*(1+International_Fuel_Surcharge),2),ROUND(((1-'F Intl Con Plus Base'!$G$117)*'F Intl Con Plus Base'!G21)*(1+International_Fuel_Surcharge),2)))*(1+FedEx_Markup),2)</f>
        <v>93.41</v>
      </c>
      <c r="H24" s="307">
        <f>ROUND((IF('F Intl Con Plus Base'!$H$120&gt;ROUND(((1-'F Intl Con Plus Base'!$H$117)*'F Intl Con Plus Base'!H21),2),ROUND('F Intl Con Plus Base'!$H$120*(1+International_Fuel_Surcharge),2),ROUND(((1-'F Intl Con Plus Base'!$H$117)*'F Intl Con Plus Base'!H21)*(1+International_Fuel_Surcharge),2)))*(1+FedEx_Markup),2)</f>
        <v>92.06</v>
      </c>
      <c r="I24" s="307">
        <f>ROUND((IF('F Intl Con Plus Base'!$I$120&gt;ROUND(((1-'F Intl Con Plus Base'!$I$117)*'F Intl Con Plus Base'!I21),2),ROUND('F Intl Con Plus Base'!$I$120*(1+International_Fuel_Surcharge),2),ROUND(((1-'F Intl Con Plus Base'!$I$117)*'F Intl Con Plus Base'!I21)*(1+International_Fuel_Surcharge),2)))*(1+FedEx_Markup),2)</f>
        <v>106.54</v>
      </c>
      <c r="J24" s="307">
        <f>ROUND((IF('F Intl Con Plus Base'!$J$120&gt;ROUND(((1-'F Intl Con Plus Base'!$J$117)*'F Intl Con Plus Base'!J21),2),ROUND('F Intl Con Plus Base'!$J$120*(1+International_Fuel_Surcharge),2),ROUND(((1-'F Intl Con Plus Base'!$J$117)*'F Intl Con Plus Base'!J21)*(1+International_Fuel_Surcharge),2)))*(1+FedEx_Markup),2)</f>
        <v>73.27</v>
      </c>
      <c r="K24" s="307">
        <f>ROUND((IF('F Intl Con Plus Base'!$K$120&gt;ROUND(((1-'F Intl Con Plus Base'!$K$117)*'F Intl Con Plus Base'!K21),2),ROUND('F Intl Con Plus Base'!$K$120*(1+International_Fuel_Surcharge),2),ROUND(((1-'F Intl Con Plus Base'!$K$117)*'F Intl Con Plus Base'!K21)*(1+International_Fuel_Surcharge),2)))*(1+FedEx_Markup),2)</f>
        <v>125.38</v>
      </c>
      <c r="L24" s="307">
        <f>ROUND((IF('F Intl Con Plus Base'!$L$120&gt;ROUND(((1-'F Intl Con Plus Base'!$L$117)*'F Intl Con Plus Base'!L21),2),ROUND('F Intl Con Plus Base'!$L$120*(1+International_Fuel_Surcharge),2),ROUND(((1-'F Intl Con Plus Base'!$L$117)*'F Intl Con Plus Base'!L21)*(1+International_Fuel_Surcharge),2)))*(1+FedEx_Markup),2)</f>
        <v>120.24</v>
      </c>
      <c r="M24" s="307">
        <f>ROUND((IF('F Intl Con Plus Base'!$M$120&gt;ROUND(((1-'F Intl Con Plus Base'!$M$117)*'F Intl Con Plus Base'!M21),2),ROUND('F Intl Con Plus Base'!$M$120*(1+International_Fuel_Surcharge),2),ROUND(((1-'F Intl Con Plus Base'!$M$117)*'F Intl Con Plus Base'!M21)*(1+International_Fuel_Surcharge),2)))*(1+FedEx_Markup),2)</f>
        <v>182.68</v>
      </c>
      <c r="N24" s="307">
        <f>ROUND((IF('F Intl Con Plus Base'!$N$120&gt;ROUND(((1-'F Intl Con Plus Base'!$N$117)*'F Intl Con Plus Base'!N21),2),ROUND('F Intl Con Plus Base'!$N$120*(1+International_Fuel_Surcharge),2),ROUND(((1-'F Intl Con Plus Base'!$N$117)*'F Intl Con Plus Base'!N21)*(1+International_Fuel_Surcharge),2)))*(1+FedEx_Markup),2)</f>
        <v>167.54</v>
      </c>
      <c r="O24" s="307">
        <f>ROUND((IF('F Intl Con Plus Base'!$O$120&gt;ROUND(((1-'F Intl Con Plus Base'!$O$117)*'F Intl Con Plus Base'!O21),2),ROUND('F Intl Con Plus Base'!$O$120*(1+International_Fuel_Surcharge),2),ROUND(((1-'F Intl Con Plus Base'!$O$117)*'F Intl Con Plus Base'!O21)*(1+International_Fuel_Surcharge),2)))*(1+FedEx_Markup),2)</f>
        <v>108.43</v>
      </c>
      <c r="P24" s="307">
        <f>ROUND((IF('F Intl Con Plus Base'!$P$120&gt;ROUND(((1-'F Intl Con Plus Base'!$P$117)*'F Intl Con Plus Base'!P21),2),ROUND('F Intl Con Plus Base'!$P$120*(1+International_Fuel_Surcharge),2),ROUND(((1-'F Intl Con Plus Base'!$P$117)*'F Intl Con Plus Base'!P21)*(1+International_Fuel_Surcharge),2)))*(1+FedEx_Markup),2)</f>
        <v>122.22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306">
        <v>20</v>
      </c>
      <c r="B25" s="307">
        <f>ROUND((IF('F Intl Con Plus Base'!$B$120&gt;ROUND(((1-'F Intl Con Plus Base'!$B$117)*'F Intl Con Plus Base'!B22),2),ROUND('F Intl Con Plus Base'!$B$120*(1+International_Fuel_Surcharge),2),ROUND(((1-'F Intl Con Plus Base'!$B$117)*'F Intl Con Plus Base'!B22)*(1+International_Fuel_Surcharge),2)))*(1+FedEx_Markup),2)</f>
        <v>57.43</v>
      </c>
      <c r="C25" s="307">
        <f>ROUND((IF('F Intl Con Plus Base'!$C$120&gt;ROUND(((1-'F Intl Con Plus Base'!$C$117)*'F Intl Con Plus Base'!C22),2),ROUND('F Intl Con Plus Base'!$C$120*(1+International_Fuel_Surcharge),2),ROUND(((1-'F Intl Con Plus Base'!$C$117)*'F Intl Con Plus Base'!C22)*(1+International_Fuel_Surcharge),2)))*(1+FedEx_Markup),2)</f>
        <v>72</v>
      </c>
      <c r="D25" s="307">
        <f>ROUND((IF('F Intl Con Plus Base'!$D$120&gt;ROUND(((1-'F Intl Con Plus Base'!$D$117)*'F Intl Con Plus Base'!D22),2),ROUND('F Intl Con Plus Base'!$D$120*(1+International_Fuel_Surcharge),2),ROUND(((1-'F Intl Con Plus Base'!$D$117)*'F Intl Con Plus Base'!D22)*(1+International_Fuel_Surcharge),2)))*(1+FedEx_Markup),2)</f>
        <v>68.55</v>
      </c>
      <c r="E25" s="307">
        <f>ROUND((IF('F Intl Con Plus Base'!$E$120&gt;ROUND(((1-'F Intl Con Plus Base'!$E$117)*'F Intl Con Plus Base'!E22),2),ROUND('F Intl Con Plus Base'!$E$120*(1+International_Fuel_Surcharge),2),ROUND(((1-'F Intl Con Plus Base'!$E$117)*'F Intl Con Plus Base'!E22)*(1+International_Fuel_Surcharge),2)))*(1+FedEx_Markup),2)</f>
        <v>86.28</v>
      </c>
      <c r="F25" s="307">
        <f>ROUND((IF('F Intl Con Plus Base'!$F$120&gt;ROUND(((1-'F Intl Con Plus Base'!$F$117)*'F Intl Con Plus Base'!F22),2),ROUND('F Intl Con Plus Base'!$F$120*(1+International_Fuel_Surcharge),2),ROUND(((1-'F Intl Con Plus Base'!$F$117)*'F Intl Con Plus Base'!F22)*(1+International_Fuel_Surcharge),2)))*(1+FedEx_Markup),2)</f>
        <v>176.4</v>
      </c>
      <c r="G25" s="307">
        <f>ROUND((IF('F Intl Con Plus Base'!$G$120&gt;ROUND(((1-'F Intl Con Plus Base'!$G$117)*'F Intl Con Plus Base'!G22),2),ROUND('F Intl Con Plus Base'!$G$120*(1+International_Fuel_Surcharge),2),ROUND(((1-'F Intl Con Plus Base'!$G$117)*'F Intl Con Plus Base'!G22)*(1+International_Fuel_Surcharge),2)))*(1+FedEx_Markup),2)</f>
        <v>96.36</v>
      </c>
      <c r="H25" s="307">
        <f>ROUND((IF('F Intl Con Plus Base'!$H$120&gt;ROUND(((1-'F Intl Con Plus Base'!$H$117)*'F Intl Con Plus Base'!H22),2),ROUND('F Intl Con Plus Base'!$H$120*(1+International_Fuel_Surcharge),2),ROUND(((1-'F Intl Con Plus Base'!$H$117)*'F Intl Con Plus Base'!H22)*(1+International_Fuel_Surcharge),2)))*(1+FedEx_Markup),2)</f>
        <v>92.24</v>
      </c>
      <c r="I25" s="307">
        <f>ROUND((IF('F Intl Con Plus Base'!$I$120&gt;ROUND(((1-'F Intl Con Plus Base'!$I$117)*'F Intl Con Plus Base'!I22),2),ROUND('F Intl Con Plus Base'!$I$120*(1+International_Fuel_Surcharge),2),ROUND(((1-'F Intl Con Plus Base'!$I$117)*'F Intl Con Plus Base'!I22)*(1+International_Fuel_Surcharge),2)))*(1+FedEx_Markup),2)</f>
        <v>106.94</v>
      </c>
      <c r="J25" s="307">
        <f>ROUND((IF('F Intl Con Plus Base'!$J$120&gt;ROUND(((1-'F Intl Con Plus Base'!$J$117)*'F Intl Con Plus Base'!J22),2),ROUND('F Intl Con Plus Base'!$J$120*(1+International_Fuel_Surcharge),2),ROUND(((1-'F Intl Con Plus Base'!$J$117)*'F Intl Con Plus Base'!J22)*(1+International_Fuel_Surcharge),2)))*(1+FedEx_Markup),2)</f>
        <v>73.540000000000006</v>
      </c>
      <c r="K25" s="307">
        <f>ROUND((IF('F Intl Con Plus Base'!$K$120&gt;ROUND(((1-'F Intl Con Plus Base'!$K$117)*'F Intl Con Plus Base'!K22),2),ROUND('F Intl Con Plus Base'!$K$120*(1+International_Fuel_Surcharge),2),ROUND(((1-'F Intl Con Plus Base'!$K$117)*'F Intl Con Plus Base'!K22)*(1+International_Fuel_Surcharge),2)))*(1+FedEx_Markup),2)</f>
        <v>126.4</v>
      </c>
      <c r="L25" s="307">
        <f>ROUND((IF('F Intl Con Plus Base'!$L$120&gt;ROUND(((1-'F Intl Con Plus Base'!$L$117)*'F Intl Con Plus Base'!L22),2),ROUND('F Intl Con Plus Base'!$L$120*(1+International_Fuel_Surcharge),2),ROUND(((1-'F Intl Con Plus Base'!$L$117)*'F Intl Con Plus Base'!L22)*(1+International_Fuel_Surcharge),2)))*(1+FedEx_Markup),2)</f>
        <v>120.89</v>
      </c>
      <c r="M25" s="307">
        <f>ROUND((IF('F Intl Con Plus Base'!$M$120&gt;ROUND(((1-'F Intl Con Plus Base'!$M$117)*'F Intl Con Plus Base'!M22),2),ROUND('F Intl Con Plus Base'!$M$120*(1+International_Fuel_Surcharge),2),ROUND(((1-'F Intl Con Plus Base'!$M$117)*'F Intl Con Plus Base'!M22)*(1+International_Fuel_Surcharge),2)))*(1+FedEx_Markup),2)</f>
        <v>183.26</v>
      </c>
      <c r="N25" s="307">
        <f>ROUND((IF('F Intl Con Plus Base'!$N$120&gt;ROUND(((1-'F Intl Con Plus Base'!$N$117)*'F Intl Con Plus Base'!N22),2),ROUND('F Intl Con Plus Base'!$N$120*(1+International_Fuel_Surcharge),2),ROUND(((1-'F Intl Con Plus Base'!$N$117)*'F Intl Con Plus Base'!N22)*(1+International_Fuel_Surcharge),2)))*(1+FedEx_Markup),2)</f>
        <v>169.41</v>
      </c>
      <c r="O25" s="307">
        <f>ROUND((IF('F Intl Con Plus Base'!$O$120&gt;ROUND(((1-'F Intl Con Plus Base'!$O$117)*'F Intl Con Plus Base'!O22),2),ROUND('F Intl Con Plus Base'!$O$120*(1+International_Fuel_Surcharge),2),ROUND(((1-'F Intl Con Plus Base'!$O$117)*'F Intl Con Plus Base'!O22)*(1+International_Fuel_Surcharge),2)))*(1+FedEx_Markup),2)</f>
        <v>119.77</v>
      </c>
      <c r="P25" s="307">
        <f>ROUND((IF('F Intl Con Plus Base'!$P$120&gt;ROUND(((1-'F Intl Con Plus Base'!$P$117)*'F Intl Con Plus Base'!P22),2),ROUND('F Intl Con Plus Base'!$P$120*(1+International_Fuel_Surcharge),2),ROUND(((1-'F Intl Con Plus Base'!$P$117)*'F Intl Con Plus Base'!P22)*(1+International_Fuel_Surcharge),2)))*(1+FedEx_Markup),2)</f>
        <v>124.4</v>
      </c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306">
        <v>21</v>
      </c>
      <c r="B26" s="307">
        <f>ROUND((IF('F Intl Con Plus Base'!$B$120&gt;ROUND(((1-'F Intl Con Plus Base'!$B$117)*'F Intl Con Plus Base'!B23),2),ROUND('F Intl Con Plus Base'!$B$120*(1+International_Fuel_Surcharge),2),ROUND(((1-'F Intl Con Plus Base'!$B$117)*'F Intl Con Plus Base'!B23)*(1+International_Fuel_Surcharge),2)))*(1+FedEx_Markup),2)</f>
        <v>64.650000000000006</v>
      </c>
      <c r="C26" s="307">
        <f>ROUND((IF('F Intl Con Plus Base'!$C$120&gt;ROUND(((1-'F Intl Con Plus Base'!$C$117)*'F Intl Con Plus Base'!C23),2),ROUND('F Intl Con Plus Base'!$C$120*(1+International_Fuel_Surcharge),2),ROUND(((1-'F Intl Con Plus Base'!$C$117)*'F Intl Con Plus Base'!C23)*(1+International_Fuel_Surcharge),2)))*(1+FedEx_Markup),2)</f>
        <v>81.63</v>
      </c>
      <c r="D26" s="307">
        <f>ROUND((IF('F Intl Con Plus Base'!$D$120&gt;ROUND(((1-'F Intl Con Plus Base'!$D$117)*'F Intl Con Plus Base'!D23),2),ROUND('F Intl Con Plus Base'!$D$120*(1+International_Fuel_Surcharge),2),ROUND(((1-'F Intl Con Plus Base'!$D$117)*'F Intl Con Plus Base'!D23)*(1+International_Fuel_Surcharge),2)))*(1+FedEx_Markup),2)</f>
        <v>68.7</v>
      </c>
      <c r="E26" s="307">
        <f>ROUND((IF('F Intl Con Plus Base'!$E$120&gt;ROUND(((1-'F Intl Con Plus Base'!$E$117)*'F Intl Con Plus Base'!E23),2),ROUND('F Intl Con Plus Base'!$E$120*(1+International_Fuel_Surcharge),2),ROUND(((1-'F Intl Con Plus Base'!$E$117)*'F Intl Con Plus Base'!E23)*(1+International_Fuel_Surcharge),2)))*(1+FedEx_Markup),2)</f>
        <v>93.22</v>
      </c>
      <c r="F26" s="307">
        <f>ROUND((IF('F Intl Con Plus Base'!$F$120&gt;ROUND(((1-'F Intl Con Plus Base'!$F$117)*'F Intl Con Plus Base'!F23),2),ROUND('F Intl Con Plus Base'!$F$120*(1+International_Fuel_Surcharge),2),ROUND(((1-'F Intl Con Plus Base'!$F$117)*'F Intl Con Plus Base'!F23)*(1+International_Fuel_Surcharge),2)))*(1+FedEx_Markup),2)</f>
        <v>189.54</v>
      </c>
      <c r="G26" s="307">
        <f>ROUND((IF('F Intl Con Plus Base'!$G$120&gt;ROUND(((1-'F Intl Con Plus Base'!$G$117)*'F Intl Con Plus Base'!G23),2),ROUND('F Intl Con Plus Base'!$G$120*(1+International_Fuel_Surcharge),2),ROUND(((1-'F Intl Con Plus Base'!$G$117)*'F Intl Con Plus Base'!G23)*(1+International_Fuel_Surcharge),2)))*(1+FedEx_Markup),2)</f>
        <v>96.66</v>
      </c>
      <c r="H26" s="307">
        <f>ROUND((IF('F Intl Con Plus Base'!$H$120&gt;ROUND(((1-'F Intl Con Plus Base'!$H$117)*'F Intl Con Plus Base'!H23),2),ROUND('F Intl Con Plus Base'!$H$120*(1+International_Fuel_Surcharge),2),ROUND(((1-'F Intl Con Plus Base'!$H$117)*'F Intl Con Plus Base'!H23)*(1+International_Fuel_Surcharge),2)))*(1+FedEx_Markup),2)</f>
        <v>95.86</v>
      </c>
      <c r="I26" s="307">
        <f>ROUND((IF('F Intl Con Plus Base'!$I$120&gt;ROUND(((1-'F Intl Con Plus Base'!$I$117)*'F Intl Con Plus Base'!I23),2),ROUND('F Intl Con Plus Base'!$I$120*(1+International_Fuel_Surcharge),2),ROUND(((1-'F Intl Con Plus Base'!$I$117)*'F Intl Con Plus Base'!I23)*(1+International_Fuel_Surcharge),2)))*(1+FedEx_Markup),2)</f>
        <v>108.58</v>
      </c>
      <c r="J26" s="307">
        <f>ROUND((IF('F Intl Con Plus Base'!$J$120&gt;ROUND(((1-'F Intl Con Plus Base'!$J$117)*'F Intl Con Plus Base'!J23),2),ROUND('F Intl Con Plus Base'!$J$120*(1+International_Fuel_Surcharge),2),ROUND(((1-'F Intl Con Plus Base'!$J$117)*'F Intl Con Plus Base'!J23)*(1+International_Fuel_Surcharge),2)))*(1+FedEx_Markup),2)</f>
        <v>78.760000000000005</v>
      </c>
      <c r="K26" s="307">
        <f>ROUND((IF('F Intl Con Plus Base'!$K$120&gt;ROUND(((1-'F Intl Con Plus Base'!$K$117)*'F Intl Con Plus Base'!K23),2),ROUND('F Intl Con Plus Base'!$K$120*(1+International_Fuel_Surcharge),2),ROUND(((1-'F Intl Con Plus Base'!$K$117)*'F Intl Con Plus Base'!K23)*(1+International_Fuel_Surcharge),2)))*(1+FedEx_Markup),2)</f>
        <v>138.33000000000001</v>
      </c>
      <c r="L26" s="307">
        <f>ROUND((IF('F Intl Con Plus Base'!$L$120&gt;ROUND(((1-'F Intl Con Plus Base'!$L$117)*'F Intl Con Plus Base'!L23),2),ROUND('F Intl Con Plus Base'!$L$120*(1+International_Fuel_Surcharge),2),ROUND(((1-'F Intl Con Plus Base'!$L$117)*'F Intl Con Plus Base'!L23)*(1+International_Fuel_Surcharge),2)))*(1+FedEx_Markup),2)</f>
        <v>125.74</v>
      </c>
      <c r="M26" s="307">
        <f>ROUND((IF('F Intl Con Plus Base'!$M$120&gt;ROUND(((1-'F Intl Con Plus Base'!$M$117)*'F Intl Con Plus Base'!M23),2),ROUND('F Intl Con Plus Base'!$M$120*(1+International_Fuel_Surcharge),2),ROUND(((1-'F Intl Con Plus Base'!$M$117)*'F Intl Con Plus Base'!M23)*(1+International_Fuel_Surcharge),2)))*(1+FedEx_Markup),2)</f>
        <v>191.14</v>
      </c>
      <c r="N26" s="307">
        <f>ROUND((IF('F Intl Con Plus Base'!$N$120&gt;ROUND(((1-'F Intl Con Plus Base'!$N$117)*'F Intl Con Plus Base'!N23),2),ROUND('F Intl Con Plus Base'!$N$120*(1+International_Fuel_Surcharge),2),ROUND(((1-'F Intl Con Plus Base'!$N$117)*'F Intl Con Plus Base'!N23)*(1+International_Fuel_Surcharge),2)))*(1+FedEx_Markup),2)</f>
        <v>180.58</v>
      </c>
      <c r="O26" s="307">
        <f>ROUND((IF('F Intl Con Plus Base'!$O$120&gt;ROUND(((1-'F Intl Con Plus Base'!$O$117)*'F Intl Con Plus Base'!O23),2),ROUND('F Intl Con Plus Base'!$O$120*(1+International_Fuel_Surcharge),2),ROUND(((1-'F Intl Con Plus Base'!$O$117)*'F Intl Con Plus Base'!O23)*(1+International_Fuel_Surcharge),2)))*(1+FedEx_Markup),2)</f>
        <v>122.33</v>
      </c>
      <c r="P26" s="307">
        <f>ROUND((IF('F Intl Con Plus Base'!$P$120&gt;ROUND(((1-'F Intl Con Plus Base'!$P$117)*'F Intl Con Plus Base'!P23),2),ROUND('F Intl Con Plus Base'!$P$120*(1+International_Fuel_Surcharge),2),ROUND(((1-'F Intl Con Plus Base'!$P$117)*'F Intl Con Plus Base'!P23)*(1+International_Fuel_Surcharge),2)))*(1+FedEx_Markup),2)</f>
        <v>125.19</v>
      </c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306">
        <v>22</v>
      </c>
      <c r="B27" s="307">
        <f>ROUND((IF('F Intl Con Plus Base'!$B$120&gt;ROUND(((1-'F Intl Con Plus Base'!$B$117)*'F Intl Con Plus Base'!B24),2),ROUND('F Intl Con Plus Base'!$B$120*(1+International_Fuel_Surcharge),2),ROUND(((1-'F Intl Con Plus Base'!$B$117)*'F Intl Con Plus Base'!B24)*(1+International_Fuel_Surcharge),2)))*(1+FedEx_Markup),2)</f>
        <v>65.38</v>
      </c>
      <c r="C27" s="307">
        <f>ROUND((IF('F Intl Con Plus Base'!$C$120&gt;ROUND(((1-'F Intl Con Plus Base'!$C$117)*'F Intl Con Plus Base'!C24),2),ROUND('F Intl Con Plus Base'!$C$120*(1+International_Fuel_Surcharge),2),ROUND(((1-'F Intl Con Plus Base'!$C$117)*'F Intl Con Plus Base'!C24)*(1+International_Fuel_Surcharge),2)))*(1+FedEx_Markup),2)</f>
        <v>82.59</v>
      </c>
      <c r="D27" s="307">
        <f>ROUND((IF('F Intl Con Plus Base'!$D$120&gt;ROUND(((1-'F Intl Con Plus Base'!$D$117)*'F Intl Con Plus Base'!D24),2),ROUND('F Intl Con Plus Base'!$D$120*(1+International_Fuel_Surcharge),2),ROUND(((1-'F Intl Con Plus Base'!$D$117)*'F Intl Con Plus Base'!D24)*(1+International_Fuel_Surcharge),2)))*(1+FedEx_Markup),2)</f>
        <v>68.989999999999995</v>
      </c>
      <c r="E27" s="307">
        <f>ROUND((IF('F Intl Con Plus Base'!$E$120&gt;ROUND(((1-'F Intl Con Plus Base'!$E$117)*'F Intl Con Plus Base'!E24),2),ROUND('F Intl Con Plus Base'!$E$120*(1+International_Fuel_Surcharge),2),ROUND(((1-'F Intl Con Plus Base'!$E$117)*'F Intl Con Plus Base'!E24)*(1+International_Fuel_Surcharge),2)))*(1+FedEx_Markup),2)</f>
        <v>93.91</v>
      </c>
      <c r="F27" s="307">
        <f>ROUND((IF('F Intl Con Plus Base'!$F$120&gt;ROUND(((1-'F Intl Con Plus Base'!$F$117)*'F Intl Con Plus Base'!F24),2),ROUND('F Intl Con Plus Base'!$F$120*(1+International_Fuel_Surcharge),2),ROUND(((1-'F Intl Con Plus Base'!$F$117)*'F Intl Con Plus Base'!F24)*(1+International_Fuel_Surcharge),2)))*(1+FedEx_Markup),2)</f>
        <v>193.32</v>
      </c>
      <c r="G27" s="307">
        <f>ROUND((IF('F Intl Con Plus Base'!$G$120&gt;ROUND(((1-'F Intl Con Plus Base'!$G$117)*'F Intl Con Plus Base'!G24),2),ROUND('F Intl Con Plus Base'!$G$120*(1+International_Fuel_Surcharge),2),ROUND(((1-'F Intl Con Plus Base'!$G$117)*'F Intl Con Plus Base'!G24)*(1+International_Fuel_Surcharge),2)))*(1+FedEx_Markup),2)</f>
        <v>96.73</v>
      </c>
      <c r="H27" s="307">
        <f>ROUND((IF('F Intl Con Plus Base'!$H$120&gt;ROUND(((1-'F Intl Con Plus Base'!$H$117)*'F Intl Con Plus Base'!H24),2),ROUND('F Intl Con Plus Base'!$H$120*(1+International_Fuel_Surcharge),2),ROUND(((1-'F Intl Con Plus Base'!$H$117)*'F Intl Con Plus Base'!H24)*(1+International_Fuel_Surcharge),2)))*(1+FedEx_Markup),2)</f>
        <v>100.27</v>
      </c>
      <c r="I27" s="307">
        <f>ROUND((IF('F Intl Con Plus Base'!$I$120&gt;ROUND(((1-'F Intl Con Plus Base'!$I$117)*'F Intl Con Plus Base'!I24),2),ROUND('F Intl Con Plus Base'!$I$120*(1+International_Fuel_Surcharge),2),ROUND(((1-'F Intl Con Plus Base'!$I$117)*'F Intl Con Plus Base'!I24)*(1+International_Fuel_Surcharge),2)))*(1+FedEx_Markup),2)</f>
        <v>108.76</v>
      </c>
      <c r="J27" s="307">
        <f>ROUND((IF('F Intl Con Plus Base'!$J$120&gt;ROUND(((1-'F Intl Con Plus Base'!$J$117)*'F Intl Con Plus Base'!J24),2),ROUND('F Intl Con Plus Base'!$J$120*(1+International_Fuel_Surcharge),2),ROUND(((1-'F Intl Con Plus Base'!$J$117)*'F Intl Con Plus Base'!J24)*(1+International_Fuel_Surcharge),2)))*(1+FedEx_Markup),2)</f>
        <v>83.1</v>
      </c>
      <c r="K27" s="307">
        <f>ROUND((IF('F Intl Con Plus Base'!$K$120&gt;ROUND(((1-'F Intl Con Plus Base'!$K$117)*'F Intl Con Plus Base'!K24),2),ROUND('F Intl Con Plus Base'!$K$120*(1+International_Fuel_Surcharge),2),ROUND(((1-'F Intl Con Plus Base'!$K$117)*'F Intl Con Plus Base'!K24)*(1+International_Fuel_Surcharge),2)))*(1+FedEx_Markup),2)</f>
        <v>139.54</v>
      </c>
      <c r="L27" s="307">
        <f>ROUND((IF('F Intl Con Plus Base'!$L$120&gt;ROUND(((1-'F Intl Con Plus Base'!$L$117)*'F Intl Con Plus Base'!L24),2),ROUND('F Intl Con Plus Base'!$L$120*(1+International_Fuel_Surcharge),2),ROUND(((1-'F Intl Con Plus Base'!$L$117)*'F Intl Con Plus Base'!L24)*(1+International_Fuel_Surcharge),2)))*(1+FedEx_Markup),2)</f>
        <v>126.25</v>
      </c>
      <c r="M27" s="307">
        <f>ROUND((IF('F Intl Con Plus Base'!$M$120&gt;ROUND(((1-'F Intl Con Plus Base'!$M$117)*'F Intl Con Plus Base'!M24),2),ROUND('F Intl Con Plus Base'!$M$120*(1+International_Fuel_Surcharge),2),ROUND(((1-'F Intl Con Plus Base'!$M$117)*'F Intl Con Plus Base'!M24)*(1+International_Fuel_Surcharge),2)))*(1+FedEx_Markup),2)</f>
        <v>197</v>
      </c>
      <c r="N27" s="307">
        <f>ROUND((IF('F Intl Con Plus Base'!$N$120&gt;ROUND(((1-'F Intl Con Plus Base'!$N$117)*'F Intl Con Plus Base'!N24),2),ROUND('F Intl Con Plus Base'!$N$120*(1+International_Fuel_Surcharge),2),ROUND(((1-'F Intl Con Plus Base'!$N$117)*'F Intl Con Plus Base'!N24)*(1+International_Fuel_Surcharge),2)))*(1+FedEx_Markup),2)</f>
        <v>181.71</v>
      </c>
      <c r="O27" s="307">
        <f>ROUND((IF('F Intl Con Plus Base'!$O$120&gt;ROUND(((1-'F Intl Con Plus Base'!$O$117)*'F Intl Con Plus Base'!O24),2),ROUND('F Intl Con Plus Base'!$O$120*(1+International_Fuel_Surcharge),2),ROUND(((1-'F Intl Con Plus Base'!$O$117)*'F Intl Con Plus Base'!O24)*(1+International_Fuel_Surcharge),2)))*(1+FedEx_Markup),2)</f>
        <v>122.73</v>
      </c>
      <c r="P27" s="307">
        <f>ROUND((IF('F Intl Con Plus Base'!$P$120&gt;ROUND(((1-'F Intl Con Plus Base'!$P$117)*'F Intl Con Plus Base'!P24),2),ROUND('F Intl Con Plus Base'!$P$120*(1+International_Fuel_Surcharge),2),ROUND(((1-'F Intl Con Plus Base'!$P$117)*'F Intl Con Plus Base'!P24)*(1+International_Fuel_Surcharge),2)))*(1+FedEx_Markup),2)</f>
        <v>125.27</v>
      </c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306">
        <v>23</v>
      </c>
      <c r="B28" s="307">
        <f>ROUND((IF('F Intl Con Plus Base'!$B$120&gt;ROUND(((1-'F Intl Con Plus Base'!$B$117)*'F Intl Con Plus Base'!B25),2),ROUND('F Intl Con Plus Base'!$B$120*(1+International_Fuel_Surcharge),2),ROUND(((1-'F Intl Con Plus Base'!$B$117)*'F Intl Con Plus Base'!B25)*(1+International_Fuel_Surcharge),2)))*(1+FedEx_Markup),2)</f>
        <v>67.650000000000006</v>
      </c>
      <c r="C28" s="307">
        <f>ROUND((IF('F Intl Con Plus Base'!$C$120&gt;ROUND(((1-'F Intl Con Plus Base'!$C$117)*'F Intl Con Plus Base'!C25),2),ROUND('F Intl Con Plus Base'!$C$120*(1+International_Fuel_Surcharge),2),ROUND(((1-'F Intl Con Plus Base'!$C$117)*'F Intl Con Plus Base'!C25)*(1+International_Fuel_Surcharge),2)))*(1+FedEx_Markup),2)</f>
        <v>82.71</v>
      </c>
      <c r="D28" s="307">
        <f>ROUND((IF('F Intl Con Plus Base'!$D$120&gt;ROUND(((1-'F Intl Con Plus Base'!$D$117)*'F Intl Con Plus Base'!D25),2),ROUND('F Intl Con Plus Base'!$D$120*(1+International_Fuel_Surcharge),2),ROUND(((1-'F Intl Con Plus Base'!$D$117)*'F Intl Con Plus Base'!D25)*(1+International_Fuel_Surcharge),2)))*(1+FedEx_Markup),2)</f>
        <v>74.760000000000005</v>
      </c>
      <c r="E28" s="307">
        <f>ROUND((IF('F Intl Con Plus Base'!$E$120&gt;ROUND(((1-'F Intl Con Plus Base'!$E$117)*'F Intl Con Plus Base'!E25),2),ROUND('F Intl Con Plus Base'!$E$120*(1+International_Fuel_Surcharge),2),ROUND(((1-'F Intl Con Plus Base'!$E$117)*'F Intl Con Plus Base'!E25)*(1+International_Fuel_Surcharge),2)))*(1+FedEx_Markup),2)</f>
        <v>93.98</v>
      </c>
      <c r="F28" s="307">
        <f>ROUND((IF('F Intl Con Plus Base'!$F$120&gt;ROUND(((1-'F Intl Con Plus Base'!$F$117)*'F Intl Con Plus Base'!F25),2),ROUND('F Intl Con Plus Base'!$F$120*(1+International_Fuel_Surcharge),2),ROUND(((1-'F Intl Con Plus Base'!$F$117)*'F Intl Con Plus Base'!F25)*(1+International_Fuel_Surcharge),2)))*(1+FedEx_Markup),2)</f>
        <v>193.71</v>
      </c>
      <c r="G28" s="307">
        <f>ROUND((IF('F Intl Con Plus Base'!$G$120&gt;ROUND(((1-'F Intl Con Plus Base'!$G$117)*'F Intl Con Plus Base'!G25),2),ROUND('F Intl Con Plus Base'!$G$120*(1+International_Fuel_Surcharge),2),ROUND(((1-'F Intl Con Plus Base'!$G$117)*'F Intl Con Plus Base'!G25)*(1+International_Fuel_Surcharge),2)))*(1+FedEx_Markup),2)</f>
        <v>96.78</v>
      </c>
      <c r="H28" s="307">
        <f>ROUND((IF('F Intl Con Plus Base'!$H$120&gt;ROUND(((1-'F Intl Con Plus Base'!$H$117)*'F Intl Con Plus Base'!H25),2),ROUND('F Intl Con Plus Base'!$H$120*(1+International_Fuel_Surcharge),2),ROUND(((1-'F Intl Con Plus Base'!$H$117)*'F Intl Con Plus Base'!H25)*(1+International_Fuel_Surcharge),2)))*(1+FedEx_Markup),2)</f>
        <v>100.71</v>
      </c>
      <c r="I28" s="307">
        <f>ROUND((IF('F Intl Con Plus Base'!$I$120&gt;ROUND(((1-'F Intl Con Plus Base'!$I$117)*'F Intl Con Plus Base'!I25),2),ROUND('F Intl Con Plus Base'!$I$120*(1+International_Fuel_Surcharge),2),ROUND(((1-'F Intl Con Plus Base'!$I$117)*'F Intl Con Plus Base'!I25)*(1+International_Fuel_Surcharge),2)))*(1+FedEx_Markup),2)</f>
        <v>108.81</v>
      </c>
      <c r="J28" s="307">
        <f>ROUND((IF('F Intl Con Plus Base'!$J$120&gt;ROUND(((1-'F Intl Con Plus Base'!$J$117)*'F Intl Con Plus Base'!J25),2),ROUND('F Intl Con Plus Base'!$J$120*(1+International_Fuel_Surcharge),2),ROUND(((1-'F Intl Con Plus Base'!$J$117)*'F Intl Con Plus Base'!J25)*(1+International_Fuel_Surcharge),2)))*(1+FedEx_Markup),2)</f>
        <v>83.54</v>
      </c>
      <c r="K28" s="307">
        <f>ROUND((IF('F Intl Con Plus Base'!$K$120&gt;ROUND(((1-'F Intl Con Plus Base'!$K$117)*'F Intl Con Plus Base'!K25),2),ROUND('F Intl Con Plus Base'!$K$120*(1+International_Fuel_Surcharge),2),ROUND(((1-'F Intl Con Plus Base'!$K$117)*'F Intl Con Plus Base'!K25)*(1+International_Fuel_Surcharge),2)))*(1+FedEx_Markup),2)</f>
        <v>139.66999999999999</v>
      </c>
      <c r="L28" s="307">
        <f>ROUND((IF('F Intl Con Plus Base'!$L$120&gt;ROUND(((1-'F Intl Con Plus Base'!$L$117)*'F Intl Con Plus Base'!L25),2),ROUND('F Intl Con Plus Base'!$L$120*(1+International_Fuel_Surcharge),2),ROUND(((1-'F Intl Con Plus Base'!$L$117)*'F Intl Con Plus Base'!L25)*(1+International_Fuel_Surcharge),2)))*(1+FedEx_Markup),2)</f>
        <v>126.3</v>
      </c>
      <c r="M28" s="307">
        <f>ROUND((IF('F Intl Con Plus Base'!$M$120&gt;ROUND(((1-'F Intl Con Plus Base'!$M$117)*'F Intl Con Plus Base'!M25),2),ROUND('F Intl Con Plus Base'!$M$120*(1+International_Fuel_Surcharge),2),ROUND(((1-'F Intl Con Plus Base'!$M$117)*'F Intl Con Plus Base'!M25)*(1+International_Fuel_Surcharge),2)))*(1+FedEx_Markup),2)</f>
        <v>197.59</v>
      </c>
      <c r="N28" s="307">
        <f>ROUND((IF('F Intl Con Plus Base'!$N$120&gt;ROUND(((1-'F Intl Con Plus Base'!$N$117)*'F Intl Con Plus Base'!N25),2),ROUND('F Intl Con Plus Base'!$N$120*(1+International_Fuel_Surcharge),2),ROUND(((1-'F Intl Con Plus Base'!$N$117)*'F Intl Con Plus Base'!N25)*(1+International_Fuel_Surcharge),2)))*(1+FedEx_Markup),2)</f>
        <v>181.83</v>
      </c>
      <c r="O28" s="307">
        <f>ROUND((IF('F Intl Con Plus Base'!$O$120&gt;ROUND(((1-'F Intl Con Plus Base'!$O$117)*'F Intl Con Plus Base'!O25),2),ROUND('F Intl Con Plus Base'!$O$120*(1+International_Fuel_Surcharge),2),ROUND(((1-'F Intl Con Plus Base'!$O$117)*'F Intl Con Plus Base'!O25)*(1+International_Fuel_Surcharge),2)))*(1+FedEx_Markup),2)</f>
        <v>122.79</v>
      </c>
      <c r="P28" s="307">
        <f>ROUND((IF('F Intl Con Plus Base'!$P$120&gt;ROUND(((1-'F Intl Con Plus Base'!$P$117)*'F Intl Con Plus Base'!P25),2),ROUND('F Intl Con Plus Base'!$P$120*(1+International_Fuel_Surcharge),2),ROUND(((1-'F Intl Con Plus Base'!$P$117)*'F Intl Con Plus Base'!P25)*(1+International_Fuel_Surcharge),2)))*(1+FedEx_Markup),2)</f>
        <v>125.33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306">
        <v>24</v>
      </c>
      <c r="B29" s="307">
        <f>ROUND((IF('F Intl Con Plus Base'!$B$120&gt;ROUND(((1-'F Intl Con Plus Base'!$B$117)*'F Intl Con Plus Base'!B26),2),ROUND('F Intl Con Plus Base'!$B$120*(1+International_Fuel_Surcharge),2),ROUND(((1-'F Intl Con Plus Base'!$B$117)*'F Intl Con Plus Base'!B26)*(1+International_Fuel_Surcharge),2)))*(1+FedEx_Markup),2)</f>
        <v>69.900000000000006</v>
      </c>
      <c r="C29" s="307">
        <f>ROUND((IF('F Intl Con Plus Base'!$C$120&gt;ROUND(((1-'F Intl Con Plus Base'!$C$117)*'F Intl Con Plus Base'!C26),2),ROUND('F Intl Con Plus Base'!$C$120*(1+International_Fuel_Surcharge),2),ROUND(((1-'F Intl Con Plus Base'!$C$117)*'F Intl Con Plus Base'!C26)*(1+International_Fuel_Surcharge),2)))*(1+FedEx_Markup),2)</f>
        <v>82.78</v>
      </c>
      <c r="D29" s="307">
        <f>ROUND((IF('F Intl Con Plus Base'!$D$120&gt;ROUND(((1-'F Intl Con Plus Base'!$D$117)*'F Intl Con Plus Base'!D26),2),ROUND('F Intl Con Plus Base'!$D$120*(1+International_Fuel_Surcharge),2),ROUND(((1-'F Intl Con Plus Base'!$D$117)*'F Intl Con Plus Base'!D26)*(1+International_Fuel_Surcharge),2)))*(1+FedEx_Markup),2)</f>
        <v>77.31</v>
      </c>
      <c r="E29" s="307">
        <f>ROUND((IF('F Intl Con Plus Base'!$E$120&gt;ROUND(((1-'F Intl Con Plus Base'!$E$117)*'F Intl Con Plus Base'!E26),2),ROUND('F Intl Con Plus Base'!$E$120*(1+International_Fuel_Surcharge),2),ROUND(((1-'F Intl Con Plus Base'!$E$117)*'F Intl Con Plus Base'!E26)*(1+International_Fuel_Surcharge),2)))*(1+FedEx_Markup),2)</f>
        <v>94.07</v>
      </c>
      <c r="F29" s="307">
        <f>ROUND((IF('F Intl Con Plus Base'!$F$120&gt;ROUND(((1-'F Intl Con Plus Base'!$F$117)*'F Intl Con Plus Base'!F26),2),ROUND('F Intl Con Plus Base'!$F$120*(1+International_Fuel_Surcharge),2),ROUND(((1-'F Intl Con Plus Base'!$F$117)*'F Intl Con Plus Base'!F26)*(1+International_Fuel_Surcharge),2)))*(1+FedEx_Markup),2)</f>
        <v>193.82</v>
      </c>
      <c r="G29" s="307">
        <f>ROUND((IF('F Intl Con Plus Base'!$G$120&gt;ROUND(((1-'F Intl Con Plus Base'!$G$117)*'F Intl Con Plus Base'!G26),2),ROUND('F Intl Con Plus Base'!$G$120*(1+International_Fuel_Surcharge),2),ROUND(((1-'F Intl Con Plus Base'!$G$117)*'F Intl Con Plus Base'!G26)*(1+International_Fuel_Surcharge),2)))*(1+FedEx_Markup),2)</f>
        <v>96.86</v>
      </c>
      <c r="H29" s="307">
        <f>ROUND((IF('F Intl Con Plus Base'!$H$120&gt;ROUND(((1-'F Intl Con Plus Base'!$H$117)*'F Intl Con Plus Base'!H26),2),ROUND('F Intl Con Plus Base'!$H$120*(1+International_Fuel_Surcharge),2),ROUND(((1-'F Intl Con Plus Base'!$H$117)*'F Intl Con Plus Base'!H26)*(1+International_Fuel_Surcharge),2)))*(1+FedEx_Markup),2)</f>
        <v>100.79</v>
      </c>
      <c r="I29" s="307">
        <f>ROUND((IF('F Intl Con Plus Base'!$I$120&gt;ROUND(((1-'F Intl Con Plus Base'!$I$117)*'F Intl Con Plus Base'!I26),2),ROUND('F Intl Con Plus Base'!$I$120*(1+International_Fuel_Surcharge),2),ROUND(((1-'F Intl Con Plus Base'!$I$117)*'F Intl Con Plus Base'!I26)*(1+International_Fuel_Surcharge),2)))*(1+FedEx_Markup),2)</f>
        <v>108.93</v>
      </c>
      <c r="J29" s="307">
        <f>ROUND((IF('F Intl Con Plus Base'!$J$120&gt;ROUND(((1-'F Intl Con Plus Base'!$J$117)*'F Intl Con Plus Base'!J26),2),ROUND('F Intl Con Plus Base'!$J$120*(1+International_Fuel_Surcharge),2),ROUND(((1-'F Intl Con Plus Base'!$J$117)*'F Intl Con Plus Base'!J26)*(1+International_Fuel_Surcharge),2)))*(1+FedEx_Markup),2)</f>
        <v>83.77</v>
      </c>
      <c r="K29" s="307">
        <f>ROUND((IF('F Intl Con Plus Base'!$K$120&gt;ROUND(((1-'F Intl Con Plus Base'!$K$117)*'F Intl Con Plus Base'!K26),2),ROUND('F Intl Con Plus Base'!$K$120*(1+International_Fuel_Surcharge),2),ROUND(((1-'F Intl Con Plus Base'!$K$117)*'F Intl Con Plus Base'!K26)*(1+International_Fuel_Surcharge),2)))*(1+FedEx_Markup),2)</f>
        <v>139.79</v>
      </c>
      <c r="L29" s="307">
        <f>ROUND((IF('F Intl Con Plus Base'!$L$120&gt;ROUND(((1-'F Intl Con Plus Base'!$L$117)*'F Intl Con Plus Base'!L26),2),ROUND('F Intl Con Plus Base'!$L$120*(1+International_Fuel_Surcharge),2),ROUND(((1-'F Intl Con Plus Base'!$L$117)*'F Intl Con Plus Base'!L26)*(1+International_Fuel_Surcharge),2)))*(1+FedEx_Markup),2)</f>
        <v>126.4</v>
      </c>
      <c r="M29" s="307">
        <f>ROUND((IF('F Intl Con Plus Base'!$M$120&gt;ROUND(((1-'F Intl Con Plus Base'!$M$117)*'F Intl Con Plus Base'!M26),2),ROUND('F Intl Con Plus Base'!$M$120*(1+International_Fuel_Surcharge),2),ROUND(((1-'F Intl Con Plus Base'!$M$117)*'F Intl Con Plus Base'!M26)*(1+International_Fuel_Surcharge),2)))*(1+FedEx_Markup),2)</f>
        <v>202.39</v>
      </c>
      <c r="N29" s="307">
        <f>ROUND((IF('F Intl Con Plus Base'!$N$120&gt;ROUND(((1-'F Intl Con Plus Base'!$N$117)*'F Intl Con Plus Base'!N26),2),ROUND('F Intl Con Plus Base'!$N$120*(1+International_Fuel_Surcharge),2),ROUND(((1-'F Intl Con Plus Base'!$N$117)*'F Intl Con Plus Base'!N26)*(1+International_Fuel_Surcharge),2)))*(1+FedEx_Markup),2)</f>
        <v>181.91</v>
      </c>
      <c r="O29" s="307">
        <f>ROUND((IF('F Intl Con Plus Base'!$O$120&gt;ROUND(((1-'F Intl Con Plus Base'!$O$117)*'F Intl Con Plus Base'!O26),2),ROUND('F Intl Con Plus Base'!$O$120*(1+International_Fuel_Surcharge),2),ROUND(((1-'F Intl Con Plus Base'!$O$117)*'F Intl Con Plus Base'!O26)*(1+International_Fuel_Surcharge),2)))*(1+FedEx_Markup),2)</f>
        <v>122.9</v>
      </c>
      <c r="P29" s="307">
        <f>ROUND((IF('F Intl Con Plus Base'!$P$120&gt;ROUND(((1-'F Intl Con Plus Base'!$P$117)*'F Intl Con Plus Base'!P26),2),ROUND('F Intl Con Plus Base'!$P$120*(1+International_Fuel_Surcharge),2),ROUND(((1-'F Intl Con Plus Base'!$P$117)*'F Intl Con Plus Base'!P26)*(1+International_Fuel_Surcharge),2)))*(1+FedEx_Markup),2)</f>
        <v>125.42</v>
      </c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306">
        <v>25</v>
      </c>
      <c r="B30" s="307">
        <f>ROUND((IF('F Intl Con Plus Base'!$B$120&gt;ROUND(((1-'F Intl Con Plus Base'!$B$117)*'F Intl Con Plus Base'!B27),2),ROUND('F Intl Con Plus Base'!$B$120*(1+International_Fuel_Surcharge),2),ROUND(((1-'F Intl Con Plus Base'!$B$117)*'F Intl Con Plus Base'!B27)*(1+International_Fuel_Surcharge),2)))*(1+FedEx_Markup),2)</f>
        <v>70.78</v>
      </c>
      <c r="C30" s="307">
        <f>ROUND((IF('F Intl Con Plus Base'!$C$120&gt;ROUND(((1-'F Intl Con Plus Base'!$C$117)*'F Intl Con Plus Base'!C27),2),ROUND('F Intl Con Plus Base'!$C$120*(1+International_Fuel_Surcharge),2),ROUND(((1-'F Intl Con Plus Base'!$C$117)*'F Intl Con Plus Base'!C27)*(1+International_Fuel_Surcharge),2)))*(1+FedEx_Markup),2)</f>
        <v>83.9</v>
      </c>
      <c r="D30" s="307">
        <f>ROUND((IF('F Intl Con Plus Base'!$D$120&gt;ROUND(((1-'F Intl Con Plus Base'!$D$117)*'F Intl Con Plus Base'!D27),2),ROUND('F Intl Con Plus Base'!$D$120*(1+International_Fuel_Surcharge),2),ROUND(((1-'F Intl Con Plus Base'!$D$117)*'F Intl Con Plus Base'!D27)*(1+International_Fuel_Surcharge),2)))*(1+FedEx_Markup),2)</f>
        <v>77.569999999999993</v>
      </c>
      <c r="E30" s="307">
        <f>ROUND((IF('F Intl Con Plus Base'!$E$120&gt;ROUND(((1-'F Intl Con Plus Base'!$E$117)*'F Intl Con Plus Base'!E27),2),ROUND('F Intl Con Plus Base'!$E$120*(1+International_Fuel_Surcharge),2),ROUND(((1-'F Intl Con Plus Base'!$E$117)*'F Intl Con Plus Base'!E27)*(1+International_Fuel_Surcharge),2)))*(1+FedEx_Markup),2)</f>
        <v>95.7</v>
      </c>
      <c r="F30" s="307">
        <f>ROUND((IF('F Intl Con Plus Base'!$F$120&gt;ROUND(((1-'F Intl Con Plus Base'!$F$117)*'F Intl Con Plus Base'!F27),2),ROUND('F Intl Con Plus Base'!$F$120*(1+International_Fuel_Surcharge),2),ROUND(((1-'F Intl Con Plus Base'!$F$117)*'F Intl Con Plus Base'!F27)*(1+International_Fuel_Surcharge),2)))*(1+FedEx_Markup),2)</f>
        <v>195.89</v>
      </c>
      <c r="G30" s="307">
        <f>ROUND((IF('F Intl Con Plus Base'!$G$120&gt;ROUND(((1-'F Intl Con Plus Base'!$G$117)*'F Intl Con Plus Base'!G27),2),ROUND('F Intl Con Plus Base'!$G$120*(1+International_Fuel_Surcharge),2),ROUND(((1-'F Intl Con Plus Base'!$G$117)*'F Intl Con Plus Base'!G27)*(1+International_Fuel_Surcharge),2)))*(1+FedEx_Markup),2)</f>
        <v>98.35</v>
      </c>
      <c r="H30" s="307">
        <f>ROUND((IF('F Intl Con Plus Base'!$H$120&gt;ROUND(((1-'F Intl Con Plus Base'!$H$117)*'F Intl Con Plus Base'!H27),2),ROUND('F Intl Con Plus Base'!$H$120*(1+International_Fuel_Surcharge),2),ROUND(((1-'F Intl Con Plus Base'!$H$117)*'F Intl Con Plus Base'!H27)*(1+International_Fuel_Surcharge),2)))*(1+FedEx_Markup),2)</f>
        <v>102.15</v>
      </c>
      <c r="I30" s="307">
        <f>ROUND((IF('F Intl Con Plus Base'!$I$120&gt;ROUND(((1-'F Intl Con Plus Base'!$I$117)*'F Intl Con Plus Base'!I27),2),ROUND('F Intl Con Plus Base'!$I$120*(1+International_Fuel_Surcharge),2),ROUND(((1-'F Intl Con Plus Base'!$I$117)*'F Intl Con Plus Base'!I27)*(1+International_Fuel_Surcharge),2)))*(1+FedEx_Markup),2)</f>
        <v>111.11</v>
      </c>
      <c r="J30" s="307">
        <f>ROUND((IF('F Intl Con Plus Base'!$J$120&gt;ROUND(((1-'F Intl Con Plus Base'!$J$117)*'F Intl Con Plus Base'!J27),2),ROUND('F Intl Con Plus Base'!$J$120*(1+International_Fuel_Surcharge),2),ROUND(((1-'F Intl Con Plus Base'!$J$117)*'F Intl Con Plus Base'!J27)*(1+International_Fuel_Surcharge),2)))*(1+FedEx_Markup),2)</f>
        <v>84.27</v>
      </c>
      <c r="K30" s="307">
        <f>ROUND((IF('F Intl Con Plus Base'!$K$120&gt;ROUND(((1-'F Intl Con Plus Base'!$K$117)*'F Intl Con Plus Base'!K27),2),ROUND('F Intl Con Plus Base'!$K$120*(1+International_Fuel_Surcharge),2),ROUND(((1-'F Intl Con Plus Base'!$K$117)*'F Intl Con Plus Base'!K27)*(1+International_Fuel_Surcharge),2)))*(1+FedEx_Markup),2)</f>
        <v>142.35</v>
      </c>
      <c r="L30" s="307">
        <f>ROUND((IF('F Intl Con Plus Base'!$L$120&gt;ROUND(((1-'F Intl Con Plus Base'!$L$117)*'F Intl Con Plus Base'!L27),2),ROUND('F Intl Con Plus Base'!$L$120*(1+International_Fuel_Surcharge),2),ROUND(((1-'F Intl Con Plus Base'!$L$117)*'F Intl Con Plus Base'!L27)*(1+International_Fuel_Surcharge),2)))*(1+FedEx_Markup),2)</f>
        <v>128.05000000000001</v>
      </c>
      <c r="M30" s="307">
        <f>ROUND((IF('F Intl Con Plus Base'!$M$120&gt;ROUND(((1-'F Intl Con Plus Base'!$M$117)*'F Intl Con Plus Base'!M27),2),ROUND('F Intl Con Plus Base'!$M$120*(1+International_Fuel_Surcharge),2),ROUND(((1-'F Intl Con Plus Base'!$M$117)*'F Intl Con Plus Base'!M27)*(1+International_Fuel_Surcharge),2)))*(1+FedEx_Markup),2)</f>
        <v>204.56</v>
      </c>
      <c r="N30" s="307">
        <f>ROUND((IF('F Intl Con Plus Base'!$N$120&gt;ROUND(((1-'F Intl Con Plus Base'!$N$117)*'F Intl Con Plus Base'!N27),2),ROUND('F Intl Con Plus Base'!$N$120*(1+International_Fuel_Surcharge),2),ROUND(((1-'F Intl Con Plus Base'!$N$117)*'F Intl Con Plus Base'!N27)*(1+International_Fuel_Surcharge),2)))*(1+FedEx_Markup),2)</f>
        <v>183.44</v>
      </c>
      <c r="O30" s="307">
        <f>ROUND((IF('F Intl Con Plus Base'!$O$120&gt;ROUND(((1-'F Intl Con Plus Base'!$O$117)*'F Intl Con Plus Base'!O27),2),ROUND('F Intl Con Plus Base'!$O$120*(1+International_Fuel_Surcharge),2),ROUND(((1-'F Intl Con Plus Base'!$O$117)*'F Intl Con Plus Base'!O27)*(1+International_Fuel_Surcharge),2)))*(1+FedEx_Markup),2)</f>
        <v>125.1</v>
      </c>
      <c r="P30" s="307">
        <f>ROUND((IF('F Intl Con Plus Base'!$P$120&gt;ROUND(((1-'F Intl Con Plus Base'!$P$117)*'F Intl Con Plus Base'!P27),2),ROUND('F Intl Con Plus Base'!$P$120*(1+International_Fuel_Surcharge),2),ROUND(((1-'F Intl Con Plus Base'!$P$117)*'F Intl Con Plus Base'!P27)*(1+International_Fuel_Surcharge),2)))*(1+FedEx_Markup),2)</f>
        <v>127.37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306">
        <v>26</v>
      </c>
      <c r="B31" s="307">
        <f>ROUND((IF('F Intl Con Plus Base'!$B$120&gt;ROUND(((1-'F Intl Con Plus Base'!$B$117)*'F Intl Con Plus Base'!B28),2),ROUND('F Intl Con Plus Base'!$B$120*(1+International_Fuel_Surcharge),2),ROUND(((1-'F Intl Con Plus Base'!$B$117)*'F Intl Con Plus Base'!B28)*(1+International_Fuel_Surcharge),2)))*(1+FedEx_Markup),2)</f>
        <v>80.72</v>
      </c>
      <c r="C31" s="307">
        <f>ROUND((IF('F Intl Con Plus Base'!$C$120&gt;ROUND(((1-'F Intl Con Plus Base'!$C$117)*'F Intl Con Plus Base'!C28),2),ROUND('F Intl Con Plus Base'!$C$120*(1+International_Fuel_Surcharge),2),ROUND(((1-'F Intl Con Plus Base'!$C$117)*'F Intl Con Plus Base'!C28)*(1+International_Fuel_Surcharge),2)))*(1+FedEx_Markup),2)</f>
        <v>96.12</v>
      </c>
      <c r="D31" s="307">
        <f>ROUND((IF('F Intl Con Plus Base'!$D$120&gt;ROUND(((1-'F Intl Con Plus Base'!$D$117)*'F Intl Con Plus Base'!D28),2),ROUND('F Intl Con Plus Base'!$D$120*(1+International_Fuel_Surcharge),2),ROUND(((1-'F Intl Con Plus Base'!$D$117)*'F Intl Con Plus Base'!D28)*(1+International_Fuel_Surcharge),2)))*(1+FedEx_Markup),2)</f>
        <v>77.63</v>
      </c>
      <c r="E31" s="307">
        <f>ROUND((IF('F Intl Con Plus Base'!$E$120&gt;ROUND(((1-'F Intl Con Plus Base'!$E$117)*'F Intl Con Plus Base'!E28),2),ROUND('F Intl Con Plus Base'!$E$120*(1+International_Fuel_Surcharge),2),ROUND(((1-'F Intl Con Plus Base'!$E$117)*'F Intl Con Plus Base'!E28)*(1+International_Fuel_Surcharge),2)))*(1+FedEx_Markup),2)</f>
        <v>126.73</v>
      </c>
      <c r="F31" s="307">
        <f>ROUND((IF('F Intl Con Plus Base'!$F$120&gt;ROUND(((1-'F Intl Con Plus Base'!$F$117)*'F Intl Con Plus Base'!F28),2),ROUND('F Intl Con Plus Base'!$F$120*(1+International_Fuel_Surcharge),2),ROUND(((1-'F Intl Con Plus Base'!$F$117)*'F Intl Con Plus Base'!F28)*(1+International_Fuel_Surcharge),2)))*(1+FedEx_Markup),2)</f>
        <v>228.06</v>
      </c>
      <c r="G31" s="307">
        <f>ROUND((IF('F Intl Con Plus Base'!$G$120&gt;ROUND(((1-'F Intl Con Plus Base'!$G$117)*'F Intl Con Plus Base'!G28),2),ROUND('F Intl Con Plus Base'!$G$120*(1+International_Fuel_Surcharge),2),ROUND(((1-'F Intl Con Plus Base'!$G$117)*'F Intl Con Plus Base'!G28)*(1+International_Fuel_Surcharge),2)))*(1+FedEx_Markup),2)</f>
        <v>128.01</v>
      </c>
      <c r="H31" s="307">
        <f>ROUND((IF('F Intl Con Plus Base'!$H$120&gt;ROUND(((1-'F Intl Con Plus Base'!$H$117)*'F Intl Con Plus Base'!H28),2),ROUND('F Intl Con Plus Base'!$H$120*(1+International_Fuel_Surcharge),2),ROUND(((1-'F Intl Con Plus Base'!$H$117)*'F Intl Con Plus Base'!H28)*(1+International_Fuel_Surcharge),2)))*(1+FedEx_Markup),2)</f>
        <v>113.78</v>
      </c>
      <c r="I31" s="307">
        <f>ROUND((IF('F Intl Con Plus Base'!$I$120&gt;ROUND(((1-'F Intl Con Plus Base'!$I$117)*'F Intl Con Plus Base'!I28),2),ROUND('F Intl Con Plus Base'!$I$120*(1+International_Fuel_Surcharge),2),ROUND(((1-'F Intl Con Plus Base'!$I$117)*'F Intl Con Plus Base'!I28)*(1+International_Fuel_Surcharge),2)))*(1+FedEx_Markup),2)</f>
        <v>154.78</v>
      </c>
      <c r="J31" s="307">
        <f>ROUND((IF('F Intl Con Plus Base'!$J$120&gt;ROUND(((1-'F Intl Con Plus Base'!$J$117)*'F Intl Con Plus Base'!J28),2),ROUND('F Intl Con Plus Base'!$J$120*(1+International_Fuel_Surcharge),2),ROUND(((1-'F Intl Con Plus Base'!$J$117)*'F Intl Con Plus Base'!J28)*(1+International_Fuel_Surcharge),2)))*(1+FedEx_Markup),2)</f>
        <v>94.39</v>
      </c>
      <c r="K31" s="307">
        <f>ROUND((IF('F Intl Con Plus Base'!$K$120&gt;ROUND(((1-'F Intl Con Plus Base'!$K$117)*'F Intl Con Plus Base'!K28),2),ROUND('F Intl Con Plus Base'!$K$120*(1+International_Fuel_Surcharge),2),ROUND(((1-'F Intl Con Plus Base'!$K$117)*'F Intl Con Plus Base'!K28)*(1+International_Fuel_Surcharge),2)))*(1+FedEx_Markup),2)</f>
        <v>187.07</v>
      </c>
      <c r="L31" s="307">
        <f>ROUND((IF('F Intl Con Plus Base'!$L$120&gt;ROUND(((1-'F Intl Con Plus Base'!$L$117)*'F Intl Con Plus Base'!L28),2),ROUND('F Intl Con Plus Base'!$L$120*(1+International_Fuel_Surcharge),2),ROUND(((1-'F Intl Con Plus Base'!$L$117)*'F Intl Con Plus Base'!L28)*(1+International_Fuel_Surcharge),2)))*(1+FedEx_Markup),2)</f>
        <v>151.72</v>
      </c>
      <c r="M31" s="307">
        <f>ROUND((IF('F Intl Con Plus Base'!$M$120&gt;ROUND(((1-'F Intl Con Plus Base'!$M$117)*'F Intl Con Plus Base'!M28),2),ROUND('F Intl Con Plus Base'!$M$120*(1+International_Fuel_Surcharge),2),ROUND(((1-'F Intl Con Plus Base'!$M$117)*'F Intl Con Plus Base'!M28)*(1+International_Fuel_Surcharge),2)))*(1+FedEx_Markup),2)</f>
        <v>220.96</v>
      </c>
      <c r="N31" s="307">
        <f>ROUND((IF('F Intl Con Plus Base'!$N$120&gt;ROUND(((1-'F Intl Con Plus Base'!$N$117)*'F Intl Con Plus Base'!N28),2),ROUND('F Intl Con Plus Base'!$N$120*(1+International_Fuel_Surcharge),2),ROUND(((1-'F Intl Con Plus Base'!$N$117)*'F Intl Con Plus Base'!N28)*(1+International_Fuel_Surcharge),2)))*(1+FedEx_Markup),2)</f>
        <v>214.1</v>
      </c>
      <c r="O31" s="307">
        <f>ROUND((IF('F Intl Con Plus Base'!$O$120&gt;ROUND(((1-'F Intl Con Plus Base'!$O$117)*'F Intl Con Plus Base'!O28),2),ROUND('F Intl Con Plus Base'!$O$120*(1+International_Fuel_Surcharge),2),ROUND(((1-'F Intl Con Plus Base'!$O$117)*'F Intl Con Plus Base'!O28)*(1+International_Fuel_Surcharge),2)))*(1+FedEx_Markup),2)</f>
        <v>166.64</v>
      </c>
      <c r="P31" s="307">
        <f>ROUND((IF('F Intl Con Plus Base'!$P$120&gt;ROUND(((1-'F Intl Con Plus Base'!$P$117)*'F Intl Con Plus Base'!P28),2),ROUND('F Intl Con Plus Base'!$P$120*(1+International_Fuel_Surcharge),2),ROUND(((1-'F Intl Con Plus Base'!$P$117)*'F Intl Con Plus Base'!P28)*(1+International_Fuel_Surcharge),2)))*(1+FedEx_Markup),2)</f>
        <v>166.21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306">
        <v>27</v>
      </c>
      <c r="B32" s="307">
        <f>ROUND((IF('F Intl Con Plus Base'!$B$120&gt;ROUND(((1-'F Intl Con Plus Base'!$B$117)*'F Intl Con Plus Base'!B29),2),ROUND('F Intl Con Plus Base'!$B$120*(1+International_Fuel_Surcharge),2),ROUND(((1-'F Intl Con Plus Base'!$B$117)*'F Intl Con Plus Base'!B29)*(1+International_Fuel_Surcharge),2)))*(1+FedEx_Markup),2)</f>
        <v>84.62</v>
      </c>
      <c r="C32" s="307">
        <f>ROUND((IF('F Intl Con Plus Base'!$C$120&gt;ROUND(((1-'F Intl Con Plus Base'!$C$117)*'F Intl Con Plus Base'!C29),2),ROUND('F Intl Con Plus Base'!$C$120*(1+International_Fuel_Surcharge),2),ROUND(((1-'F Intl Con Plus Base'!$C$117)*'F Intl Con Plus Base'!C29)*(1+International_Fuel_Surcharge),2)))*(1+FedEx_Markup),2)</f>
        <v>100.74</v>
      </c>
      <c r="D32" s="307">
        <f>ROUND((IF('F Intl Con Plus Base'!$D$120&gt;ROUND(((1-'F Intl Con Plus Base'!$D$117)*'F Intl Con Plus Base'!D29),2),ROUND('F Intl Con Plus Base'!$D$120*(1+International_Fuel_Surcharge),2),ROUND(((1-'F Intl Con Plus Base'!$D$117)*'F Intl Con Plus Base'!D29)*(1+International_Fuel_Surcharge),2)))*(1+FedEx_Markup),2)</f>
        <v>77.69</v>
      </c>
      <c r="E32" s="307">
        <f>ROUND((IF('F Intl Con Plus Base'!$E$120&gt;ROUND(((1-'F Intl Con Plus Base'!$E$117)*'F Intl Con Plus Base'!E29),2),ROUND('F Intl Con Plus Base'!$E$120*(1+International_Fuel_Surcharge),2),ROUND(((1-'F Intl Con Plus Base'!$E$117)*'F Intl Con Plus Base'!E29)*(1+International_Fuel_Surcharge),2)))*(1+FedEx_Markup),2)</f>
        <v>133.77000000000001</v>
      </c>
      <c r="F32" s="307">
        <f>ROUND((IF('F Intl Con Plus Base'!$F$120&gt;ROUND(((1-'F Intl Con Plus Base'!$F$117)*'F Intl Con Plus Base'!F29),2),ROUND('F Intl Con Plus Base'!$F$120*(1+International_Fuel_Surcharge),2),ROUND(((1-'F Intl Con Plus Base'!$F$117)*'F Intl Con Plus Base'!F29)*(1+International_Fuel_Surcharge),2)))*(1+FedEx_Markup),2)</f>
        <v>231.28</v>
      </c>
      <c r="G32" s="307">
        <f>ROUND((IF('F Intl Con Plus Base'!$G$120&gt;ROUND(((1-'F Intl Con Plus Base'!$G$117)*'F Intl Con Plus Base'!G29),2),ROUND('F Intl Con Plus Base'!$G$120*(1+International_Fuel_Surcharge),2),ROUND(((1-'F Intl Con Plus Base'!$G$117)*'F Intl Con Plus Base'!G29)*(1+International_Fuel_Surcharge),2)))*(1+FedEx_Markup),2)</f>
        <v>134.80000000000001</v>
      </c>
      <c r="H32" s="307">
        <f>ROUND((IF('F Intl Con Plus Base'!$H$120&gt;ROUND(((1-'F Intl Con Plus Base'!$H$117)*'F Intl Con Plus Base'!H29),2),ROUND('F Intl Con Plus Base'!$H$120*(1+International_Fuel_Surcharge),2),ROUND(((1-'F Intl Con Plus Base'!$H$117)*'F Intl Con Plus Base'!H29)*(1+International_Fuel_Surcharge),2)))*(1+FedEx_Markup),2)</f>
        <v>120.44</v>
      </c>
      <c r="I32" s="307">
        <f>ROUND((IF('F Intl Con Plus Base'!$I$120&gt;ROUND(((1-'F Intl Con Plus Base'!$I$117)*'F Intl Con Plus Base'!I29),2),ROUND('F Intl Con Plus Base'!$I$120*(1+International_Fuel_Surcharge),2),ROUND(((1-'F Intl Con Plus Base'!$I$117)*'F Intl Con Plus Base'!I29)*(1+International_Fuel_Surcharge),2)))*(1+FedEx_Markup),2)</f>
        <v>159.21</v>
      </c>
      <c r="J32" s="307">
        <f>ROUND((IF('F Intl Con Plus Base'!$J$120&gt;ROUND(((1-'F Intl Con Plus Base'!$J$117)*'F Intl Con Plus Base'!J29),2),ROUND('F Intl Con Plus Base'!$J$120*(1+International_Fuel_Surcharge),2),ROUND(((1-'F Intl Con Plus Base'!$J$117)*'F Intl Con Plus Base'!J29)*(1+International_Fuel_Surcharge),2)))*(1+FedEx_Markup),2)</f>
        <v>96.39</v>
      </c>
      <c r="K32" s="307">
        <f>ROUND((IF('F Intl Con Plus Base'!$K$120&gt;ROUND(((1-'F Intl Con Plus Base'!$K$117)*'F Intl Con Plus Base'!K29),2),ROUND('F Intl Con Plus Base'!$K$120*(1+International_Fuel_Surcharge),2),ROUND(((1-'F Intl Con Plus Base'!$K$117)*'F Intl Con Plus Base'!K29)*(1+International_Fuel_Surcharge),2)))*(1+FedEx_Markup),2)</f>
        <v>191.99</v>
      </c>
      <c r="L32" s="307">
        <f>ROUND((IF('F Intl Con Plus Base'!$L$120&gt;ROUND(((1-'F Intl Con Plus Base'!$L$117)*'F Intl Con Plus Base'!L29),2),ROUND('F Intl Con Plus Base'!$L$120*(1+International_Fuel_Surcharge),2),ROUND(((1-'F Intl Con Plus Base'!$L$117)*'F Intl Con Plus Base'!L29)*(1+International_Fuel_Surcharge),2)))*(1+FedEx_Markup),2)</f>
        <v>159.19</v>
      </c>
      <c r="M32" s="307">
        <f>ROUND((IF('F Intl Con Plus Base'!$M$120&gt;ROUND(((1-'F Intl Con Plus Base'!$M$117)*'F Intl Con Plus Base'!M29),2),ROUND('F Intl Con Plus Base'!$M$120*(1+International_Fuel_Surcharge),2),ROUND(((1-'F Intl Con Plus Base'!$M$117)*'F Intl Con Plus Base'!M29)*(1+International_Fuel_Surcharge),2)))*(1+FedEx_Markup),2)</f>
        <v>222.61</v>
      </c>
      <c r="N32" s="307">
        <f>ROUND((IF('F Intl Con Plus Base'!$N$120&gt;ROUND(((1-'F Intl Con Plus Base'!$N$117)*'F Intl Con Plus Base'!N29),2),ROUND('F Intl Con Plus Base'!$N$120*(1+International_Fuel_Surcharge),2),ROUND(((1-'F Intl Con Plus Base'!$N$117)*'F Intl Con Plus Base'!N29)*(1+International_Fuel_Surcharge),2)))*(1+FedEx_Markup),2)</f>
        <v>240.94</v>
      </c>
      <c r="O32" s="307">
        <f>ROUND((IF('F Intl Con Plus Base'!$O$120&gt;ROUND(((1-'F Intl Con Plus Base'!$O$117)*'F Intl Con Plus Base'!O29),2),ROUND('F Intl Con Plus Base'!$O$120*(1+International_Fuel_Surcharge),2),ROUND(((1-'F Intl Con Plus Base'!$O$117)*'F Intl Con Plus Base'!O29)*(1+International_Fuel_Surcharge),2)))*(1+FedEx_Markup),2)</f>
        <v>172.74</v>
      </c>
      <c r="P32" s="307">
        <f>ROUND((IF('F Intl Con Plus Base'!$P$120&gt;ROUND(((1-'F Intl Con Plus Base'!$P$117)*'F Intl Con Plus Base'!P29),2),ROUND('F Intl Con Plus Base'!$P$120*(1+International_Fuel_Surcharge),2),ROUND(((1-'F Intl Con Plus Base'!$P$117)*'F Intl Con Plus Base'!P29)*(1+International_Fuel_Surcharge),2)))*(1+FedEx_Markup),2)</f>
        <v>179.03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306">
        <v>28</v>
      </c>
      <c r="B33" s="307">
        <f>ROUND((IF('F Intl Con Plus Base'!$B$120&gt;ROUND(((1-'F Intl Con Plus Base'!$B$117)*'F Intl Con Plus Base'!B30),2),ROUND('F Intl Con Plus Base'!$B$120*(1+International_Fuel_Surcharge),2),ROUND(((1-'F Intl Con Plus Base'!$B$117)*'F Intl Con Plus Base'!B30)*(1+International_Fuel_Surcharge),2)))*(1+FedEx_Markup),2)</f>
        <v>87.79</v>
      </c>
      <c r="C33" s="307">
        <f>ROUND((IF('F Intl Con Plus Base'!$C$120&gt;ROUND(((1-'F Intl Con Plus Base'!$C$117)*'F Intl Con Plus Base'!C30),2),ROUND('F Intl Con Plus Base'!$C$120*(1+International_Fuel_Surcharge),2),ROUND(((1-'F Intl Con Plus Base'!$C$117)*'F Intl Con Plus Base'!C30)*(1+International_Fuel_Surcharge),2)))*(1+FedEx_Markup),2)</f>
        <v>101.48</v>
      </c>
      <c r="D33" s="307">
        <f>ROUND((IF('F Intl Con Plus Base'!$D$120&gt;ROUND(((1-'F Intl Con Plus Base'!$D$117)*'F Intl Con Plus Base'!D30),2),ROUND('F Intl Con Plus Base'!$D$120*(1+International_Fuel_Surcharge),2),ROUND(((1-'F Intl Con Plus Base'!$D$117)*'F Intl Con Plus Base'!D30)*(1+International_Fuel_Surcharge),2)))*(1+FedEx_Markup),2)</f>
        <v>78.03</v>
      </c>
      <c r="E33" s="307">
        <f>ROUND((IF('F Intl Con Plus Base'!$E$120&gt;ROUND(((1-'F Intl Con Plus Base'!$E$117)*'F Intl Con Plus Base'!E30),2),ROUND('F Intl Con Plus Base'!$E$120*(1+International_Fuel_Surcharge),2),ROUND(((1-'F Intl Con Plus Base'!$E$117)*'F Intl Con Plus Base'!E30)*(1+International_Fuel_Surcharge),2)))*(1+FedEx_Markup),2)</f>
        <v>134.47999999999999</v>
      </c>
      <c r="F33" s="307">
        <f>ROUND((IF('F Intl Con Plus Base'!$F$120&gt;ROUND(((1-'F Intl Con Plus Base'!$F$117)*'F Intl Con Plus Base'!F30),2),ROUND('F Intl Con Plus Base'!$F$120*(1+International_Fuel_Surcharge),2),ROUND(((1-'F Intl Con Plus Base'!$F$117)*'F Intl Con Plus Base'!F30)*(1+International_Fuel_Surcharge),2)))*(1+FedEx_Markup),2)</f>
        <v>236.99</v>
      </c>
      <c r="G33" s="307">
        <f>ROUND((IF('F Intl Con Plus Base'!$G$120&gt;ROUND(((1-'F Intl Con Plus Base'!$G$117)*'F Intl Con Plus Base'!G30),2),ROUND('F Intl Con Plus Base'!$G$120*(1+International_Fuel_Surcharge),2),ROUND(((1-'F Intl Con Plus Base'!$G$117)*'F Intl Con Plus Base'!G30)*(1+International_Fuel_Surcharge),2)))*(1+FedEx_Markup),2)</f>
        <v>135.47999999999999</v>
      </c>
      <c r="H33" s="307">
        <f>ROUND((IF('F Intl Con Plus Base'!$H$120&gt;ROUND(((1-'F Intl Con Plus Base'!$H$117)*'F Intl Con Plus Base'!H30),2),ROUND('F Intl Con Plus Base'!$H$120*(1+International_Fuel_Surcharge),2),ROUND(((1-'F Intl Con Plus Base'!$H$117)*'F Intl Con Plus Base'!H30)*(1+International_Fuel_Surcharge),2)))*(1+FedEx_Markup),2)</f>
        <v>121.11</v>
      </c>
      <c r="I33" s="307">
        <f>ROUND((IF('F Intl Con Plus Base'!$I$120&gt;ROUND(((1-'F Intl Con Plus Base'!$I$117)*'F Intl Con Plus Base'!I30),2),ROUND('F Intl Con Plus Base'!$I$120*(1+International_Fuel_Surcharge),2),ROUND(((1-'F Intl Con Plus Base'!$I$117)*'F Intl Con Plus Base'!I30)*(1+International_Fuel_Surcharge),2)))*(1+FedEx_Markup),2)</f>
        <v>163.28</v>
      </c>
      <c r="J33" s="307">
        <f>ROUND((IF('F Intl Con Plus Base'!$J$120&gt;ROUND(((1-'F Intl Con Plus Base'!$J$117)*'F Intl Con Plus Base'!J30),2),ROUND('F Intl Con Plus Base'!$J$120*(1+International_Fuel_Surcharge),2),ROUND(((1-'F Intl Con Plus Base'!$J$117)*'F Intl Con Plus Base'!J30)*(1+International_Fuel_Surcharge),2)))*(1+FedEx_Markup),2)</f>
        <v>96.68</v>
      </c>
      <c r="K33" s="307">
        <f>ROUND((IF('F Intl Con Plus Base'!$K$120&gt;ROUND(((1-'F Intl Con Plus Base'!$K$117)*'F Intl Con Plus Base'!K30),2),ROUND('F Intl Con Plus Base'!$K$120*(1+International_Fuel_Surcharge),2),ROUND(((1-'F Intl Con Plus Base'!$K$117)*'F Intl Con Plus Base'!K30)*(1+International_Fuel_Surcharge),2)))*(1+FedEx_Markup),2)</f>
        <v>192.49</v>
      </c>
      <c r="L33" s="307">
        <f>ROUND((IF('F Intl Con Plus Base'!$L$120&gt;ROUND(((1-'F Intl Con Plus Base'!$L$117)*'F Intl Con Plus Base'!L30),2),ROUND('F Intl Con Plus Base'!$L$120*(1+International_Fuel_Surcharge),2),ROUND(((1-'F Intl Con Plus Base'!$L$117)*'F Intl Con Plus Base'!L30)*(1+International_Fuel_Surcharge),2)))*(1+FedEx_Markup),2)</f>
        <v>177.57</v>
      </c>
      <c r="M33" s="307">
        <f>ROUND((IF('F Intl Con Plus Base'!$M$120&gt;ROUND(((1-'F Intl Con Plus Base'!$M$117)*'F Intl Con Plus Base'!M30),2),ROUND('F Intl Con Plus Base'!$M$120*(1+International_Fuel_Surcharge),2),ROUND(((1-'F Intl Con Plus Base'!$M$117)*'F Intl Con Plus Base'!M30)*(1+International_Fuel_Surcharge),2)))*(1+FedEx_Markup),2)</f>
        <v>223.97</v>
      </c>
      <c r="N33" s="307">
        <f>ROUND((IF('F Intl Con Plus Base'!$N$120&gt;ROUND(((1-'F Intl Con Plus Base'!$N$117)*'F Intl Con Plus Base'!N30),2),ROUND('F Intl Con Plus Base'!$N$120*(1+International_Fuel_Surcharge),2),ROUND(((1-'F Intl Con Plus Base'!$N$117)*'F Intl Con Plus Base'!N30)*(1+International_Fuel_Surcharge),2)))*(1+FedEx_Markup),2)</f>
        <v>243.63</v>
      </c>
      <c r="O33" s="307">
        <f>ROUND((IF('F Intl Con Plus Base'!$O$120&gt;ROUND(((1-'F Intl Con Plus Base'!$O$117)*'F Intl Con Plus Base'!O30),2),ROUND('F Intl Con Plus Base'!$O$120*(1+International_Fuel_Surcharge),2),ROUND(((1-'F Intl Con Plus Base'!$O$117)*'F Intl Con Plus Base'!O30)*(1+International_Fuel_Surcharge),2)))*(1+FedEx_Markup),2)</f>
        <v>173.85</v>
      </c>
      <c r="P33" s="307">
        <f>ROUND((IF('F Intl Con Plus Base'!$P$120&gt;ROUND(((1-'F Intl Con Plus Base'!$P$117)*'F Intl Con Plus Base'!P30),2),ROUND('F Intl Con Plus Base'!$P$120*(1+International_Fuel_Surcharge),2),ROUND(((1-'F Intl Con Plus Base'!$P$117)*'F Intl Con Plus Base'!P30)*(1+International_Fuel_Surcharge),2)))*(1+FedEx_Markup),2)</f>
        <v>182.56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306">
        <v>29</v>
      </c>
      <c r="B34" s="307">
        <f>ROUND((IF('F Intl Con Plus Base'!$B$120&gt;ROUND(((1-'F Intl Con Plus Base'!$B$117)*'F Intl Con Plus Base'!B31),2),ROUND('F Intl Con Plus Base'!$B$120*(1+International_Fuel_Surcharge),2),ROUND(((1-'F Intl Con Plus Base'!$B$117)*'F Intl Con Plus Base'!B31)*(1+International_Fuel_Surcharge),2)))*(1+FedEx_Markup),2)</f>
        <v>89.13</v>
      </c>
      <c r="C34" s="307">
        <f>ROUND((IF('F Intl Con Plus Base'!$C$120&gt;ROUND(((1-'F Intl Con Plus Base'!$C$117)*'F Intl Con Plus Base'!C31),2),ROUND('F Intl Con Plus Base'!$C$120*(1+International_Fuel_Surcharge),2),ROUND(((1-'F Intl Con Plus Base'!$C$117)*'F Intl Con Plus Base'!C31)*(1+International_Fuel_Surcharge),2)))*(1+FedEx_Markup),2)</f>
        <v>101.8</v>
      </c>
      <c r="D34" s="307">
        <f>ROUND((IF('F Intl Con Plus Base'!$D$120&gt;ROUND(((1-'F Intl Con Plus Base'!$D$117)*'F Intl Con Plus Base'!D31),2),ROUND('F Intl Con Plus Base'!$D$120*(1+International_Fuel_Surcharge),2),ROUND(((1-'F Intl Con Plus Base'!$D$117)*'F Intl Con Plus Base'!D31)*(1+International_Fuel_Surcharge),2)))*(1+FedEx_Markup),2)</f>
        <v>84.77</v>
      </c>
      <c r="E34" s="307">
        <f>ROUND((IF('F Intl Con Plus Base'!$E$120&gt;ROUND(((1-'F Intl Con Plus Base'!$E$117)*'F Intl Con Plus Base'!E31),2),ROUND('F Intl Con Plus Base'!$E$120*(1+International_Fuel_Surcharge),2),ROUND(((1-'F Intl Con Plus Base'!$E$117)*'F Intl Con Plus Base'!E31)*(1+International_Fuel_Surcharge),2)))*(1+FedEx_Markup),2)</f>
        <v>134.56</v>
      </c>
      <c r="F34" s="307">
        <f>ROUND((IF('F Intl Con Plus Base'!$F$120&gt;ROUND(((1-'F Intl Con Plus Base'!$F$117)*'F Intl Con Plus Base'!F31),2),ROUND('F Intl Con Plus Base'!$F$120*(1+International_Fuel_Surcharge),2),ROUND(((1-'F Intl Con Plus Base'!$F$117)*'F Intl Con Plus Base'!F31)*(1+International_Fuel_Surcharge),2)))*(1+FedEx_Markup),2)</f>
        <v>238.21</v>
      </c>
      <c r="G34" s="307">
        <f>ROUND((IF('F Intl Con Plus Base'!$G$120&gt;ROUND(((1-'F Intl Con Plus Base'!$G$117)*'F Intl Con Plus Base'!G31),2),ROUND('F Intl Con Plus Base'!$G$120*(1+International_Fuel_Surcharge),2),ROUND(((1-'F Intl Con Plus Base'!$G$117)*'F Intl Con Plus Base'!G31)*(1+International_Fuel_Surcharge),2)))*(1+FedEx_Markup),2)</f>
        <v>135.63</v>
      </c>
      <c r="H34" s="307">
        <f>ROUND((IF('F Intl Con Plus Base'!$H$120&gt;ROUND(((1-'F Intl Con Plus Base'!$H$117)*'F Intl Con Plus Base'!H31),2),ROUND('F Intl Con Plus Base'!$H$120*(1+International_Fuel_Surcharge),2),ROUND(((1-'F Intl Con Plus Base'!$H$117)*'F Intl Con Plus Base'!H31)*(1+International_Fuel_Surcharge),2)))*(1+FedEx_Markup),2)</f>
        <v>131.22999999999999</v>
      </c>
      <c r="I34" s="307">
        <f>ROUND((IF('F Intl Con Plus Base'!$I$120&gt;ROUND(((1-'F Intl Con Plus Base'!$I$117)*'F Intl Con Plus Base'!I31),2),ROUND('F Intl Con Plus Base'!$I$120*(1+International_Fuel_Surcharge),2),ROUND(((1-'F Intl Con Plus Base'!$I$117)*'F Intl Con Plus Base'!I31)*(1+International_Fuel_Surcharge),2)))*(1+FedEx_Markup),2)</f>
        <v>163.75</v>
      </c>
      <c r="J34" s="307">
        <f>ROUND((IF('F Intl Con Plus Base'!$J$120&gt;ROUND(((1-'F Intl Con Plus Base'!$J$117)*'F Intl Con Plus Base'!J31),2),ROUND('F Intl Con Plus Base'!$J$120*(1+International_Fuel_Surcharge),2),ROUND(((1-'F Intl Con Plus Base'!$J$117)*'F Intl Con Plus Base'!J31)*(1+International_Fuel_Surcharge),2)))*(1+FedEx_Markup),2)</f>
        <v>102.43</v>
      </c>
      <c r="K34" s="307">
        <f>ROUND((IF('F Intl Con Plus Base'!$K$120&gt;ROUND(((1-'F Intl Con Plus Base'!$K$117)*'F Intl Con Plus Base'!K31),2),ROUND('F Intl Con Plus Base'!$K$120*(1+International_Fuel_Surcharge),2),ROUND(((1-'F Intl Con Plus Base'!$K$117)*'F Intl Con Plus Base'!K31)*(1+International_Fuel_Surcharge),2)))*(1+FedEx_Markup),2)</f>
        <v>193.3</v>
      </c>
      <c r="L34" s="307">
        <f>ROUND((IF('F Intl Con Plus Base'!$L$120&gt;ROUND(((1-'F Intl Con Plus Base'!$L$117)*'F Intl Con Plus Base'!L31),2),ROUND('F Intl Con Plus Base'!$L$120*(1+International_Fuel_Surcharge),2),ROUND(((1-'F Intl Con Plus Base'!$L$117)*'F Intl Con Plus Base'!L31)*(1+International_Fuel_Surcharge),2)))*(1+FedEx_Markup),2)</f>
        <v>179.41</v>
      </c>
      <c r="M34" s="307">
        <f>ROUND((IF('F Intl Con Plus Base'!$M$120&gt;ROUND(((1-'F Intl Con Plus Base'!$M$117)*'F Intl Con Plus Base'!M31),2),ROUND('F Intl Con Plus Base'!$M$120*(1+International_Fuel_Surcharge),2),ROUND(((1-'F Intl Con Plus Base'!$M$117)*'F Intl Con Plus Base'!M31)*(1+International_Fuel_Surcharge),2)))*(1+FedEx_Markup),2)</f>
        <v>235.41</v>
      </c>
      <c r="N34" s="307">
        <f>ROUND((IF('F Intl Con Plus Base'!$N$120&gt;ROUND(((1-'F Intl Con Plus Base'!$N$117)*'F Intl Con Plus Base'!N31),2),ROUND('F Intl Con Plus Base'!$N$120*(1+International_Fuel_Surcharge),2),ROUND(((1-'F Intl Con Plus Base'!$N$117)*'F Intl Con Plus Base'!N31)*(1+International_Fuel_Surcharge),2)))*(1+FedEx_Markup),2)</f>
        <v>243.89</v>
      </c>
      <c r="O34" s="307">
        <f>ROUND((IF('F Intl Con Plus Base'!$O$120&gt;ROUND(((1-'F Intl Con Plus Base'!$O$117)*'F Intl Con Plus Base'!O31),2),ROUND('F Intl Con Plus Base'!$O$120*(1+International_Fuel_Surcharge),2),ROUND(((1-'F Intl Con Plus Base'!$O$117)*'F Intl Con Plus Base'!O31)*(1+International_Fuel_Surcharge),2)))*(1+FedEx_Markup),2)</f>
        <v>183.52</v>
      </c>
      <c r="P34" s="307">
        <f>ROUND((IF('F Intl Con Plus Base'!$P$120&gt;ROUND(((1-'F Intl Con Plus Base'!$P$117)*'F Intl Con Plus Base'!P31),2),ROUND('F Intl Con Plus Base'!$P$120*(1+International_Fuel_Surcharge),2),ROUND(((1-'F Intl Con Plus Base'!$P$117)*'F Intl Con Plus Base'!P31)*(1+International_Fuel_Surcharge),2)))*(1+FedEx_Markup),2)</f>
        <v>182.92</v>
      </c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2.75" customHeight="1">
      <c r="A35" s="306">
        <v>30</v>
      </c>
      <c r="B35" s="307">
        <f>ROUND((IF('F Intl Con Plus Base'!$B$120&gt;ROUND(((1-'F Intl Con Plus Base'!$B$117)*'F Intl Con Plus Base'!B32),2),ROUND('F Intl Con Plus Base'!$B$120*(1+International_Fuel_Surcharge),2),ROUND(((1-'F Intl Con Plus Base'!$B$117)*'F Intl Con Plus Base'!B32)*(1+International_Fuel_Surcharge),2)))*(1+FedEx_Markup),2)</f>
        <v>89.27</v>
      </c>
      <c r="C35" s="307">
        <f>ROUND((IF('F Intl Con Plus Base'!$C$120&gt;ROUND(((1-'F Intl Con Plus Base'!$C$117)*'F Intl Con Plus Base'!C32),2),ROUND('F Intl Con Plus Base'!$C$120*(1+International_Fuel_Surcharge),2),ROUND(((1-'F Intl Con Plus Base'!$C$117)*'F Intl Con Plus Base'!C32)*(1+International_Fuel_Surcharge),2)))*(1+FedEx_Markup),2)</f>
        <v>105.63</v>
      </c>
      <c r="D35" s="307">
        <f>ROUND((IF('F Intl Con Plus Base'!$D$120&gt;ROUND(((1-'F Intl Con Plus Base'!$D$117)*'F Intl Con Plus Base'!D32),2),ROUND('F Intl Con Plus Base'!$D$120*(1+International_Fuel_Surcharge),2),ROUND(((1-'F Intl Con Plus Base'!$D$117)*'F Intl Con Plus Base'!D32)*(1+International_Fuel_Surcharge),2)))*(1+FedEx_Markup),2)</f>
        <v>85.43</v>
      </c>
      <c r="E35" s="307">
        <f>ROUND((IF('F Intl Con Plus Base'!$E$120&gt;ROUND(((1-'F Intl Con Plus Base'!$E$117)*'F Intl Con Plus Base'!E32),2),ROUND('F Intl Con Plus Base'!$E$120*(1+International_Fuel_Surcharge),2),ROUND(((1-'F Intl Con Plus Base'!$E$117)*'F Intl Con Plus Base'!E32)*(1+International_Fuel_Surcharge),2)))*(1+FedEx_Markup),2)</f>
        <v>134.72999999999999</v>
      </c>
      <c r="F35" s="307">
        <f>ROUND((IF('F Intl Con Plus Base'!$F$120&gt;ROUND(((1-'F Intl Con Plus Base'!$F$117)*'F Intl Con Plus Base'!F32),2),ROUND('F Intl Con Plus Base'!$F$120*(1+International_Fuel_Surcharge),2),ROUND(((1-'F Intl Con Plus Base'!$F$117)*'F Intl Con Plus Base'!F32)*(1+International_Fuel_Surcharge),2)))*(1+FedEx_Markup),2)</f>
        <v>238.34</v>
      </c>
      <c r="G35" s="307">
        <f>ROUND((IF('F Intl Con Plus Base'!$G$120&gt;ROUND(((1-'F Intl Con Plus Base'!$G$117)*'F Intl Con Plus Base'!G32),2),ROUND('F Intl Con Plus Base'!$G$120*(1+International_Fuel_Surcharge),2),ROUND(((1-'F Intl Con Plus Base'!$G$117)*'F Intl Con Plus Base'!G32)*(1+International_Fuel_Surcharge),2)))*(1+FedEx_Markup),2)</f>
        <v>135.69</v>
      </c>
      <c r="H35" s="307">
        <f>ROUND((IF('F Intl Con Plus Base'!$H$120&gt;ROUND(((1-'F Intl Con Plus Base'!$H$117)*'F Intl Con Plus Base'!H32),2),ROUND('F Intl Con Plus Base'!$H$120*(1+International_Fuel_Surcharge),2),ROUND(((1-'F Intl Con Plus Base'!$H$117)*'F Intl Con Plus Base'!H32)*(1+International_Fuel_Surcharge),2)))*(1+FedEx_Markup),2)</f>
        <v>139.41</v>
      </c>
      <c r="I35" s="307">
        <f>ROUND((IF('F Intl Con Plus Base'!$I$120&gt;ROUND(((1-'F Intl Con Plus Base'!$I$117)*'F Intl Con Plus Base'!I32),2),ROUND('F Intl Con Plus Base'!$I$120*(1+International_Fuel_Surcharge),2),ROUND(((1-'F Intl Con Plus Base'!$I$117)*'F Intl Con Plus Base'!I32)*(1+International_Fuel_Surcharge),2)))*(1+FedEx_Markup),2)</f>
        <v>167.82</v>
      </c>
      <c r="J35" s="307">
        <f>ROUND((IF('F Intl Con Plus Base'!$J$120&gt;ROUND(((1-'F Intl Con Plus Base'!$J$117)*'F Intl Con Plus Base'!J32),2),ROUND('F Intl Con Plus Base'!$J$120*(1+International_Fuel_Surcharge),2),ROUND(((1-'F Intl Con Plus Base'!$J$117)*'F Intl Con Plus Base'!J32)*(1+International_Fuel_Surcharge),2)))*(1+FedEx_Markup),2)</f>
        <v>103.02</v>
      </c>
      <c r="K35" s="307">
        <f>ROUND((IF('F Intl Con Plus Base'!$K$120&gt;ROUND(((1-'F Intl Con Plus Base'!$K$117)*'F Intl Con Plus Base'!K32),2),ROUND('F Intl Con Plus Base'!$K$120*(1+International_Fuel_Surcharge),2),ROUND(((1-'F Intl Con Plus Base'!$K$117)*'F Intl Con Plus Base'!K32)*(1+International_Fuel_Surcharge),2)))*(1+FedEx_Markup),2)</f>
        <v>193.38</v>
      </c>
      <c r="L35" s="307">
        <f>ROUND((IF('F Intl Con Plus Base'!$L$120&gt;ROUND(((1-'F Intl Con Plus Base'!$L$117)*'F Intl Con Plus Base'!L32),2),ROUND('F Intl Con Plus Base'!$L$120*(1+International_Fuel_Surcharge),2),ROUND(((1-'F Intl Con Plus Base'!$L$117)*'F Intl Con Plus Base'!L32)*(1+International_Fuel_Surcharge),2)))*(1+FedEx_Markup),2)</f>
        <v>179.6</v>
      </c>
      <c r="M35" s="307">
        <f>ROUND((IF('F Intl Con Plus Base'!$M$120&gt;ROUND(((1-'F Intl Con Plus Base'!$M$117)*'F Intl Con Plus Base'!M32),2),ROUND('F Intl Con Plus Base'!$M$120*(1+International_Fuel_Surcharge),2),ROUND(((1-'F Intl Con Plus Base'!$M$117)*'F Intl Con Plus Base'!M32)*(1+International_Fuel_Surcharge),2)))*(1+FedEx_Markup),2)</f>
        <v>236.54</v>
      </c>
      <c r="N35" s="307">
        <f>ROUND((IF('F Intl Con Plus Base'!$N$120&gt;ROUND(((1-'F Intl Con Plus Base'!$N$117)*'F Intl Con Plus Base'!N32),2),ROUND('F Intl Con Plus Base'!$N$120*(1+International_Fuel_Surcharge),2),ROUND(((1-'F Intl Con Plus Base'!$N$117)*'F Intl Con Plus Base'!N32)*(1+International_Fuel_Surcharge),2)))*(1+FedEx_Markup),2)</f>
        <v>243.96</v>
      </c>
      <c r="O35" s="307">
        <f>ROUND((IF('F Intl Con Plus Base'!$O$120&gt;ROUND(((1-'F Intl Con Plus Base'!$O$117)*'F Intl Con Plus Base'!O32),2),ROUND('F Intl Con Plus Base'!$O$120*(1+International_Fuel_Surcharge),2),ROUND(((1-'F Intl Con Plus Base'!$O$117)*'F Intl Con Plus Base'!O32)*(1+International_Fuel_Surcharge),2)))*(1+FedEx_Markup),2)</f>
        <v>184.48</v>
      </c>
      <c r="P35" s="307">
        <f>ROUND((IF('F Intl Con Plus Base'!$P$120&gt;ROUND(((1-'F Intl Con Plus Base'!$P$117)*'F Intl Con Plus Base'!P32),2),ROUND('F Intl Con Plus Base'!$P$120*(1+International_Fuel_Surcharge),2),ROUND(((1-'F Intl Con Plus Base'!$P$117)*'F Intl Con Plus Base'!P32)*(1+International_Fuel_Surcharge),2)))*(1+FedEx_Markup),2)</f>
        <v>183.07</v>
      </c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2.75" customHeight="1">
      <c r="A36" s="306">
        <v>31</v>
      </c>
      <c r="B36" s="307">
        <f>ROUND((IF('F Intl Con Plus Base'!$B$120&gt;ROUND(((1-'F Intl Con Plus Base'!$B$117)*'F Intl Con Plus Base'!B33),2),ROUND('F Intl Con Plus Base'!$B$120*(1+International_Fuel_Surcharge),2),ROUND(((1-'F Intl Con Plus Base'!$B$117)*'F Intl Con Plus Base'!B33)*(1+International_Fuel_Surcharge),2)))*(1+FedEx_Markup),2)</f>
        <v>89.93</v>
      </c>
      <c r="C36" s="307">
        <f>ROUND((IF('F Intl Con Plus Base'!$C$120&gt;ROUND(((1-'F Intl Con Plus Base'!$C$117)*'F Intl Con Plus Base'!C33),2),ROUND('F Intl Con Plus Base'!$C$120*(1+International_Fuel_Surcharge),2),ROUND(((1-'F Intl Con Plus Base'!$C$117)*'F Intl Con Plus Base'!C33)*(1+International_Fuel_Surcharge),2)))*(1+FedEx_Markup),2)</f>
        <v>106.02</v>
      </c>
      <c r="D36" s="307">
        <f>ROUND((IF('F Intl Con Plus Base'!$D$120&gt;ROUND(((1-'F Intl Con Plus Base'!$D$117)*'F Intl Con Plus Base'!D33),2),ROUND('F Intl Con Plus Base'!$D$120*(1+International_Fuel_Surcharge),2),ROUND(((1-'F Intl Con Plus Base'!$D$117)*'F Intl Con Plus Base'!D33)*(1+International_Fuel_Surcharge),2)))*(1+FedEx_Markup),2)</f>
        <v>85.5</v>
      </c>
      <c r="E36" s="307">
        <f>ROUND((IF('F Intl Con Plus Base'!$E$120&gt;ROUND(((1-'F Intl Con Plus Base'!$E$117)*'F Intl Con Plus Base'!E33),2),ROUND('F Intl Con Plus Base'!$E$120*(1+International_Fuel_Surcharge),2),ROUND(((1-'F Intl Con Plus Base'!$E$117)*'F Intl Con Plus Base'!E33)*(1+International_Fuel_Surcharge),2)))*(1+FedEx_Markup),2)</f>
        <v>137.16999999999999</v>
      </c>
      <c r="F36" s="307">
        <f>ROUND((IF('F Intl Con Plus Base'!$F$120&gt;ROUND(((1-'F Intl Con Plus Base'!$F$117)*'F Intl Con Plus Base'!F33),2),ROUND('F Intl Con Plus Base'!$F$120*(1+International_Fuel_Surcharge),2),ROUND(((1-'F Intl Con Plus Base'!$F$117)*'F Intl Con Plus Base'!F33)*(1+International_Fuel_Surcharge),2)))*(1+FedEx_Markup),2)</f>
        <v>239.49</v>
      </c>
      <c r="G36" s="307">
        <f>ROUND((IF('F Intl Con Plus Base'!$G$120&gt;ROUND(((1-'F Intl Con Plus Base'!$G$117)*'F Intl Con Plus Base'!G33),2),ROUND('F Intl Con Plus Base'!$G$120*(1+International_Fuel_Surcharge),2),ROUND(((1-'F Intl Con Plus Base'!$G$117)*'F Intl Con Plus Base'!G33)*(1+International_Fuel_Surcharge),2)))*(1+FedEx_Markup),2)</f>
        <v>136.09</v>
      </c>
      <c r="H36" s="307">
        <f>ROUND((IF('F Intl Con Plus Base'!$H$120&gt;ROUND(((1-'F Intl Con Plus Base'!$H$117)*'F Intl Con Plus Base'!H33),2),ROUND('F Intl Con Plus Base'!$H$120*(1+International_Fuel_Surcharge),2),ROUND(((1-'F Intl Con Plus Base'!$H$117)*'F Intl Con Plus Base'!H33)*(1+International_Fuel_Surcharge),2)))*(1+FedEx_Markup),2)</f>
        <v>142.22</v>
      </c>
      <c r="I36" s="307">
        <f>ROUND((IF('F Intl Con Plus Base'!$I$120&gt;ROUND(((1-'F Intl Con Plus Base'!$I$117)*'F Intl Con Plus Base'!I33),2),ROUND('F Intl Con Plus Base'!$I$120*(1+International_Fuel_Surcharge),2),ROUND(((1-'F Intl Con Plus Base'!$I$117)*'F Intl Con Plus Base'!I33)*(1+International_Fuel_Surcharge),2)))*(1+FedEx_Markup),2)</f>
        <v>168.27</v>
      </c>
      <c r="J36" s="307">
        <f>ROUND((IF('F Intl Con Plus Base'!$J$120&gt;ROUND(((1-'F Intl Con Plus Base'!$J$117)*'F Intl Con Plus Base'!J33),2),ROUND('F Intl Con Plus Base'!$J$120*(1+International_Fuel_Surcharge),2),ROUND(((1-'F Intl Con Plus Base'!$J$117)*'F Intl Con Plus Base'!J33)*(1+International_Fuel_Surcharge),2)))*(1+FedEx_Markup),2)</f>
        <v>103.11</v>
      </c>
      <c r="K36" s="307">
        <f>ROUND((IF('F Intl Con Plus Base'!$K$120&gt;ROUND(((1-'F Intl Con Plus Base'!$K$117)*'F Intl Con Plus Base'!K33),2),ROUND('F Intl Con Plus Base'!$K$120*(1+International_Fuel_Surcharge),2),ROUND(((1-'F Intl Con Plus Base'!$K$117)*'F Intl Con Plus Base'!K33)*(1+International_Fuel_Surcharge),2)))*(1+FedEx_Markup),2)</f>
        <v>193.44</v>
      </c>
      <c r="L36" s="307">
        <f>ROUND((IF('F Intl Con Plus Base'!$L$120&gt;ROUND(((1-'F Intl Con Plus Base'!$L$117)*'F Intl Con Plus Base'!L33),2),ROUND('F Intl Con Plus Base'!$L$120*(1+International_Fuel_Surcharge),2),ROUND(((1-'F Intl Con Plus Base'!$L$117)*'F Intl Con Plus Base'!L33)*(1+International_Fuel_Surcharge),2)))*(1+FedEx_Markup),2)</f>
        <v>183.37</v>
      </c>
      <c r="M36" s="307">
        <f>ROUND((IF('F Intl Con Plus Base'!$M$120&gt;ROUND(((1-'F Intl Con Plus Base'!$M$117)*'F Intl Con Plus Base'!M33),2),ROUND('F Intl Con Plus Base'!$M$120*(1+International_Fuel_Surcharge),2),ROUND(((1-'F Intl Con Plus Base'!$M$117)*'F Intl Con Plus Base'!M33)*(1+International_Fuel_Surcharge),2)))*(1+FedEx_Markup),2)</f>
        <v>257.04000000000002</v>
      </c>
      <c r="N36" s="307">
        <f>ROUND((IF('F Intl Con Plus Base'!$N$120&gt;ROUND(((1-'F Intl Con Plus Base'!$N$117)*'F Intl Con Plus Base'!N33),2),ROUND('F Intl Con Plus Base'!$N$120*(1+International_Fuel_Surcharge),2),ROUND(((1-'F Intl Con Plus Base'!$N$117)*'F Intl Con Plus Base'!N33)*(1+International_Fuel_Surcharge),2)))*(1+FedEx_Markup),2)</f>
        <v>244.02</v>
      </c>
      <c r="O36" s="307">
        <f>ROUND((IF('F Intl Con Plus Base'!$O$120&gt;ROUND(((1-'F Intl Con Plus Base'!$O$117)*'F Intl Con Plus Base'!O33),2),ROUND('F Intl Con Plus Base'!$O$120*(1+International_Fuel_Surcharge),2),ROUND(((1-'F Intl Con Plus Base'!$O$117)*'F Intl Con Plus Base'!O33)*(1+International_Fuel_Surcharge),2)))*(1+FedEx_Markup),2)</f>
        <v>184.58</v>
      </c>
      <c r="P36" s="307">
        <f>ROUND((IF('F Intl Con Plus Base'!$P$120&gt;ROUND(((1-'F Intl Con Plus Base'!$P$117)*'F Intl Con Plus Base'!P33),2),ROUND('F Intl Con Plus Base'!$P$120*(1+International_Fuel_Surcharge),2),ROUND(((1-'F Intl Con Plus Base'!$P$117)*'F Intl Con Plus Base'!P33)*(1+International_Fuel_Surcharge),2)))*(1+FedEx_Markup),2)</f>
        <v>183.13</v>
      </c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2.75" customHeight="1">
      <c r="A37" s="306">
        <v>32</v>
      </c>
      <c r="B37" s="307">
        <f>ROUND((IF('F Intl Con Plus Base'!$B$120&gt;ROUND(((1-'F Intl Con Plus Base'!$B$117)*'F Intl Con Plus Base'!B34),2),ROUND('F Intl Con Plus Base'!$B$120*(1+International_Fuel_Surcharge),2),ROUND(((1-'F Intl Con Plus Base'!$B$117)*'F Intl Con Plus Base'!B34)*(1+International_Fuel_Surcharge),2)))*(1+FedEx_Markup),2)</f>
        <v>89.99</v>
      </c>
      <c r="C37" s="307">
        <f>ROUND((IF('F Intl Con Plus Base'!$C$120&gt;ROUND(((1-'F Intl Con Plus Base'!$C$117)*'F Intl Con Plus Base'!C34),2),ROUND('F Intl Con Plus Base'!$C$120*(1+International_Fuel_Surcharge),2),ROUND(((1-'F Intl Con Plus Base'!$C$117)*'F Intl Con Plus Base'!C34)*(1+International_Fuel_Surcharge),2)))*(1+FedEx_Markup),2)</f>
        <v>106.09</v>
      </c>
      <c r="D37" s="307">
        <f>ROUND((IF('F Intl Con Plus Base'!$D$120&gt;ROUND(((1-'F Intl Con Plus Base'!$D$117)*'F Intl Con Plus Base'!D34),2),ROUND('F Intl Con Plus Base'!$D$120*(1+International_Fuel_Surcharge),2),ROUND(((1-'F Intl Con Plus Base'!$D$117)*'F Intl Con Plus Base'!D34)*(1+International_Fuel_Surcharge),2)))*(1+FedEx_Markup),2)</f>
        <v>85.58</v>
      </c>
      <c r="E37" s="307">
        <f>ROUND((IF('F Intl Con Plus Base'!$E$120&gt;ROUND(((1-'F Intl Con Plus Base'!$E$117)*'F Intl Con Plus Base'!E34),2),ROUND('F Intl Con Plus Base'!$E$120*(1+International_Fuel_Surcharge),2),ROUND(((1-'F Intl Con Plus Base'!$E$117)*'F Intl Con Plus Base'!E34)*(1+International_Fuel_Surcharge),2)))*(1+FedEx_Markup),2)</f>
        <v>137.43</v>
      </c>
      <c r="F37" s="307">
        <f>ROUND((IF('F Intl Con Plus Base'!$F$120&gt;ROUND(((1-'F Intl Con Plus Base'!$F$117)*'F Intl Con Plus Base'!F34),2),ROUND('F Intl Con Plus Base'!$F$120*(1+International_Fuel_Surcharge),2),ROUND(((1-'F Intl Con Plus Base'!$F$117)*'F Intl Con Plus Base'!F34)*(1+International_Fuel_Surcharge),2)))*(1+FedEx_Markup),2)</f>
        <v>262.37</v>
      </c>
      <c r="G37" s="307">
        <f>ROUND((IF('F Intl Con Plus Base'!$G$120&gt;ROUND(((1-'F Intl Con Plus Base'!$G$117)*'F Intl Con Plus Base'!G34),2),ROUND('F Intl Con Plus Base'!$G$120*(1+International_Fuel_Surcharge),2),ROUND(((1-'F Intl Con Plus Base'!$G$117)*'F Intl Con Plus Base'!G34)*(1+International_Fuel_Surcharge),2)))*(1+FedEx_Markup),2)</f>
        <v>144.04</v>
      </c>
      <c r="H37" s="307">
        <f>ROUND((IF('F Intl Con Plus Base'!$H$120&gt;ROUND(((1-'F Intl Con Plus Base'!$H$117)*'F Intl Con Plus Base'!H34),2),ROUND('F Intl Con Plus Base'!$H$120*(1+International_Fuel_Surcharge),2),ROUND(((1-'F Intl Con Plus Base'!$H$117)*'F Intl Con Plus Base'!H34)*(1+International_Fuel_Surcharge),2)))*(1+FedEx_Markup),2)</f>
        <v>151.41999999999999</v>
      </c>
      <c r="I37" s="307">
        <f>ROUND((IF('F Intl Con Plus Base'!$I$120&gt;ROUND(((1-'F Intl Con Plus Base'!$I$117)*'F Intl Con Plus Base'!I34),2),ROUND('F Intl Con Plus Base'!$I$120*(1+International_Fuel_Surcharge),2),ROUND(((1-'F Intl Con Plus Base'!$I$117)*'F Intl Con Plus Base'!I34)*(1+International_Fuel_Surcharge),2)))*(1+FedEx_Markup),2)</f>
        <v>169.19</v>
      </c>
      <c r="J37" s="307">
        <f>ROUND((IF('F Intl Con Plus Base'!$J$120&gt;ROUND(((1-'F Intl Con Plus Base'!$J$117)*'F Intl Con Plus Base'!J34),2),ROUND('F Intl Con Plus Base'!$J$120*(1+International_Fuel_Surcharge),2),ROUND(((1-'F Intl Con Plus Base'!$J$117)*'F Intl Con Plus Base'!J34)*(1+International_Fuel_Surcharge),2)))*(1+FedEx_Markup),2)</f>
        <v>104.94</v>
      </c>
      <c r="K37" s="307">
        <f>ROUND((IF('F Intl Con Plus Base'!$K$120&gt;ROUND(((1-'F Intl Con Plus Base'!$K$117)*'F Intl Con Plus Base'!K34),2),ROUND('F Intl Con Plus Base'!$K$120*(1+International_Fuel_Surcharge),2),ROUND(((1-'F Intl Con Plus Base'!$K$117)*'F Intl Con Plus Base'!K34)*(1+International_Fuel_Surcharge),2)))*(1+FedEx_Markup),2)</f>
        <v>193.5</v>
      </c>
      <c r="L37" s="307">
        <f>ROUND((IF('F Intl Con Plus Base'!$L$120&gt;ROUND(((1-'F Intl Con Plus Base'!$L$117)*'F Intl Con Plus Base'!L34),2),ROUND('F Intl Con Plus Base'!$L$120*(1+International_Fuel_Surcharge),2),ROUND(((1-'F Intl Con Plus Base'!$L$117)*'F Intl Con Plus Base'!L34)*(1+International_Fuel_Surcharge),2)))*(1+FedEx_Markup),2)</f>
        <v>183.75</v>
      </c>
      <c r="M37" s="307">
        <f>ROUND((IF('F Intl Con Plus Base'!$M$120&gt;ROUND(((1-'F Intl Con Plus Base'!$M$117)*'F Intl Con Plus Base'!M34),2),ROUND('F Intl Con Plus Base'!$M$120*(1+International_Fuel_Surcharge),2),ROUND(((1-'F Intl Con Plus Base'!$M$117)*'F Intl Con Plus Base'!M34)*(1+International_Fuel_Surcharge),2)))*(1+FedEx_Markup),2)</f>
        <v>259.10000000000002</v>
      </c>
      <c r="N37" s="307">
        <f>ROUND((IF('F Intl Con Plus Base'!$N$120&gt;ROUND(((1-'F Intl Con Plus Base'!$N$117)*'F Intl Con Plus Base'!N34),2),ROUND('F Intl Con Plus Base'!$N$120*(1+International_Fuel_Surcharge),2),ROUND(((1-'F Intl Con Plus Base'!$N$117)*'F Intl Con Plus Base'!N34)*(1+International_Fuel_Surcharge),2)))*(1+FedEx_Markup),2)</f>
        <v>244.11</v>
      </c>
      <c r="O37" s="307">
        <f>ROUND((IF('F Intl Con Plus Base'!$O$120&gt;ROUND(((1-'F Intl Con Plus Base'!$O$117)*'F Intl Con Plus Base'!O34),2),ROUND('F Intl Con Plus Base'!$O$120*(1+International_Fuel_Surcharge),2),ROUND(((1-'F Intl Con Plus Base'!$O$117)*'F Intl Con Plus Base'!O34)*(1+International_Fuel_Surcharge),2)))*(1+FedEx_Markup),2)</f>
        <v>185.47</v>
      </c>
      <c r="P37" s="307">
        <f>ROUND((IF('F Intl Con Plus Base'!$P$120&gt;ROUND(((1-'F Intl Con Plus Base'!$P$117)*'F Intl Con Plus Base'!P34),2),ROUND('F Intl Con Plus Base'!$P$120*(1+International_Fuel_Surcharge),2),ROUND(((1-'F Intl Con Plus Base'!$P$117)*'F Intl Con Plus Base'!P34)*(1+International_Fuel_Surcharge),2)))*(1+FedEx_Markup),2)</f>
        <v>183.69</v>
      </c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2.75" customHeight="1">
      <c r="A38" s="306">
        <v>33</v>
      </c>
      <c r="B38" s="307">
        <f>ROUND((IF('F Intl Con Plus Base'!$B$120&gt;ROUND(((1-'F Intl Con Plus Base'!$B$117)*'F Intl Con Plus Base'!B35),2),ROUND('F Intl Con Plus Base'!$B$120*(1+International_Fuel_Surcharge),2),ROUND(((1-'F Intl Con Plus Base'!$B$117)*'F Intl Con Plus Base'!B35)*(1+International_Fuel_Surcharge),2)))*(1+FedEx_Markup),2)</f>
        <v>90.06</v>
      </c>
      <c r="C38" s="307">
        <f>ROUND((IF('F Intl Con Plus Base'!$C$120&gt;ROUND(((1-'F Intl Con Plus Base'!$C$117)*'F Intl Con Plus Base'!C35),2),ROUND('F Intl Con Plus Base'!$C$120*(1+International_Fuel_Surcharge),2),ROUND(((1-'F Intl Con Plus Base'!$C$117)*'F Intl Con Plus Base'!C35)*(1+International_Fuel_Surcharge),2)))*(1+FedEx_Markup),2)</f>
        <v>106.16</v>
      </c>
      <c r="D38" s="307">
        <f>ROUND((IF('F Intl Con Plus Base'!$D$120&gt;ROUND(((1-'F Intl Con Plus Base'!$D$117)*'F Intl Con Plus Base'!D35),2),ROUND('F Intl Con Plus Base'!$D$120*(1+International_Fuel_Surcharge),2),ROUND(((1-'F Intl Con Plus Base'!$D$117)*'F Intl Con Plus Base'!D35)*(1+International_Fuel_Surcharge),2)))*(1+FedEx_Markup),2)</f>
        <v>85.66</v>
      </c>
      <c r="E38" s="307">
        <f>ROUND((IF('F Intl Con Plus Base'!$E$120&gt;ROUND(((1-'F Intl Con Plus Base'!$E$117)*'F Intl Con Plus Base'!E35),2),ROUND('F Intl Con Plus Base'!$E$120*(1+International_Fuel_Surcharge),2),ROUND(((1-'F Intl Con Plus Base'!$E$117)*'F Intl Con Plus Base'!E35)*(1+International_Fuel_Surcharge),2)))*(1+FedEx_Markup),2)</f>
        <v>138.22999999999999</v>
      </c>
      <c r="F38" s="307">
        <f>ROUND((IF('F Intl Con Plus Base'!$F$120&gt;ROUND(((1-'F Intl Con Plus Base'!$F$117)*'F Intl Con Plus Base'!F35),2),ROUND('F Intl Con Plus Base'!$F$120*(1+International_Fuel_Surcharge),2),ROUND(((1-'F Intl Con Plus Base'!$F$117)*'F Intl Con Plus Base'!F35)*(1+International_Fuel_Surcharge),2)))*(1+FedEx_Markup),2)</f>
        <v>264.66000000000003</v>
      </c>
      <c r="G38" s="307">
        <f>ROUND((IF('F Intl Con Plus Base'!$G$120&gt;ROUND(((1-'F Intl Con Plus Base'!$G$117)*'F Intl Con Plus Base'!G35),2),ROUND('F Intl Con Plus Base'!$G$120*(1+International_Fuel_Surcharge),2),ROUND(((1-'F Intl Con Plus Base'!$G$117)*'F Intl Con Plus Base'!G35)*(1+International_Fuel_Surcharge),2)))*(1+FedEx_Markup),2)</f>
        <v>157.35</v>
      </c>
      <c r="H38" s="307">
        <f>ROUND((IF('F Intl Con Plus Base'!$H$120&gt;ROUND(((1-'F Intl Con Plus Base'!$H$117)*'F Intl Con Plus Base'!H35),2),ROUND('F Intl Con Plus Base'!$H$120*(1+International_Fuel_Surcharge),2),ROUND(((1-'F Intl Con Plus Base'!$H$117)*'F Intl Con Plus Base'!H35)*(1+International_Fuel_Surcharge),2)))*(1+FedEx_Markup),2)</f>
        <v>152.35</v>
      </c>
      <c r="I38" s="307">
        <f>ROUND((IF('F Intl Con Plus Base'!$I$120&gt;ROUND(((1-'F Intl Con Plus Base'!$I$117)*'F Intl Con Plus Base'!I35),2),ROUND('F Intl Con Plus Base'!$I$120*(1+International_Fuel_Surcharge),2),ROUND(((1-'F Intl Con Plus Base'!$I$117)*'F Intl Con Plus Base'!I35)*(1+International_Fuel_Surcharge),2)))*(1+FedEx_Markup),2)</f>
        <v>173.93</v>
      </c>
      <c r="J38" s="307">
        <f>ROUND((IF('F Intl Con Plus Base'!$J$120&gt;ROUND(((1-'F Intl Con Plus Base'!$J$117)*'F Intl Con Plus Base'!J35),2),ROUND('F Intl Con Plus Base'!$J$120*(1+International_Fuel_Surcharge),2),ROUND(((1-'F Intl Con Plus Base'!$J$117)*'F Intl Con Plus Base'!J35)*(1+International_Fuel_Surcharge),2)))*(1+FedEx_Markup),2)</f>
        <v>108.26</v>
      </c>
      <c r="K38" s="307">
        <f>ROUND((IF('F Intl Con Plus Base'!$K$120&gt;ROUND(((1-'F Intl Con Plus Base'!$K$117)*'F Intl Con Plus Base'!K35),2),ROUND('F Intl Con Plus Base'!$K$120*(1+International_Fuel_Surcharge),2),ROUND(((1-'F Intl Con Plus Base'!$K$117)*'F Intl Con Plus Base'!K35)*(1+International_Fuel_Surcharge),2)))*(1+FedEx_Markup),2)</f>
        <v>193.57</v>
      </c>
      <c r="L38" s="307">
        <f>ROUND((IF('F Intl Con Plus Base'!$L$120&gt;ROUND(((1-'F Intl Con Plus Base'!$L$117)*'F Intl Con Plus Base'!L35),2),ROUND('F Intl Con Plus Base'!$L$120*(1+International_Fuel_Surcharge),2),ROUND(((1-'F Intl Con Plus Base'!$L$117)*'F Intl Con Plus Base'!L35)*(1+International_Fuel_Surcharge),2)))*(1+FedEx_Markup),2)</f>
        <v>183.83</v>
      </c>
      <c r="M38" s="307">
        <f>ROUND((IF('F Intl Con Plus Base'!$M$120&gt;ROUND(((1-'F Intl Con Plus Base'!$M$117)*'F Intl Con Plus Base'!M35),2),ROUND('F Intl Con Plus Base'!$M$120*(1+International_Fuel_Surcharge),2),ROUND(((1-'F Intl Con Plus Base'!$M$117)*'F Intl Con Plus Base'!M35)*(1+International_Fuel_Surcharge),2)))*(1+FedEx_Markup),2)</f>
        <v>261.39999999999998</v>
      </c>
      <c r="N38" s="307">
        <f>ROUND((IF('F Intl Con Plus Base'!$N$120&gt;ROUND(((1-'F Intl Con Plus Base'!$N$117)*'F Intl Con Plus Base'!N35),2),ROUND('F Intl Con Plus Base'!$N$120*(1+International_Fuel_Surcharge),2),ROUND(((1-'F Intl Con Plus Base'!$N$117)*'F Intl Con Plus Base'!N35)*(1+International_Fuel_Surcharge),2)))*(1+FedEx_Markup),2)</f>
        <v>244.21</v>
      </c>
      <c r="O38" s="307">
        <f>ROUND((IF('F Intl Con Plus Base'!$O$120&gt;ROUND(((1-'F Intl Con Plus Base'!$O$117)*'F Intl Con Plus Base'!O35),2),ROUND('F Intl Con Plus Base'!$O$120*(1+International_Fuel_Surcharge),2),ROUND(((1-'F Intl Con Plus Base'!$O$117)*'F Intl Con Plus Base'!O35)*(1+International_Fuel_Surcharge),2)))*(1+FedEx_Markup),2)</f>
        <v>203.32</v>
      </c>
      <c r="P38" s="307">
        <f>ROUND((IF('F Intl Con Plus Base'!$P$120&gt;ROUND(((1-'F Intl Con Plus Base'!$P$117)*'F Intl Con Plus Base'!P35),2),ROUND('F Intl Con Plus Base'!$P$120*(1+International_Fuel_Surcharge),2),ROUND(((1-'F Intl Con Plus Base'!$P$117)*'F Intl Con Plus Base'!P35)*(1+International_Fuel_Surcharge),2)))*(1+FedEx_Markup),2)</f>
        <v>194.58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>
      <c r="A39" s="306">
        <v>34</v>
      </c>
      <c r="B39" s="307">
        <f>ROUND((IF('F Intl Con Plus Base'!$B$120&gt;ROUND(((1-'F Intl Con Plus Base'!$B$117)*'F Intl Con Plus Base'!B36),2),ROUND('F Intl Con Plus Base'!$B$120*(1+International_Fuel_Surcharge),2),ROUND(((1-'F Intl Con Plus Base'!$B$117)*'F Intl Con Plus Base'!B36)*(1+International_Fuel_Surcharge),2)))*(1+FedEx_Markup),2)</f>
        <v>90.13</v>
      </c>
      <c r="C39" s="307">
        <f>ROUND((IF('F Intl Con Plus Base'!$C$120&gt;ROUND(((1-'F Intl Con Plus Base'!$C$117)*'F Intl Con Plus Base'!C36),2),ROUND('F Intl Con Plus Base'!$C$120*(1+International_Fuel_Surcharge),2),ROUND(((1-'F Intl Con Plus Base'!$C$117)*'F Intl Con Plus Base'!C36)*(1+International_Fuel_Surcharge),2)))*(1+FedEx_Markup),2)</f>
        <v>106.21</v>
      </c>
      <c r="D39" s="307">
        <f>ROUND((IF('F Intl Con Plus Base'!$D$120&gt;ROUND(((1-'F Intl Con Plus Base'!$D$117)*'F Intl Con Plus Base'!D36),2),ROUND('F Intl Con Plus Base'!$D$120*(1+International_Fuel_Surcharge),2),ROUND(((1-'F Intl Con Plus Base'!$D$117)*'F Intl Con Plus Base'!D36)*(1+International_Fuel_Surcharge),2)))*(1+FedEx_Markup),2)</f>
        <v>85.73</v>
      </c>
      <c r="E39" s="307">
        <f>ROUND((IF('F Intl Con Plus Base'!$E$120&gt;ROUND(((1-'F Intl Con Plus Base'!$E$117)*'F Intl Con Plus Base'!E36),2),ROUND('F Intl Con Plus Base'!$E$120*(1+International_Fuel_Surcharge),2),ROUND(((1-'F Intl Con Plus Base'!$E$117)*'F Intl Con Plus Base'!E36)*(1+International_Fuel_Surcharge),2)))*(1+FedEx_Markup),2)</f>
        <v>138.32</v>
      </c>
      <c r="F39" s="307">
        <f>ROUND((IF('F Intl Con Plus Base'!$F$120&gt;ROUND(((1-'F Intl Con Plus Base'!$F$117)*'F Intl Con Plus Base'!F36),2),ROUND('F Intl Con Plus Base'!$F$120*(1+International_Fuel_Surcharge),2),ROUND(((1-'F Intl Con Plus Base'!$F$117)*'F Intl Con Plus Base'!F36)*(1+International_Fuel_Surcharge),2)))*(1+FedEx_Markup),2)</f>
        <v>264.89</v>
      </c>
      <c r="G39" s="307">
        <f>ROUND((IF('F Intl Con Plus Base'!$G$120&gt;ROUND(((1-'F Intl Con Plus Base'!$G$117)*'F Intl Con Plus Base'!G36),2),ROUND('F Intl Con Plus Base'!$G$120*(1+International_Fuel_Surcharge),2),ROUND(((1-'F Intl Con Plus Base'!$G$117)*'F Intl Con Plus Base'!G36)*(1+International_Fuel_Surcharge),2)))*(1+FedEx_Markup),2)</f>
        <v>158.69</v>
      </c>
      <c r="H39" s="307">
        <f>ROUND((IF('F Intl Con Plus Base'!$H$120&gt;ROUND(((1-'F Intl Con Plus Base'!$H$117)*'F Intl Con Plus Base'!H36),2),ROUND('F Intl Con Plus Base'!$H$120*(1+International_Fuel_Surcharge),2),ROUND(((1-'F Intl Con Plus Base'!$H$117)*'F Intl Con Plus Base'!H36)*(1+International_Fuel_Surcharge),2)))*(1+FedEx_Markup),2)</f>
        <v>152.5</v>
      </c>
      <c r="I39" s="307">
        <f>ROUND((IF('F Intl Con Plus Base'!$I$120&gt;ROUND(((1-'F Intl Con Plus Base'!$I$117)*'F Intl Con Plus Base'!I36),2),ROUND('F Intl Con Plus Base'!$I$120*(1+International_Fuel_Surcharge),2),ROUND(((1-'F Intl Con Plus Base'!$I$117)*'F Intl Con Plus Base'!I36)*(1+International_Fuel_Surcharge),2)))*(1+FedEx_Markup),2)</f>
        <v>174.41</v>
      </c>
      <c r="J39" s="307">
        <f>ROUND((IF('F Intl Con Plus Base'!$J$120&gt;ROUND(((1-'F Intl Con Plus Base'!$J$117)*'F Intl Con Plus Base'!J36),2),ROUND('F Intl Con Plus Base'!$J$120*(1+International_Fuel_Surcharge),2),ROUND(((1-'F Intl Con Plus Base'!$J$117)*'F Intl Con Plus Base'!J36)*(1+International_Fuel_Surcharge),2)))*(1+FedEx_Markup),2)</f>
        <v>108.59</v>
      </c>
      <c r="K39" s="307">
        <f>ROUND((IF('F Intl Con Plus Base'!$K$120&gt;ROUND(((1-'F Intl Con Plus Base'!$K$117)*'F Intl Con Plus Base'!K36),2),ROUND('F Intl Con Plus Base'!$K$120*(1+International_Fuel_Surcharge),2),ROUND(((1-'F Intl Con Plus Base'!$K$117)*'F Intl Con Plus Base'!K36)*(1+International_Fuel_Surcharge),2)))*(1+FedEx_Markup),2)</f>
        <v>193.97</v>
      </c>
      <c r="L39" s="307">
        <f>ROUND((IF('F Intl Con Plus Base'!$L$120&gt;ROUND(((1-'F Intl Con Plus Base'!$L$117)*'F Intl Con Plus Base'!L36),2),ROUND('F Intl Con Plus Base'!$L$120*(1+International_Fuel_Surcharge),2),ROUND(((1-'F Intl Con Plus Base'!$L$117)*'F Intl Con Plus Base'!L36)*(1+International_Fuel_Surcharge),2)))*(1+FedEx_Markup),2)</f>
        <v>183.93</v>
      </c>
      <c r="M39" s="307">
        <f>ROUND((IF('F Intl Con Plus Base'!$M$120&gt;ROUND(((1-'F Intl Con Plus Base'!$M$117)*'F Intl Con Plus Base'!M36),2),ROUND('F Intl Con Plus Base'!$M$120*(1+International_Fuel_Surcharge),2),ROUND(((1-'F Intl Con Plus Base'!$M$117)*'F Intl Con Plus Base'!M36)*(1+International_Fuel_Surcharge),2)))*(1+FedEx_Markup),2)</f>
        <v>261.64</v>
      </c>
      <c r="N39" s="307">
        <f>ROUND((IF('F Intl Con Plus Base'!$N$120&gt;ROUND(((1-'F Intl Con Plus Base'!$N$117)*'F Intl Con Plus Base'!N36),2),ROUND('F Intl Con Plus Base'!$N$120*(1+International_Fuel_Surcharge),2),ROUND(((1-'F Intl Con Plus Base'!$N$117)*'F Intl Con Plus Base'!N36)*(1+International_Fuel_Surcharge),2)))*(1+FedEx_Markup),2)</f>
        <v>244.27</v>
      </c>
      <c r="O39" s="307">
        <f>ROUND((IF('F Intl Con Plus Base'!$O$120&gt;ROUND(((1-'F Intl Con Plus Base'!$O$117)*'F Intl Con Plus Base'!O36),2),ROUND('F Intl Con Plus Base'!$O$120*(1+International_Fuel_Surcharge),2),ROUND(((1-'F Intl Con Plus Base'!$O$117)*'F Intl Con Plus Base'!O36)*(1+International_Fuel_Surcharge),2)))*(1+FedEx_Markup),2)</f>
        <v>205.1</v>
      </c>
      <c r="P39" s="307">
        <f>ROUND((IF('F Intl Con Plus Base'!$P$120&gt;ROUND(((1-'F Intl Con Plus Base'!$P$117)*'F Intl Con Plus Base'!P36),2),ROUND('F Intl Con Plus Base'!$P$120*(1+International_Fuel_Surcharge),2),ROUND(((1-'F Intl Con Plus Base'!$P$117)*'F Intl Con Plus Base'!P36)*(1+International_Fuel_Surcharge),2)))*(1+FedEx_Markup),2)</f>
        <v>201.48</v>
      </c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2.75" customHeight="1">
      <c r="A40" s="306">
        <v>35</v>
      </c>
      <c r="B40" s="307">
        <f>ROUND((IF('F Intl Con Plus Base'!$B$120&gt;ROUND(((1-'F Intl Con Plus Base'!$B$117)*'F Intl Con Plus Base'!B37),2),ROUND('F Intl Con Plus Base'!$B$120*(1+International_Fuel_Surcharge),2),ROUND(((1-'F Intl Con Plus Base'!$B$117)*'F Intl Con Plus Base'!B37)*(1+International_Fuel_Surcharge),2)))*(1+FedEx_Markup),2)</f>
        <v>90.84</v>
      </c>
      <c r="C40" s="307">
        <f>ROUND((IF('F Intl Con Plus Base'!$C$120&gt;ROUND(((1-'F Intl Con Plus Base'!$C$117)*'F Intl Con Plus Base'!C37),2),ROUND('F Intl Con Plus Base'!$C$120*(1+International_Fuel_Surcharge),2),ROUND(((1-'F Intl Con Plus Base'!$C$117)*'F Intl Con Plus Base'!C37)*(1+International_Fuel_Surcharge),2)))*(1+FedEx_Markup),2)</f>
        <v>106.7</v>
      </c>
      <c r="D40" s="307">
        <f>ROUND((IF('F Intl Con Plus Base'!$D$120&gt;ROUND(((1-'F Intl Con Plus Base'!$D$117)*'F Intl Con Plus Base'!D37),2),ROUND('F Intl Con Plus Base'!$D$120*(1+International_Fuel_Surcharge),2),ROUND(((1-'F Intl Con Plus Base'!$D$117)*'F Intl Con Plus Base'!D37)*(1+International_Fuel_Surcharge),2)))*(1+FedEx_Markup),2)</f>
        <v>85.8</v>
      </c>
      <c r="E40" s="307">
        <f>ROUND((IF('F Intl Con Plus Base'!$E$120&gt;ROUND(((1-'F Intl Con Plus Base'!$E$117)*'F Intl Con Plus Base'!E37),2),ROUND('F Intl Con Plus Base'!$E$120*(1+International_Fuel_Surcharge),2),ROUND(((1-'F Intl Con Plus Base'!$E$117)*'F Intl Con Plus Base'!E37)*(1+International_Fuel_Surcharge),2)))*(1+FedEx_Markup),2)</f>
        <v>138.38999999999999</v>
      </c>
      <c r="F40" s="307">
        <f>ROUND((IF('F Intl Con Plus Base'!$F$120&gt;ROUND(((1-'F Intl Con Plus Base'!$F$117)*'F Intl Con Plus Base'!F37),2),ROUND('F Intl Con Plus Base'!$F$120*(1+International_Fuel_Surcharge),2),ROUND(((1-'F Intl Con Plus Base'!$F$117)*'F Intl Con Plus Base'!F37)*(1+International_Fuel_Surcharge),2)))*(1+FedEx_Markup),2)</f>
        <v>264.95999999999998</v>
      </c>
      <c r="G40" s="307">
        <f>ROUND((IF('F Intl Con Plus Base'!$G$120&gt;ROUND(((1-'F Intl Con Plus Base'!$G$117)*'F Intl Con Plus Base'!G37),2),ROUND('F Intl Con Plus Base'!$G$120*(1+International_Fuel_Surcharge),2),ROUND(((1-'F Intl Con Plus Base'!$G$117)*'F Intl Con Plus Base'!G37)*(1+International_Fuel_Surcharge),2)))*(1+FedEx_Markup),2)</f>
        <v>159.77000000000001</v>
      </c>
      <c r="H40" s="307">
        <f>ROUND((IF('F Intl Con Plus Base'!$H$120&gt;ROUND(((1-'F Intl Con Plus Base'!$H$117)*'F Intl Con Plus Base'!H37),2),ROUND('F Intl Con Plus Base'!$H$120*(1+International_Fuel_Surcharge),2),ROUND(((1-'F Intl Con Plus Base'!$H$117)*'F Intl Con Plus Base'!H37)*(1+International_Fuel_Surcharge),2)))*(1+FedEx_Markup),2)</f>
        <v>153.13</v>
      </c>
      <c r="I40" s="307">
        <f>ROUND((IF('F Intl Con Plus Base'!$I$120&gt;ROUND(((1-'F Intl Con Plus Base'!$I$117)*'F Intl Con Plus Base'!I37),2),ROUND('F Intl Con Plus Base'!$I$120*(1+International_Fuel_Surcharge),2),ROUND(((1-'F Intl Con Plus Base'!$I$117)*'F Intl Con Plus Base'!I37)*(1+International_Fuel_Surcharge),2)))*(1+FedEx_Markup),2)</f>
        <v>177.42</v>
      </c>
      <c r="J40" s="307">
        <f>ROUND((IF('F Intl Con Plus Base'!$J$120&gt;ROUND(((1-'F Intl Con Plus Base'!$J$117)*'F Intl Con Plus Base'!J37),2),ROUND('F Intl Con Plus Base'!$J$120*(1+International_Fuel_Surcharge),2),ROUND(((1-'F Intl Con Plus Base'!$J$117)*'F Intl Con Plus Base'!J37)*(1+International_Fuel_Surcharge),2)))*(1+FedEx_Markup),2)</f>
        <v>109.03</v>
      </c>
      <c r="K40" s="307">
        <f>ROUND((IF('F Intl Con Plus Base'!$K$120&gt;ROUND(((1-'F Intl Con Plus Base'!$K$117)*'F Intl Con Plus Base'!K37),2),ROUND('F Intl Con Plus Base'!$K$120*(1+International_Fuel_Surcharge),2),ROUND(((1-'F Intl Con Plus Base'!$K$117)*'F Intl Con Plus Base'!K37)*(1+International_Fuel_Surcharge),2)))*(1+FedEx_Markup),2)</f>
        <v>201.94</v>
      </c>
      <c r="L40" s="307">
        <f>ROUND((IF('F Intl Con Plus Base'!$L$120&gt;ROUND(((1-'F Intl Con Plus Base'!$L$117)*'F Intl Con Plus Base'!L37),2),ROUND('F Intl Con Plus Base'!$L$120*(1+International_Fuel_Surcharge),2),ROUND(((1-'F Intl Con Plus Base'!$L$117)*'F Intl Con Plus Base'!L37)*(1+International_Fuel_Surcharge),2)))*(1+FedEx_Markup),2)</f>
        <v>184.22</v>
      </c>
      <c r="M40" s="307">
        <f>ROUND((IF('F Intl Con Plus Base'!$M$120&gt;ROUND(((1-'F Intl Con Plus Base'!$M$117)*'F Intl Con Plus Base'!M37),2),ROUND('F Intl Con Plus Base'!$M$120*(1+International_Fuel_Surcharge),2),ROUND(((1-'F Intl Con Plus Base'!$M$117)*'F Intl Con Plus Base'!M37)*(1+International_Fuel_Surcharge),2)))*(1+FedEx_Markup),2)</f>
        <v>261.72000000000003</v>
      </c>
      <c r="N40" s="307">
        <f>ROUND((IF('F Intl Con Plus Base'!$N$120&gt;ROUND(((1-'F Intl Con Plus Base'!$N$117)*'F Intl Con Plus Base'!N37),2),ROUND('F Intl Con Plus Base'!$N$120*(1+International_Fuel_Surcharge),2),ROUND(((1-'F Intl Con Plus Base'!$N$117)*'F Intl Con Plus Base'!N37)*(1+International_Fuel_Surcharge),2)))*(1+FedEx_Markup),2)</f>
        <v>244.35</v>
      </c>
      <c r="O40" s="307">
        <f>ROUND((IF('F Intl Con Plus Base'!$O$120&gt;ROUND(((1-'F Intl Con Plus Base'!$O$117)*'F Intl Con Plus Base'!O37),2),ROUND('F Intl Con Plus Base'!$O$120*(1+International_Fuel_Surcharge),2),ROUND(((1-'F Intl Con Plus Base'!$O$117)*'F Intl Con Plus Base'!O37)*(1+International_Fuel_Surcharge),2)))*(1+FedEx_Markup),2)</f>
        <v>205.8</v>
      </c>
      <c r="P40" s="307">
        <f>ROUND((IF('F Intl Con Plus Base'!$P$120&gt;ROUND(((1-'F Intl Con Plus Base'!$P$117)*'F Intl Con Plus Base'!P37),2),ROUND('F Intl Con Plus Base'!$P$120*(1+International_Fuel_Surcharge),2),ROUND(((1-'F Intl Con Plus Base'!$P$117)*'F Intl Con Plus Base'!P37)*(1+International_Fuel_Surcharge),2)))*(1+FedEx_Markup),2)</f>
        <v>202.8</v>
      </c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2.75" customHeight="1">
      <c r="A41" s="306">
        <v>36</v>
      </c>
      <c r="B41" s="307">
        <f>ROUND((IF('F Intl Con Plus Base'!$B$120&gt;ROUND(((1-'F Intl Con Plus Base'!$B$117)*'F Intl Con Plus Base'!B38),2),ROUND('F Intl Con Plus Base'!$B$120*(1+International_Fuel_Surcharge),2),ROUND(((1-'F Intl Con Plus Base'!$B$117)*'F Intl Con Plus Base'!B38)*(1+International_Fuel_Surcharge),2)))*(1+FedEx_Markup),2)</f>
        <v>101.11</v>
      </c>
      <c r="C41" s="307">
        <f>ROUND((IF('F Intl Con Plus Base'!$C$120&gt;ROUND(((1-'F Intl Con Plus Base'!$C$117)*'F Intl Con Plus Base'!C38),2),ROUND('F Intl Con Plus Base'!$C$120*(1+International_Fuel_Surcharge),2),ROUND(((1-'F Intl Con Plus Base'!$C$117)*'F Intl Con Plus Base'!C38)*(1+International_Fuel_Surcharge),2)))*(1+FedEx_Markup),2)</f>
        <v>116.29</v>
      </c>
      <c r="D41" s="307">
        <f>ROUND((IF('F Intl Con Plus Base'!$D$120&gt;ROUND(((1-'F Intl Con Plus Base'!$D$117)*'F Intl Con Plus Base'!D38),2),ROUND('F Intl Con Plus Base'!$D$120*(1+International_Fuel_Surcharge),2),ROUND(((1-'F Intl Con Plus Base'!$D$117)*'F Intl Con Plus Base'!D38)*(1+International_Fuel_Surcharge),2)))*(1+FedEx_Markup),2)</f>
        <v>87.2</v>
      </c>
      <c r="E41" s="307">
        <f>ROUND((IF('F Intl Con Plus Base'!$E$120&gt;ROUND(((1-'F Intl Con Plus Base'!$E$117)*'F Intl Con Plus Base'!E38),2),ROUND('F Intl Con Plus Base'!$E$120*(1+International_Fuel_Surcharge),2),ROUND(((1-'F Intl Con Plus Base'!$E$117)*'F Intl Con Plus Base'!E38)*(1+International_Fuel_Surcharge),2)))*(1+FedEx_Markup),2)</f>
        <v>138.47</v>
      </c>
      <c r="F41" s="307">
        <f>ROUND((IF('F Intl Con Plus Base'!$F$120&gt;ROUND(((1-'F Intl Con Plus Base'!$F$117)*'F Intl Con Plus Base'!F38),2),ROUND('F Intl Con Plus Base'!$F$120*(1+International_Fuel_Surcharge),2),ROUND(((1-'F Intl Con Plus Base'!$F$117)*'F Intl Con Plus Base'!F38)*(1+International_Fuel_Surcharge),2)))*(1+FedEx_Markup),2)</f>
        <v>265.02</v>
      </c>
      <c r="G41" s="307">
        <f>ROUND((IF('F Intl Con Plus Base'!$G$120&gt;ROUND(((1-'F Intl Con Plus Base'!$G$117)*'F Intl Con Plus Base'!G38),2),ROUND('F Intl Con Plus Base'!$G$120*(1+International_Fuel_Surcharge),2),ROUND(((1-'F Intl Con Plus Base'!$G$117)*'F Intl Con Plus Base'!G38)*(1+International_Fuel_Surcharge),2)))*(1+FedEx_Markup),2)</f>
        <v>159.88</v>
      </c>
      <c r="H41" s="307">
        <f>ROUND((IF('F Intl Con Plus Base'!$H$120&gt;ROUND(((1-'F Intl Con Plus Base'!$H$117)*'F Intl Con Plus Base'!H38),2),ROUND('F Intl Con Plus Base'!$H$120*(1+International_Fuel_Surcharge),2),ROUND(((1-'F Intl Con Plus Base'!$H$117)*'F Intl Con Plus Base'!H38)*(1+International_Fuel_Surcharge),2)))*(1+FedEx_Markup),2)</f>
        <v>165.96</v>
      </c>
      <c r="I41" s="307">
        <f>ROUND((IF('F Intl Con Plus Base'!$I$120&gt;ROUND(((1-'F Intl Con Plus Base'!$I$117)*'F Intl Con Plus Base'!I38),2),ROUND('F Intl Con Plus Base'!$I$120*(1+International_Fuel_Surcharge),2),ROUND(((1-'F Intl Con Plus Base'!$I$117)*'F Intl Con Plus Base'!I38)*(1+International_Fuel_Surcharge),2)))*(1+FedEx_Markup),2)</f>
        <v>184.15</v>
      </c>
      <c r="J41" s="307">
        <f>ROUND((IF('F Intl Con Plus Base'!$J$120&gt;ROUND(((1-'F Intl Con Plus Base'!$J$117)*'F Intl Con Plus Base'!J38),2),ROUND('F Intl Con Plus Base'!$J$120*(1+International_Fuel_Surcharge),2),ROUND(((1-'F Intl Con Plus Base'!$J$117)*'F Intl Con Plus Base'!J38)*(1+International_Fuel_Surcharge),2)))*(1+FedEx_Markup),2)</f>
        <v>109.09</v>
      </c>
      <c r="K41" s="307">
        <f>ROUND((IF('F Intl Con Plus Base'!$K$120&gt;ROUND(((1-'F Intl Con Plus Base'!$K$117)*'F Intl Con Plus Base'!K38),2),ROUND('F Intl Con Plus Base'!$K$120*(1+International_Fuel_Surcharge),2),ROUND(((1-'F Intl Con Plus Base'!$K$117)*'F Intl Con Plus Base'!K38)*(1+International_Fuel_Surcharge),2)))*(1+FedEx_Markup),2)</f>
        <v>240.52</v>
      </c>
      <c r="L41" s="307">
        <f>ROUND((IF('F Intl Con Plus Base'!$L$120&gt;ROUND(((1-'F Intl Con Plus Base'!$L$117)*'F Intl Con Plus Base'!L38),2),ROUND('F Intl Con Plus Base'!$L$120*(1+International_Fuel_Surcharge),2),ROUND(((1-'F Intl Con Plus Base'!$L$117)*'F Intl Con Plus Base'!L38)*(1+International_Fuel_Surcharge),2)))*(1+FedEx_Markup),2)</f>
        <v>190.14</v>
      </c>
      <c r="M41" s="307">
        <f>ROUND((IF('F Intl Con Plus Base'!$M$120&gt;ROUND(((1-'F Intl Con Plus Base'!$M$117)*'F Intl Con Plus Base'!M38),2),ROUND('F Intl Con Plus Base'!$M$120*(1+International_Fuel_Surcharge),2),ROUND(((1-'F Intl Con Plus Base'!$M$117)*'F Intl Con Plus Base'!M38)*(1+International_Fuel_Surcharge),2)))*(1+FedEx_Markup),2)</f>
        <v>262.18</v>
      </c>
      <c r="N41" s="307">
        <f>ROUND((IF('F Intl Con Plus Base'!$N$120&gt;ROUND(((1-'F Intl Con Plus Base'!$N$117)*'F Intl Con Plus Base'!N38),2),ROUND('F Intl Con Plus Base'!$N$120*(1+International_Fuel_Surcharge),2),ROUND(((1-'F Intl Con Plus Base'!$N$117)*'F Intl Con Plus Base'!N38)*(1+International_Fuel_Surcharge),2)))*(1+FedEx_Markup),2)</f>
        <v>244.43</v>
      </c>
      <c r="O41" s="307">
        <f>ROUND((IF('F Intl Con Plus Base'!$O$120&gt;ROUND(((1-'F Intl Con Plus Base'!$O$117)*'F Intl Con Plus Base'!O38),2),ROUND('F Intl Con Plus Base'!$O$120*(1+International_Fuel_Surcharge),2),ROUND(((1-'F Intl Con Plus Base'!$O$117)*'F Intl Con Plus Base'!O38)*(1+International_Fuel_Surcharge),2)))*(1+FedEx_Markup),2)</f>
        <v>219.77</v>
      </c>
      <c r="P41" s="307">
        <f>ROUND((IF('F Intl Con Plus Base'!$P$120&gt;ROUND(((1-'F Intl Con Plus Base'!$P$117)*'F Intl Con Plus Base'!P38),2),ROUND('F Intl Con Plus Base'!$P$120*(1+International_Fuel_Surcharge),2),ROUND(((1-'F Intl Con Plus Base'!$P$117)*'F Intl Con Plus Base'!P38)*(1+International_Fuel_Surcharge),2)))*(1+FedEx_Markup),2)</f>
        <v>202.96</v>
      </c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2.75" customHeight="1">
      <c r="A42" s="306">
        <v>37</v>
      </c>
      <c r="B42" s="307">
        <f>ROUND((IF('F Intl Con Plus Base'!$B$120&gt;ROUND(((1-'F Intl Con Plus Base'!$B$117)*'F Intl Con Plus Base'!B39),2),ROUND('F Intl Con Plus Base'!$B$120*(1+International_Fuel_Surcharge),2),ROUND(((1-'F Intl Con Plus Base'!$B$117)*'F Intl Con Plus Base'!B39)*(1+International_Fuel_Surcharge),2)))*(1+FedEx_Markup),2)</f>
        <v>102.14</v>
      </c>
      <c r="C42" s="307">
        <f>ROUND((IF('F Intl Con Plus Base'!$C$120&gt;ROUND(((1-'F Intl Con Plus Base'!$C$117)*'F Intl Con Plus Base'!C39),2),ROUND('F Intl Con Plus Base'!$C$120*(1+International_Fuel_Surcharge),2),ROUND(((1-'F Intl Con Plus Base'!$C$117)*'F Intl Con Plus Base'!C39)*(1+International_Fuel_Surcharge),2)))*(1+FedEx_Markup),2)</f>
        <v>118.51</v>
      </c>
      <c r="D42" s="307">
        <f>ROUND((IF('F Intl Con Plus Base'!$D$120&gt;ROUND(((1-'F Intl Con Plus Base'!$D$117)*'F Intl Con Plus Base'!D39),2),ROUND('F Intl Con Plus Base'!$D$120*(1+International_Fuel_Surcharge),2),ROUND(((1-'F Intl Con Plus Base'!$D$117)*'F Intl Con Plus Base'!D39)*(1+International_Fuel_Surcharge),2)))*(1+FedEx_Markup),2)</f>
        <v>88.33</v>
      </c>
      <c r="E42" s="307">
        <f>ROUND((IF('F Intl Con Plus Base'!$E$120&gt;ROUND(((1-'F Intl Con Plus Base'!$E$117)*'F Intl Con Plus Base'!E39),2),ROUND('F Intl Con Plus Base'!$E$120*(1+International_Fuel_Surcharge),2),ROUND(((1-'F Intl Con Plus Base'!$E$117)*'F Intl Con Plus Base'!E39)*(1+International_Fuel_Surcharge),2)))*(1+FedEx_Markup),2)</f>
        <v>139.02000000000001</v>
      </c>
      <c r="F42" s="307">
        <f>ROUND((IF('F Intl Con Plus Base'!$F$120&gt;ROUND(((1-'F Intl Con Plus Base'!$F$117)*'F Intl Con Plus Base'!F39),2),ROUND('F Intl Con Plus Base'!$F$120*(1+International_Fuel_Surcharge),2),ROUND(((1-'F Intl Con Plus Base'!$F$117)*'F Intl Con Plus Base'!F39)*(1+International_Fuel_Surcharge),2)))*(1+FedEx_Markup),2)</f>
        <v>265.08</v>
      </c>
      <c r="G42" s="307">
        <f>ROUND((IF('F Intl Con Plus Base'!$G$120&gt;ROUND(((1-'F Intl Con Plus Base'!$G$117)*'F Intl Con Plus Base'!G39),2),ROUND('F Intl Con Plus Base'!$G$120*(1+International_Fuel_Surcharge),2),ROUND(((1-'F Intl Con Plus Base'!$G$117)*'F Intl Con Plus Base'!G39)*(1+International_Fuel_Surcharge),2)))*(1+FedEx_Markup),2)</f>
        <v>159.97</v>
      </c>
      <c r="H42" s="307">
        <f>ROUND((IF('F Intl Con Plus Base'!$H$120&gt;ROUND(((1-'F Intl Con Plus Base'!$H$117)*'F Intl Con Plus Base'!H39),2),ROUND('F Intl Con Plus Base'!$H$120*(1+International_Fuel_Surcharge),2),ROUND(((1-'F Intl Con Plus Base'!$H$117)*'F Intl Con Plus Base'!H39)*(1+International_Fuel_Surcharge),2)))*(1+FedEx_Markup),2)</f>
        <v>167.23</v>
      </c>
      <c r="I42" s="307">
        <f>ROUND((IF('F Intl Con Plus Base'!$I$120&gt;ROUND(((1-'F Intl Con Plus Base'!$I$117)*'F Intl Con Plus Base'!I39),2),ROUND('F Intl Con Plus Base'!$I$120*(1+International_Fuel_Surcharge),2),ROUND(((1-'F Intl Con Plus Base'!$I$117)*'F Intl Con Plus Base'!I39)*(1+International_Fuel_Surcharge),2)))*(1+FedEx_Markup),2)</f>
        <v>185.05</v>
      </c>
      <c r="J42" s="307">
        <f>ROUND((IF('F Intl Con Plus Base'!$J$120&gt;ROUND(((1-'F Intl Con Plus Base'!$J$117)*'F Intl Con Plus Base'!J39),2),ROUND('F Intl Con Plus Base'!$J$120*(1+International_Fuel_Surcharge),2),ROUND(((1-'F Intl Con Plus Base'!$J$117)*'F Intl Con Plus Base'!J39)*(1+International_Fuel_Surcharge),2)))*(1+FedEx_Markup),2)</f>
        <v>109.25</v>
      </c>
      <c r="K42" s="307">
        <f>ROUND((IF('F Intl Con Plus Base'!$K$120&gt;ROUND(((1-'F Intl Con Plus Base'!$K$117)*'F Intl Con Plus Base'!K39),2),ROUND('F Intl Con Plus Base'!$K$120*(1+International_Fuel_Surcharge),2),ROUND(((1-'F Intl Con Plus Base'!$K$117)*'F Intl Con Plus Base'!K39)*(1+International_Fuel_Surcharge),2)))*(1+FedEx_Markup),2)</f>
        <v>244.38</v>
      </c>
      <c r="L42" s="307">
        <f>ROUND((IF('F Intl Con Plus Base'!$L$120&gt;ROUND(((1-'F Intl Con Plus Base'!$L$117)*'F Intl Con Plus Base'!L39),2),ROUND('F Intl Con Plus Base'!$L$120*(1+International_Fuel_Surcharge),2),ROUND(((1-'F Intl Con Plus Base'!$L$117)*'F Intl Con Plus Base'!L39)*(1+International_Fuel_Surcharge),2)))*(1+FedEx_Markup),2)</f>
        <v>190.73</v>
      </c>
      <c r="M42" s="307">
        <f>ROUND((IF('F Intl Con Plus Base'!$M$120&gt;ROUND(((1-'F Intl Con Plus Base'!$M$117)*'F Intl Con Plus Base'!M39),2),ROUND('F Intl Con Plus Base'!$M$120*(1+International_Fuel_Surcharge),2),ROUND(((1-'F Intl Con Plus Base'!$M$117)*'F Intl Con Plus Base'!M39)*(1+International_Fuel_Surcharge),2)))*(1+FedEx_Markup),2)</f>
        <v>262.68</v>
      </c>
      <c r="N42" s="307">
        <f>ROUND((IF('F Intl Con Plus Base'!$N$120&gt;ROUND(((1-'F Intl Con Plus Base'!$N$117)*'F Intl Con Plus Base'!N39),2),ROUND('F Intl Con Plus Base'!$N$120*(1+International_Fuel_Surcharge),2),ROUND(((1-'F Intl Con Plus Base'!$N$117)*'F Intl Con Plus Base'!N39)*(1+International_Fuel_Surcharge),2)))*(1+FedEx_Markup),2)</f>
        <v>245.32</v>
      </c>
      <c r="O42" s="307">
        <f>ROUND((IF('F Intl Con Plus Base'!$O$120&gt;ROUND(((1-'F Intl Con Plus Base'!$O$117)*'F Intl Con Plus Base'!O39),2),ROUND('F Intl Con Plus Base'!$O$120*(1+International_Fuel_Surcharge),2),ROUND(((1-'F Intl Con Plus Base'!$O$117)*'F Intl Con Plus Base'!O39)*(1+International_Fuel_Surcharge),2)))*(1+FedEx_Markup),2)</f>
        <v>221.18</v>
      </c>
      <c r="P42" s="307">
        <f>ROUND((IF('F Intl Con Plus Base'!$P$120&gt;ROUND(((1-'F Intl Con Plus Base'!$P$117)*'F Intl Con Plus Base'!P39),2),ROUND('F Intl Con Plus Base'!$P$120*(1+International_Fuel_Surcharge),2),ROUND(((1-'F Intl Con Plus Base'!$P$117)*'F Intl Con Plus Base'!P39)*(1+International_Fuel_Surcharge),2)))*(1+FedEx_Markup),2)</f>
        <v>206.16</v>
      </c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2.75" customHeight="1">
      <c r="A43" s="306">
        <v>38</v>
      </c>
      <c r="B43" s="307">
        <f>ROUND((IF('F Intl Con Plus Base'!$B$120&gt;ROUND(((1-'F Intl Con Plus Base'!$B$117)*'F Intl Con Plus Base'!B40),2),ROUND('F Intl Con Plus Base'!$B$120*(1+International_Fuel_Surcharge),2),ROUND(((1-'F Intl Con Plus Base'!$B$117)*'F Intl Con Plus Base'!B40)*(1+International_Fuel_Surcharge),2)))*(1+FedEx_Markup),2)</f>
        <v>105.06</v>
      </c>
      <c r="C43" s="307">
        <f>ROUND((IF('F Intl Con Plus Base'!$C$120&gt;ROUND(((1-'F Intl Con Plus Base'!$C$117)*'F Intl Con Plus Base'!C40),2),ROUND('F Intl Con Plus Base'!$C$120*(1+International_Fuel_Surcharge),2),ROUND(((1-'F Intl Con Plus Base'!$C$117)*'F Intl Con Plus Base'!C40)*(1+International_Fuel_Surcharge),2)))*(1+FedEx_Markup),2)</f>
        <v>120.7</v>
      </c>
      <c r="D43" s="307">
        <f>ROUND((IF('F Intl Con Plus Base'!$D$120&gt;ROUND(((1-'F Intl Con Plus Base'!$D$117)*'F Intl Con Plus Base'!D40),2),ROUND('F Intl Con Plus Base'!$D$120*(1+International_Fuel_Surcharge),2),ROUND(((1-'F Intl Con Plus Base'!$D$117)*'F Intl Con Plus Base'!D40)*(1+International_Fuel_Surcharge),2)))*(1+FedEx_Markup),2)</f>
        <v>88.45</v>
      </c>
      <c r="E43" s="307">
        <f>ROUND((IF('F Intl Con Plus Base'!$E$120&gt;ROUND(((1-'F Intl Con Plus Base'!$E$117)*'F Intl Con Plus Base'!E40),2),ROUND('F Intl Con Plus Base'!$E$120*(1+International_Fuel_Surcharge),2),ROUND(((1-'F Intl Con Plus Base'!$E$117)*'F Intl Con Plus Base'!E40)*(1+International_Fuel_Surcharge),2)))*(1+FedEx_Markup),2)</f>
        <v>141.80000000000001</v>
      </c>
      <c r="F43" s="307">
        <f>ROUND((IF('F Intl Con Plus Base'!$F$120&gt;ROUND(((1-'F Intl Con Plus Base'!$F$117)*'F Intl Con Plus Base'!F40),2),ROUND('F Intl Con Plus Base'!$F$120*(1+International_Fuel_Surcharge),2),ROUND(((1-'F Intl Con Plus Base'!$F$117)*'F Intl Con Plus Base'!F40)*(1+International_Fuel_Surcharge),2)))*(1+FedEx_Markup),2)</f>
        <v>265.18</v>
      </c>
      <c r="G43" s="307">
        <f>ROUND((IF('F Intl Con Plus Base'!$G$120&gt;ROUND(((1-'F Intl Con Plus Base'!$G$117)*'F Intl Con Plus Base'!G40),2),ROUND('F Intl Con Plus Base'!$G$120*(1+International_Fuel_Surcharge),2),ROUND(((1-'F Intl Con Plus Base'!$G$117)*'F Intl Con Plus Base'!G40)*(1+International_Fuel_Surcharge),2)))*(1+FedEx_Markup),2)</f>
        <v>160.06</v>
      </c>
      <c r="H43" s="307">
        <f>ROUND((IF('F Intl Con Plus Base'!$H$120&gt;ROUND(((1-'F Intl Con Plus Base'!$H$117)*'F Intl Con Plus Base'!H40),2),ROUND('F Intl Con Plus Base'!$H$120*(1+International_Fuel_Surcharge),2),ROUND(((1-'F Intl Con Plus Base'!$H$117)*'F Intl Con Plus Base'!H40)*(1+International_Fuel_Surcharge),2)))*(1+FedEx_Markup),2)</f>
        <v>170.13</v>
      </c>
      <c r="I43" s="307">
        <f>ROUND((IF('F Intl Con Plus Base'!$I$120&gt;ROUND(((1-'F Intl Con Plus Base'!$I$117)*'F Intl Con Plus Base'!I40),2),ROUND('F Intl Con Plus Base'!$I$120*(1+International_Fuel_Surcharge),2),ROUND(((1-'F Intl Con Plus Base'!$I$117)*'F Intl Con Plus Base'!I40)*(1+International_Fuel_Surcharge),2)))*(1+FedEx_Markup),2)</f>
        <v>185.44</v>
      </c>
      <c r="J43" s="307">
        <f>ROUND((IF('F Intl Con Plus Base'!$J$120&gt;ROUND(((1-'F Intl Con Plus Base'!$J$117)*'F Intl Con Plus Base'!J40),2),ROUND('F Intl Con Plus Base'!$J$120*(1+International_Fuel_Surcharge),2),ROUND(((1-'F Intl Con Plus Base'!$J$117)*'F Intl Con Plus Base'!J40)*(1+International_Fuel_Surcharge),2)))*(1+FedEx_Markup),2)</f>
        <v>109.32</v>
      </c>
      <c r="K43" s="307">
        <f>ROUND((IF('F Intl Con Plus Base'!$K$120&gt;ROUND(((1-'F Intl Con Plus Base'!$K$117)*'F Intl Con Plus Base'!K40),2),ROUND('F Intl Con Plus Base'!$K$120*(1+International_Fuel_Surcharge),2),ROUND(((1-'F Intl Con Plus Base'!$K$117)*'F Intl Con Plus Base'!K40)*(1+International_Fuel_Surcharge),2)))*(1+FedEx_Markup),2)</f>
        <v>252.45</v>
      </c>
      <c r="L43" s="307">
        <f>ROUND((IF('F Intl Con Plus Base'!$L$120&gt;ROUND(((1-'F Intl Con Plus Base'!$L$117)*'F Intl Con Plus Base'!L40),2),ROUND('F Intl Con Plus Base'!$L$120*(1+International_Fuel_Surcharge),2),ROUND(((1-'F Intl Con Plus Base'!$L$117)*'F Intl Con Plus Base'!L40)*(1+International_Fuel_Surcharge),2)))*(1+FedEx_Markup),2)</f>
        <v>195.25</v>
      </c>
      <c r="M43" s="307">
        <f>ROUND((IF('F Intl Con Plus Base'!$M$120&gt;ROUND(((1-'F Intl Con Plus Base'!$M$117)*'F Intl Con Plus Base'!M40),2),ROUND('F Intl Con Plus Base'!$M$120*(1+International_Fuel_Surcharge),2),ROUND(((1-'F Intl Con Plus Base'!$M$117)*'F Intl Con Plus Base'!M40)*(1+International_Fuel_Surcharge),2)))*(1+FedEx_Markup),2)</f>
        <v>272.5</v>
      </c>
      <c r="N43" s="307">
        <f>ROUND((IF('F Intl Con Plus Base'!$N$120&gt;ROUND(((1-'F Intl Con Plus Base'!$N$117)*'F Intl Con Plus Base'!N40),2),ROUND('F Intl Con Plus Base'!$N$120*(1+International_Fuel_Surcharge),2),ROUND(((1-'F Intl Con Plus Base'!$N$117)*'F Intl Con Plus Base'!N40)*(1+International_Fuel_Surcharge),2)))*(1+FedEx_Markup),2)</f>
        <v>250.62</v>
      </c>
      <c r="O43" s="307">
        <f>ROUND((IF('F Intl Con Plus Base'!$O$120&gt;ROUND(((1-'F Intl Con Plus Base'!$O$117)*'F Intl Con Plus Base'!O40),2),ROUND('F Intl Con Plus Base'!$O$120*(1+International_Fuel_Surcharge),2),ROUND(((1-'F Intl Con Plus Base'!$O$117)*'F Intl Con Plus Base'!O40)*(1+International_Fuel_Surcharge),2)))*(1+FedEx_Markup),2)</f>
        <v>221.33</v>
      </c>
      <c r="P43" s="307">
        <f>ROUND((IF('F Intl Con Plus Base'!$P$120&gt;ROUND(((1-'F Intl Con Plus Base'!$P$117)*'F Intl Con Plus Base'!P40),2),ROUND('F Intl Con Plus Base'!$P$120*(1+International_Fuel_Surcharge),2),ROUND(((1-'F Intl Con Plus Base'!$P$117)*'F Intl Con Plus Base'!P40)*(1+International_Fuel_Surcharge),2)))*(1+FedEx_Markup),2)</f>
        <v>209.13</v>
      </c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2.75" customHeight="1">
      <c r="A44" s="306">
        <v>39</v>
      </c>
      <c r="B44" s="307">
        <f>ROUND((IF('F Intl Con Plus Base'!$B$120&gt;ROUND(((1-'F Intl Con Plus Base'!$B$117)*'F Intl Con Plus Base'!B41),2),ROUND('F Intl Con Plus Base'!$B$120*(1+International_Fuel_Surcharge),2),ROUND(((1-'F Intl Con Plus Base'!$B$117)*'F Intl Con Plus Base'!B41)*(1+International_Fuel_Surcharge),2)))*(1+FedEx_Markup),2)</f>
        <v>107.04</v>
      </c>
      <c r="C44" s="307">
        <f>ROUND((IF('F Intl Con Plus Base'!$C$120&gt;ROUND(((1-'F Intl Con Plus Base'!$C$117)*'F Intl Con Plus Base'!C41),2),ROUND('F Intl Con Plus Base'!$C$120*(1+International_Fuel_Surcharge),2),ROUND(((1-'F Intl Con Plus Base'!$C$117)*'F Intl Con Plus Base'!C41)*(1+International_Fuel_Surcharge),2)))*(1+FedEx_Markup),2)</f>
        <v>122.9</v>
      </c>
      <c r="D44" s="307">
        <f>ROUND((IF('F Intl Con Plus Base'!$D$120&gt;ROUND(((1-'F Intl Con Plus Base'!$D$117)*'F Intl Con Plus Base'!D41),2),ROUND('F Intl Con Plus Base'!$D$120*(1+International_Fuel_Surcharge),2),ROUND(((1-'F Intl Con Plus Base'!$D$117)*'F Intl Con Plus Base'!D41)*(1+International_Fuel_Surcharge),2)))*(1+FedEx_Markup),2)</f>
        <v>89.03</v>
      </c>
      <c r="E44" s="307">
        <f>ROUND((IF('F Intl Con Plus Base'!$E$120&gt;ROUND(((1-'F Intl Con Plus Base'!$E$117)*'F Intl Con Plus Base'!E41),2),ROUND('F Intl Con Plus Base'!$E$120*(1+International_Fuel_Surcharge),2),ROUND(((1-'F Intl Con Plus Base'!$E$117)*'F Intl Con Plus Base'!E41)*(1+International_Fuel_Surcharge),2)))*(1+FedEx_Markup),2)</f>
        <v>156.53</v>
      </c>
      <c r="F44" s="307">
        <f>ROUND((IF('F Intl Con Plus Base'!$F$120&gt;ROUND(((1-'F Intl Con Plus Base'!$F$117)*'F Intl Con Plus Base'!F41),2),ROUND('F Intl Con Plus Base'!$F$120*(1+International_Fuel_Surcharge),2),ROUND(((1-'F Intl Con Plus Base'!$F$117)*'F Intl Con Plus Base'!F41)*(1+International_Fuel_Surcharge),2)))*(1+FedEx_Markup),2)</f>
        <v>267.17</v>
      </c>
      <c r="G44" s="307">
        <f>ROUND((IF('F Intl Con Plus Base'!$G$120&gt;ROUND(((1-'F Intl Con Plus Base'!$G$117)*'F Intl Con Plus Base'!G41),2),ROUND('F Intl Con Plus Base'!$G$120*(1+International_Fuel_Surcharge),2),ROUND(((1-'F Intl Con Plus Base'!$G$117)*'F Intl Con Plus Base'!G41)*(1+International_Fuel_Surcharge),2)))*(1+FedEx_Markup),2)</f>
        <v>160.13</v>
      </c>
      <c r="H44" s="307">
        <f>ROUND((IF('F Intl Con Plus Base'!$H$120&gt;ROUND(((1-'F Intl Con Plus Base'!$H$117)*'F Intl Con Plus Base'!H41),2),ROUND('F Intl Con Plus Base'!$H$120*(1+International_Fuel_Surcharge),2),ROUND(((1-'F Intl Con Plus Base'!$H$117)*'F Intl Con Plus Base'!H41)*(1+International_Fuel_Surcharge),2)))*(1+FedEx_Markup),2)</f>
        <v>172.48</v>
      </c>
      <c r="I44" s="307">
        <f>ROUND((IF('F Intl Con Plus Base'!$I$120&gt;ROUND(((1-'F Intl Con Plus Base'!$I$117)*'F Intl Con Plus Base'!I41),2),ROUND('F Intl Con Plus Base'!$I$120*(1+International_Fuel_Surcharge),2),ROUND(((1-'F Intl Con Plus Base'!$I$117)*'F Intl Con Plus Base'!I41)*(1+International_Fuel_Surcharge),2)))*(1+FedEx_Markup),2)</f>
        <v>193.05</v>
      </c>
      <c r="J44" s="307">
        <f>ROUND((IF('F Intl Con Plus Base'!$J$120&gt;ROUND(((1-'F Intl Con Plus Base'!$J$117)*'F Intl Con Plus Base'!J41),2),ROUND('F Intl Con Plus Base'!$J$120*(1+International_Fuel_Surcharge),2),ROUND(((1-'F Intl Con Plus Base'!$J$117)*'F Intl Con Plus Base'!J41)*(1+International_Fuel_Surcharge),2)))*(1+FedEx_Markup),2)</f>
        <v>109.84</v>
      </c>
      <c r="K44" s="307">
        <f>ROUND((IF('F Intl Con Plus Base'!$K$120&gt;ROUND(((1-'F Intl Con Plus Base'!$K$117)*'F Intl Con Plus Base'!K41),2),ROUND('F Intl Con Plus Base'!$K$120*(1+International_Fuel_Surcharge),2),ROUND(((1-'F Intl Con Plus Base'!$K$117)*'F Intl Con Plus Base'!K41)*(1+International_Fuel_Surcharge),2)))*(1+FedEx_Markup),2)</f>
        <v>259.52999999999997</v>
      </c>
      <c r="L44" s="307">
        <f>ROUND((IF('F Intl Con Plus Base'!$L$120&gt;ROUND(((1-'F Intl Con Plus Base'!$L$117)*'F Intl Con Plus Base'!L41),2),ROUND('F Intl Con Plus Base'!$L$120*(1+International_Fuel_Surcharge),2),ROUND(((1-'F Intl Con Plus Base'!$L$117)*'F Intl Con Plus Base'!L41)*(1+International_Fuel_Surcharge),2)))*(1+FedEx_Markup),2)</f>
        <v>213.33</v>
      </c>
      <c r="M44" s="307">
        <f>ROUND((IF('F Intl Con Plus Base'!$M$120&gt;ROUND(((1-'F Intl Con Plus Base'!$M$117)*'F Intl Con Plus Base'!M41),2),ROUND('F Intl Con Plus Base'!$M$120*(1+International_Fuel_Surcharge),2),ROUND(((1-'F Intl Con Plus Base'!$M$117)*'F Intl Con Plus Base'!M41)*(1+International_Fuel_Surcharge),2)))*(1+FedEx_Markup),2)</f>
        <v>300.14</v>
      </c>
      <c r="N44" s="307">
        <f>ROUND((IF('F Intl Con Plus Base'!$N$120&gt;ROUND(((1-'F Intl Con Plus Base'!$N$117)*'F Intl Con Plus Base'!N41),2),ROUND('F Intl Con Plus Base'!$N$120*(1+International_Fuel_Surcharge),2),ROUND(((1-'F Intl Con Plus Base'!$N$117)*'F Intl Con Plus Base'!N41)*(1+International_Fuel_Surcharge),2)))*(1+FedEx_Markup),2)</f>
        <v>257.52999999999997</v>
      </c>
      <c r="O44" s="307">
        <f>ROUND((IF('F Intl Con Plus Base'!$O$120&gt;ROUND(((1-'F Intl Con Plus Base'!$O$117)*'F Intl Con Plus Base'!O41),2),ROUND('F Intl Con Plus Base'!$O$120*(1+International_Fuel_Surcharge),2),ROUND(((1-'F Intl Con Plus Base'!$O$117)*'F Intl Con Plus Base'!O41)*(1+International_Fuel_Surcharge),2)))*(1+FedEx_Markup),2)</f>
        <v>221.4</v>
      </c>
      <c r="P44" s="307">
        <f>ROUND((IF('F Intl Con Plus Base'!$P$120&gt;ROUND(((1-'F Intl Con Plus Base'!$P$117)*'F Intl Con Plus Base'!P41),2),ROUND('F Intl Con Plus Base'!$P$120*(1+International_Fuel_Surcharge),2),ROUND(((1-'F Intl Con Plus Base'!$P$117)*'F Intl Con Plus Base'!P41)*(1+International_Fuel_Surcharge),2)))*(1+FedEx_Markup),2)</f>
        <v>218.36</v>
      </c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2.75" customHeight="1">
      <c r="A45" s="306">
        <v>40</v>
      </c>
      <c r="B45" s="307">
        <f>ROUND((IF('F Intl Con Plus Base'!$B$120&gt;ROUND(((1-'F Intl Con Plus Base'!$B$117)*'F Intl Con Plus Base'!B42),2),ROUND('F Intl Con Plus Base'!$B$120*(1+International_Fuel_Surcharge),2),ROUND(((1-'F Intl Con Plus Base'!$B$117)*'F Intl Con Plus Base'!B42)*(1+International_Fuel_Surcharge),2)))*(1+FedEx_Markup),2)</f>
        <v>109.02</v>
      </c>
      <c r="C45" s="307">
        <f>ROUND((IF('F Intl Con Plus Base'!$C$120&gt;ROUND(((1-'F Intl Con Plus Base'!$C$117)*'F Intl Con Plus Base'!C42),2),ROUND('F Intl Con Plus Base'!$C$120*(1+International_Fuel_Surcharge),2),ROUND(((1-'F Intl Con Plus Base'!$C$117)*'F Intl Con Plus Base'!C42)*(1+International_Fuel_Surcharge),2)))*(1+FedEx_Markup),2)</f>
        <v>126.24</v>
      </c>
      <c r="D45" s="307">
        <f>ROUND((IF('F Intl Con Plus Base'!$D$120&gt;ROUND(((1-'F Intl Con Plus Base'!$D$117)*'F Intl Con Plus Base'!D42),2),ROUND('F Intl Con Plus Base'!$D$120*(1+International_Fuel_Surcharge),2),ROUND(((1-'F Intl Con Plus Base'!$D$117)*'F Intl Con Plus Base'!D42)*(1+International_Fuel_Surcharge),2)))*(1+FedEx_Markup),2)</f>
        <v>89.11</v>
      </c>
      <c r="E45" s="307">
        <f>ROUND((IF('F Intl Con Plus Base'!$E$120&gt;ROUND(((1-'F Intl Con Plus Base'!$E$117)*'F Intl Con Plus Base'!E42),2),ROUND('F Intl Con Plus Base'!$E$120*(1+International_Fuel_Surcharge),2),ROUND(((1-'F Intl Con Plus Base'!$E$117)*'F Intl Con Plus Base'!E42)*(1+International_Fuel_Surcharge),2)))*(1+FedEx_Markup),2)</f>
        <v>158</v>
      </c>
      <c r="F45" s="307">
        <f>ROUND((IF('F Intl Con Plus Base'!$F$120&gt;ROUND(((1-'F Intl Con Plus Base'!$F$117)*'F Intl Con Plus Base'!F42),2),ROUND('F Intl Con Plus Base'!$F$120*(1+International_Fuel_Surcharge),2),ROUND(((1-'F Intl Con Plus Base'!$F$117)*'F Intl Con Plus Base'!F42)*(1+International_Fuel_Surcharge),2)))*(1+FedEx_Markup),2)</f>
        <v>306.58999999999997</v>
      </c>
      <c r="G45" s="307">
        <f>ROUND((IF('F Intl Con Plus Base'!$G$120&gt;ROUND(((1-'F Intl Con Plus Base'!$G$117)*'F Intl Con Plus Base'!G42),2),ROUND('F Intl Con Plus Base'!$G$120*(1+International_Fuel_Surcharge),2),ROUND(((1-'F Intl Con Plus Base'!$G$117)*'F Intl Con Plus Base'!G42)*(1+International_Fuel_Surcharge),2)))*(1+FedEx_Markup),2)</f>
        <v>160.33000000000001</v>
      </c>
      <c r="H45" s="307">
        <f>ROUND((IF('F Intl Con Plus Base'!$H$120&gt;ROUND(((1-'F Intl Con Plus Base'!$H$117)*'F Intl Con Plus Base'!H42),2),ROUND('F Intl Con Plus Base'!$H$120*(1+International_Fuel_Surcharge),2),ROUND(((1-'F Intl Con Plus Base'!$H$117)*'F Intl Con Plus Base'!H42)*(1+International_Fuel_Surcharge),2)))*(1+FedEx_Markup),2)</f>
        <v>173.08</v>
      </c>
      <c r="I45" s="307">
        <f>ROUND((IF('F Intl Con Plus Base'!$I$120&gt;ROUND(((1-'F Intl Con Plus Base'!$I$117)*'F Intl Con Plus Base'!I42),2),ROUND('F Intl Con Plus Base'!$I$120*(1+International_Fuel_Surcharge),2),ROUND(((1-'F Intl Con Plus Base'!$I$117)*'F Intl Con Plus Base'!I42)*(1+International_Fuel_Surcharge),2)))*(1+FedEx_Markup),2)</f>
        <v>201.96</v>
      </c>
      <c r="J45" s="307">
        <f>ROUND((IF('F Intl Con Plus Base'!$J$120&gt;ROUND(((1-'F Intl Con Plus Base'!$J$117)*'F Intl Con Plus Base'!J42),2),ROUND('F Intl Con Plus Base'!$J$120*(1+International_Fuel_Surcharge),2),ROUND(((1-'F Intl Con Plus Base'!$J$117)*'F Intl Con Plus Base'!J42)*(1+International_Fuel_Surcharge),2)))*(1+FedEx_Markup),2)</f>
        <v>120.07</v>
      </c>
      <c r="K45" s="307">
        <f>ROUND((IF('F Intl Con Plus Base'!$K$120&gt;ROUND(((1-'F Intl Con Plus Base'!$K$117)*'F Intl Con Plus Base'!K42),2),ROUND('F Intl Con Plus Base'!$K$120*(1+International_Fuel_Surcharge),2),ROUND(((1-'F Intl Con Plus Base'!$K$117)*'F Intl Con Plus Base'!K42)*(1+International_Fuel_Surcharge),2)))*(1+FedEx_Markup),2)</f>
        <v>260.48</v>
      </c>
      <c r="L45" s="307">
        <f>ROUND((IF('F Intl Con Plus Base'!$L$120&gt;ROUND(((1-'F Intl Con Plus Base'!$L$117)*'F Intl Con Plus Base'!L42),2),ROUND('F Intl Con Plus Base'!$L$120*(1+International_Fuel_Surcharge),2),ROUND(((1-'F Intl Con Plus Base'!$L$117)*'F Intl Con Plus Base'!L42)*(1+International_Fuel_Surcharge),2)))*(1+FedEx_Markup),2)</f>
        <v>215.13</v>
      </c>
      <c r="M45" s="307">
        <f>ROUND((IF('F Intl Con Plus Base'!$M$120&gt;ROUND(((1-'F Intl Con Plus Base'!$M$117)*'F Intl Con Plus Base'!M42),2),ROUND('F Intl Con Plus Base'!$M$120*(1+International_Fuel_Surcharge),2),ROUND(((1-'F Intl Con Plus Base'!$M$117)*'F Intl Con Plus Base'!M42)*(1+International_Fuel_Surcharge),2)))*(1+FedEx_Markup),2)</f>
        <v>302.91000000000003</v>
      </c>
      <c r="N45" s="307">
        <f>ROUND((IF('F Intl Con Plus Base'!$N$120&gt;ROUND(((1-'F Intl Con Plus Base'!$N$117)*'F Intl Con Plus Base'!N42),2),ROUND('F Intl Con Plus Base'!$N$120*(1+International_Fuel_Surcharge),2),ROUND(((1-'F Intl Con Plus Base'!$N$117)*'F Intl Con Plus Base'!N42)*(1+International_Fuel_Surcharge),2)))*(1+FedEx_Markup),2)</f>
        <v>279.74</v>
      </c>
      <c r="O45" s="307">
        <f>ROUND((IF('F Intl Con Plus Base'!$O$120&gt;ROUND(((1-'F Intl Con Plus Base'!$O$117)*'F Intl Con Plus Base'!O42),2),ROUND('F Intl Con Plus Base'!$O$120*(1+International_Fuel_Surcharge),2),ROUND(((1-'F Intl Con Plus Base'!$O$117)*'F Intl Con Plus Base'!O42)*(1+International_Fuel_Surcharge),2)))*(1+FedEx_Markup),2)</f>
        <v>222.39</v>
      </c>
      <c r="P45" s="307">
        <f>ROUND((IF('F Intl Con Plus Base'!$P$120&gt;ROUND(((1-'F Intl Con Plus Base'!$P$117)*'F Intl Con Plus Base'!P42),2),ROUND('F Intl Con Plus Base'!$P$120*(1+International_Fuel_Surcharge),2),ROUND(((1-'F Intl Con Plus Base'!$P$117)*'F Intl Con Plus Base'!P42)*(1+International_Fuel_Surcharge),2)))*(1+FedEx_Markup),2)</f>
        <v>228.39</v>
      </c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2.75" customHeight="1">
      <c r="A46" s="306">
        <v>41</v>
      </c>
      <c r="B46" s="307">
        <f>ROUND((IF('F Intl Con Plus Base'!$B$120&gt;ROUND(((1-'F Intl Con Plus Base'!$B$117)*'F Intl Con Plus Base'!B43),2),ROUND('F Intl Con Plus Base'!$B$120*(1+International_Fuel_Surcharge),2),ROUND(((1-'F Intl Con Plus Base'!$B$117)*'F Intl Con Plus Base'!B43)*(1+International_Fuel_Surcharge),2)))*(1+FedEx_Markup),2)</f>
        <v>111.01</v>
      </c>
      <c r="C46" s="307">
        <f>ROUND((IF('F Intl Con Plus Base'!$C$120&gt;ROUND(((1-'F Intl Con Plus Base'!$C$117)*'F Intl Con Plus Base'!C43),2),ROUND('F Intl Con Plus Base'!$C$120*(1+International_Fuel_Surcharge),2),ROUND(((1-'F Intl Con Plus Base'!$C$117)*'F Intl Con Plus Base'!C43)*(1+International_Fuel_Surcharge),2)))*(1+FedEx_Markup),2)</f>
        <v>126.57</v>
      </c>
      <c r="D46" s="307">
        <f>ROUND((IF('F Intl Con Plus Base'!$D$120&gt;ROUND(((1-'F Intl Con Plus Base'!$D$117)*'F Intl Con Plus Base'!D43),2),ROUND('F Intl Con Plus Base'!$D$120*(1+International_Fuel_Surcharge),2),ROUND(((1-'F Intl Con Plus Base'!$D$117)*'F Intl Con Plus Base'!D43)*(1+International_Fuel_Surcharge),2)))*(1+FedEx_Markup),2)</f>
        <v>90.06</v>
      </c>
      <c r="E46" s="307">
        <f>ROUND((IF('F Intl Con Plus Base'!$E$120&gt;ROUND(((1-'F Intl Con Plus Base'!$E$117)*'F Intl Con Plus Base'!E43),2),ROUND('F Intl Con Plus Base'!$E$120*(1+International_Fuel_Surcharge),2),ROUND(((1-'F Intl Con Plus Base'!$E$117)*'F Intl Con Plus Base'!E43)*(1+International_Fuel_Surcharge),2)))*(1+FedEx_Markup),2)</f>
        <v>159.34</v>
      </c>
      <c r="F46" s="307">
        <f>ROUND((IF('F Intl Con Plus Base'!$F$120&gt;ROUND(((1-'F Intl Con Plus Base'!$F$117)*'F Intl Con Plus Base'!F43),2),ROUND('F Intl Con Plus Base'!$F$120*(1+International_Fuel_Surcharge),2),ROUND(((1-'F Intl Con Plus Base'!$F$117)*'F Intl Con Plus Base'!F43)*(1+International_Fuel_Surcharge),2)))*(1+FedEx_Markup),2)</f>
        <v>315.51</v>
      </c>
      <c r="G46" s="307">
        <f>ROUND((IF('F Intl Con Plus Base'!$G$120&gt;ROUND(((1-'F Intl Con Plus Base'!$G$117)*'F Intl Con Plus Base'!G43),2),ROUND('F Intl Con Plus Base'!$G$120*(1+International_Fuel_Surcharge),2),ROUND(((1-'F Intl Con Plus Base'!$G$117)*'F Intl Con Plus Base'!G43)*(1+International_Fuel_Surcharge),2)))*(1+FedEx_Markup),2)</f>
        <v>164.52</v>
      </c>
      <c r="H46" s="307">
        <f>ROUND((IF('F Intl Con Plus Base'!$H$120&gt;ROUND(((1-'F Intl Con Plus Base'!$H$117)*'F Intl Con Plus Base'!H43),2),ROUND('F Intl Con Plus Base'!$H$120*(1+International_Fuel_Surcharge),2),ROUND(((1-'F Intl Con Plus Base'!$H$117)*'F Intl Con Plus Base'!H43)*(1+International_Fuel_Surcharge),2)))*(1+FedEx_Markup),2)</f>
        <v>176.28</v>
      </c>
      <c r="I46" s="307">
        <f>ROUND((IF('F Intl Con Plus Base'!$I$120&gt;ROUND(((1-'F Intl Con Plus Base'!$I$117)*'F Intl Con Plus Base'!I43),2),ROUND('F Intl Con Plus Base'!$I$120*(1+International_Fuel_Surcharge),2),ROUND(((1-'F Intl Con Plus Base'!$I$117)*'F Intl Con Plus Base'!I43)*(1+International_Fuel_Surcharge),2)))*(1+FedEx_Markup),2)</f>
        <v>205.78</v>
      </c>
      <c r="J46" s="307">
        <f>ROUND((IF('F Intl Con Plus Base'!$J$120&gt;ROUND(((1-'F Intl Con Plus Base'!$J$117)*'F Intl Con Plus Base'!J43),2),ROUND('F Intl Con Plus Base'!$J$120*(1+International_Fuel_Surcharge),2),ROUND(((1-'F Intl Con Plus Base'!$J$117)*'F Intl Con Plus Base'!J43)*(1+International_Fuel_Surcharge),2)))*(1+FedEx_Markup),2)</f>
        <v>121.65</v>
      </c>
      <c r="K46" s="307">
        <f>ROUND((IF('F Intl Con Plus Base'!$K$120&gt;ROUND(((1-'F Intl Con Plus Base'!$K$117)*'F Intl Con Plus Base'!K43),2),ROUND('F Intl Con Plus Base'!$K$120*(1+International_Fuel_Surcharge),2),ROUND(((1-'F Intl Con Plus Base'!$K$117)*'F Intl Con Plus Base'!K43)*(1+International_Fuel_Surcharge),2)))*(1+FedEx_Markup),2)</f>
        <v>267.08</v>
      </c>
      <c r="L46" s="307">
        <f>ROUND((IF('F Intl Con Plus Base'!$L$120&gt;ROUND(((1-'F Intl Con Plus Base'!$L$117)*'F Intl Con Plus Base'!L43),2),ROUND('F Intl Con Plus Base'!$L$120*(1+International_Fuel_Surcharge),2),ROUND(((1-'F Intl Con Plus Base'!$L$117)*'F Intl Con Plus Base'!L43)*(1+International_Fuel_Surcharge),2)))*(1+FedEx_Markup),2)</f>
        <v>215.35</v>
      </c>
      <c r="M46" s="307">
        <f>ROUND((IF('F Intl Con Plus Base'!$M$120&gt;ROUND(((1-'F Intl Con Plus Base'!$M$117)*'F Intl Con Plus Base'!M43),2),ROUND('F Intl Con Plus Base'!$M$120*(1+International_Fuel_Surcharge),2),ROUND(((1-'F Intl Con Plus Base'!$M$117)*'F Intl Con Plus Base'!M43)*(1+International_Fuel_Surcharge),2)))*(1+FedEx_Markup),2)</f>
        <v>303.2</v>
      </c>
      <c r="N46" s="307">
        <f>ROUND((IF('F Intl Con Plus Base'!$N$120&gt;ROUND(((1-'F Intl Con Plus Base'!$N$117)*'F Intl Con Plus Base'!N43),2),ROUND('F Intl Con Plus Base'!$N$120*(1+International_Fuel_Surcharge),2),ROUND(((1-'F Intl Con Plus Base'!$N$117)*'F Intl Con Plus Base'!N43)*(1+International_Fuel_Surcharge),2)))*(1+FedEx_Markup),2)</f>
        <v>281.97000000000003</v>
      </c>
      <c r="O46" s="307">
        <f>ROUND((IF('F Intl Con Plus Base'!$O$120&gt;ROUND(((1-'F Intl Con Plus Base'!$O$117)*'F Intl Con Plus Base'!O43),2),ROUND('F Intl Con Plus Base'!$O$120*(1+International_Fuel_Surcharge),2),ROUND(((1-'F Intl Con Plus Base'!$O$117)*'F Intl Con Plus Base'!O43)*(1+International_Fuel_Surcharge),2)))*(1+FedEx_Markup),2)</f>
        <v>241.56</v>
      </c>
      <c r="P46" s="307">
        <f>ROUND((IF('F Intl Con Plus Base'!$P$120&gt;ROUND(((1-'F Intl Con Plus Base'!$P$117)*'F Intl Con Plus Base'!P43),2),ROUND('F Intl Con Plus Base'!$P$120*(1+International_Fuel_Surcharge),2),ROUND(((1-'F Intl Con Plus Base'!$P$117)*'F Intl Con Plus Base'!P43)*(1+International_Fuel_Surcharge),2)))*(1+FedEx_Markup),2)</f>
        <v>230</v>
      </c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2.75" customHeight="1">
      <c r="A47" s="306">
        <v>42</v>
      </c>
      <c r="B47" s="307">
        <f>ROUND((IF('F Intl Con Plus Base'!$B$120&gt;ROUND(((1-'F Intl Con Plus Base'!$B$117)*'F Intl Con Plus Base'!B44),2),ROUND('F Intl Con Plus Base'!$B$120*(1+International_Fuel_Surcharge),2),ROUND(((1-'F Intl Con Plus Base'!$B$117)*'F Intl Con Plus Base'!B44)*(1+International_Fuel_Surcharge),2)))*(1+FedEx_Markup),2)</f>
        <v>113</v>
      </c>
      <c r="C47" s="307">
        <f>ROUND((IF('F Intl Con Plus Base'!$C$120&gt;ROUND(((1-'F Intl Con Plus Base'!$C$117)*'F Intl Con Plus Base'!C44),2),ROUND('F Intl Con Plus Base'!$C$120*(1+International_Fuel_Surcharge),2),ROUND(((1-'F Intl Con Plus Base'!$C$117)*'F Intl Con Plus Base'!C44)*(1+International_Fuel_Surcharge),2)))*(1+FedEx_Markup),2)</f>
        <v>128.41</v>
      </c>
      <c r="D47" s="307">
        <f>ROUND((IF('F Intl Con Plus Base'!$D$120&gt;ROUND(((1-'F Intl Con Plus Base'!$D$117)*'F Intl Con Plus Base'!D44),2),ROUND('F Intl Con Plus Base'!$D$120*(1+International_Fuel_Surcharge),2),ROUND(((1-'F Intl Con Plus Base'!$D$117)*'F Intl Con Plus Base'!D44)*(1+International_Fuel_Surcharge),2)))*(1+FedEx_Markup),2)</f>
        <v>90.15</v>
      </c>
      <c r="E47" s="307">
        <f>ROUND((IF('F Intl Con Plus Base'!$E$120&gt;ROUND(((1-'F Intl Con Plus Base'!$E$117)*'F Intl Con Plus Base'!E44),2),ROUND('F Intl Con Plus Base'!$E$120*(1+International_Fuel_Surcharge),2),ROUND(((1-'F Intl Con Plus Base'!$E$117)*'F Intl Con Plus Base'!E44)*(1+International_Fuel_Surcharge),2)))*(1+FedEx_Markup),2)</f>
        <v>164.46</v>
      </c>
      <c r="F47" s="307">
        <f>ROUND((IF('F Intl Con Plus Base'!$F$120&gt;ROUND(((1-'F Intl Con Plus Base'!$F$117)*'F Intl Con Plus Base'!F44),2),ROUND('F Intl Con Plus Base'!$F$120*(1+International_Fuel_Surcharge),2),ROUND(((1-'F Intl Con Plus Base'!$F$117)*'F Intl Con Plus Base'!F44)*(1+International_Fuel_Surcharge),2)))*(1+FedEx_Markup),2)</f>
        <v>316.41000000000003</v>
      </c>
      <c r="G47" s="307">
        <f>ROUND((IF('F Intl Con Plus Base'!$G$120&gt;ROUND(((1-'F Intl Con Plus Base'!$G$117)*'F Intl Con Plus Base'!G44),2),ROUND('F Intl Con Plus Base'!$G$120*(1+International_Fuel_Surcharge),2),ROUND(((1-'F Intl Con Plus Base'!$G$117)*'F Intl Con Plus Base'!G44)*(1+International_Fuel_Surcharge),2)))*(1+FedEx_Markup),2)</f>
        <v>178.47</v>
      </c>
      <c r="H47" s="307">
        <f>ROUND((IF('F Intl Con Plus Base'!$H$120&gt;ROUND(((1-'F Intl Con Plus Base'!$H$117)*'F Intl Con Plus Base'!H44),2),ROUND('F Intl Con Plus Base'!$H$120*(1+International_Fuel_Surcharge),2),ROUND(((1-'F Intl Con Plus Base'!$H$117)*'F Intl Con Plus Base'!H44)*(1+International_Fuel_Surcharge),2)))*(1+FedEx_Markup),2)</f>
        <v>176.61</v>
      </c>
      <c r="I47" s="307">
        <f>ROUND((IF('F Intl Con Plus Base'!$I$120&gt;ROUND(((1-'F Intl Con Plus Base'!$I$117)*'F Intl Con Plus Base'!I44),2),ROUND('F Intl Con Plus Base'!$I$120*(1+International_Fuel_Surcharge),2),ROUND(((1-'F Intl Con Plus Base'!$I$117)*'F Intl Con Plus Base'!I44)*(1+International_Fuel_Surcharge),2)))*(1+FedEx_Markup),2)</f>
        <v>206.44</v>
      </c>
      <c r="J47" s="307">
        <f>ROUND((IF('F Intl Con Plus Base'!$J$120&gt;ROUND(((1-'F Intl Con Plus Base'!$J$117)*'F Intl Con Plus Base'!J44),2),ROUND('F Intl Con Plus Base'!$J$120*(1+International_Fuel_Surcharge),2),ROUND(((1-'F Intl Con Plus Base'!$J$117)*'F Intl Con Plus Base'!J44)*(1+International_Fuel_Surcharge),2)))*(1+FedEx_Markup),2)</f>
        <v>122.87</v>
      </c>
      <c r="K47" s="307">
        <f>ROUND((IF('F Intl Con Plus Base'!$K$120&gt;ROUND(((1-'F Intl Con Plus Base'!$K$117)*'F Intl Con Plus Base'!K44),2),ROUND('F Intl Con Plus Base'!$K$120*(1+International_Fuel_Surcharge),2),ROUND(((1-'F Intl Con Plus Base'!$K$117)*'F Intl Con Plus Base'!K44)*(1+International_Fuel_Surcharge),2)))*(1+FedEx_Markup),2)</f>
        <v>267.74</v>
      </c>
      <c r="L47" s="307">
        <f>ROUND((IF('F Intl Con Plus Base'!$L$120&gt;ROUND(((1-'F Intl Con Plus Base'!$L$117)*'F Intl Con Plus Base'!L44),2),ROUND('F Intl Con Plus Base'!$L$120*(1+International_Fuel_Surcharge),2),ROUND(((1-'F Intl Con Plus Base'!$L$117)*'F Intl Con Plus Base'!L44)*(1+International_Fuel_Surcharge),2)))*(1+FedEx_Markup),2)</f>
        <v>216.07</v>
      </c>
      <c r="M47" s="307">
        <f>ROUND((IF('F Intl Con Plus Base'!$M$120&gt;ROUND(((1-'F Intl Con Plus Base'!$M$117)*'F Intl Con Plus Base'!M44),2),ROUND('F Intl Con Plus Base'!$M$120*(1+International_Fuel_Surcharge),2),ROUND(((1-'F Intl Con Plus Base'!$M$117)*'F Intl Con Plus Base'!M44)*(1+International_Fuel_Surcharge),2)))*(1+FedEx_Markup),2)</f>
        <v>303.32</v>
      </c>
      <c r="N47" s="307">
        <f>ROUND((IF('F Intl Con Plus Base'!$N$120&gt;ROUND(((1-'F Intl Con Plus Base'!$N$117)*'F Intl Con Plus Base'!N44),2),ROUND('F Intl Con Plus Base'!$N$120*(1+International_Fuel_Surcharge),2),ROUND(((1-'F Intl Con Plus Base'!$N$117)*'F Intl Con Plus Base'!N44)*(1+International_Fuel_Surcharge),2)))*(1+FedEx_Markup),2)</f>
        <v>297.13</v>
      </c>
      <c r="O47" s="307">
        <f>ROUND((IF('F Intl Con Plus Base'!$O$120&gt;ROUND(((1-'F Intl Con Plus Base'!$O$117)*'F Intl Con Plus Base'!O44),2),ROUND('F Intl Con Plus Base'!$O$120*(1+International_Fuel_Surcharge),2),ROUND(((1-'F Intl Con Plus Base'!$O$117)*'F Intl Con Plus Base'!O44)*(1+International_Fuel_Surcharge),2)))*(1+FedEx_Markup),2)</f>
        <v>244.24</v>
      </c>
      <c r="P47" s="307">
        <f>ROUND((IF('F Intl Con Plus Base'!$P$120&gt;ROUND(((1-'F Intl Con Plus Base'!$P$117)*'F Intl Con Plus Base'!P44),2),ROUND('F Intl Con Plus Base'!$P$120*(1+International_Fuel_Surcharge),2),ROUND(((1-'F Intl Con Plus Base'!$P$117)*'F Intl Con Plus Base'!P44)*(1+International_Fuel_Surcharge),2)))*(1+FedEx_Markup),2)</f>
        <v>230.18</v>
      </c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2.75" customHeight="1">
      <c r="A48" s="306">
        <v>43</v>
      </c>
      <c r="B48" s="307">
        <f>ROUND((IF('F Intl Con Plus Base'!$B$120&gt;ROUND(((1-'F Intl Con Plus Base'!$B$117)*'F Intl Con Plus Base'!B45),2),ROUND('F Intl Con Plus Base'!$B$120*(1+International_Fuel_Surcharge),2),ROUND(((1-'F Intl Con Plus Base'!$B$117)*'F Intl Con Plus Base'!B45)*(1+International_Fuel_Surcharge),2)))*(1+FedEx_Markup),2)</f>
        <v>114.99</v>
      </c>
      <c r="C48" s="307">
        <f>ROUND((IF('F Intl Con Plus Base'!$C$120&gt;ROUND(((1-'F Intl Con Plus Base'!$C$117)*'F Intl Con Plus Base'!C45),2),ROUND('F Intl Con Plus Base'!$C$120*(1+International_Fuel_Surcharge),2),ROUND(((1-'F Intl Con Plus Base'!$C$117)*'F Intl Con Plus Base'!C45)*(1+International_Fuel_Surcharge),2)))*(1+FedEx_Markup),2)</f>
        <v>130.79</v>
      </c>
      <c r="D48" s="307">
        <f>ROUND((IF('F Intl Con Plus Base'!$D$120&gt;ROUND(((1-'F Intl Con Plus Base'!$D$117)*'F Intl Con Plus Base'!D45),2),ROUND('F Intl Con Plus Base'!$D$120*(1+International_Fuel_Surcharge),2),ROUND(((1-'F Intl Con Plus Base'!$D$117)*'F Intl Con Plus Base'!D45)*(1+International_Fuel_Surcharge),2)))*(1+FedEx_Markup),2)</f>
        <v>90.41</v>
      </c>
      <c r="E48" s="307">
        <f>ROUND((IF('F Intl Con Plus Base'!$E$120&gt;ROUND(((1-'F Intl Con Plus Base'!$E$117)*'F Intl Con Plus Base'!E45),2),ROUND('F Intl Con Plus Base'!$E$120*(1+International_Fuel_Surcharge),2),ROUND(((1-'F Intl Con Plus Base'!$E$117)*'F Intl Con Plus Base'!E45)*(1+International_Fuel_Surcharge),2)))*(1+FedEx_Markup),2)</f>
        <v>164.98</v>
      </c>
      <c r="F48" s="307">
        <f>ROUND((IF('F Intl Con Plus Base'!$F$120&gt;ROUND(((1-'F Intl Con Plus Base'!$F$117)*'F Intl Con Plus Base'!F45),2),ROUND('F Intl Con Plus Base'!$F$120*(1+International_Fuel_Surcharge),2),ROUND(((1-'F Intl Con Plus Base'!$F$117)*'F Intl Con Plus Base'!F45)*(1+International_Fuel_Surcharge),2)))*(1+FedEx_Markup),2)</f>
        <v>325.06</v>
      </c>
      <c r="G48" s="307">
        <f>ROUND((IF('F Intl Con Plus Base'!$G$120&gt;ROUND(((1-'F Intl Con Plus Base'!$G$117)*'F Intl Con Plus Base'!G45),2),ROUND('F Intl Con Plus Base'!$G$120*(1+International_Fuel_Surcharge),2),ROUND(((1-'F Intl Con Plus Base'!$G$117)*'F Intl Con Plus Base'!G45)*(1+International_Fuel_Surcharge),2)))*(1+FedEx_Markup),2)</f>
        <v>180.21</v>
      </c>
      <c r="H48" s="307">
        <f>ROUND((IF('F Intl Con Plus Base'!$H$120&gt;ROUND(((1-'F Intl Con Plus Base'!$H$117)*'F Intl Con Plus Base'!H45),2),ROUND('F Intl Con Plus Base'!$H$120*(1+International_Fuel_Surcharge),2),ROUND(((1-'F Intl Con Plus Base'!$H$117)*'F Intl Con Plus Base'!H45)*(1+International_Fuel_Surcharge),2)))*(1+FedEx_Markup),2)</f>
        <v>176.76</v>
      </c>
      <c r="I48" s="307">
        <f>ROUND((IF('F Intl Con Plus Base'!$I$120&gt;ROUND(((1-'F Intl Con Plus Base'!$I$117)*'F Intl Con Plus Base'!I45),2),ROUND('F Intl Con Plus Base'!$I$120*(1+International_Fuel_Surcharge),2),ROUND(((1-'F Intl Con Plus Base'!$I$117)*'F Intl Con Plus Base'!I45)*(1+International_Fuel_Surcharge),2)))*(1+FedEx_Markup),2)</f>
        <v>216.44</v>
      </c>
      <c r="J48" s="307">
        <f>ROUND((IF('F Intl Con Plus Base'!$J$120&gt;ROUND(((1-'F Intl Con Plus Base'!$J$117)*'F Intl Con Plus Base'!J45),2),ROUND('F Intl Con Plus Base'!$J$120*(1+International_Fuel_Surcharge),2),ROUND(((1-'F Intl Con Plus Base'!$J$117)*'F Intl Con Plus Base'!J45)*(1+International_Fuel_Surcharge),2)))*(1+FedEx_Markup),2)</f>
        <v>124.57</v>
      </c>
      <c r="K48" s="307">
        <f>ROUND((IF('F Intl Con Plus Base'!$K$120&gt;ROUND(((1-'F Intl Con Plus Base'!$K$117)*'F Intl Con Plus Base'!K45),2),ROUND('F Intl Con Plus Base'!$K$120*(1+International_Fuel_Surcharge),2),ROUND(((1-'F Intl Con Plus Base'!$K$117)*'F Intl Con Plus Base'!K45)*(1+International_Fuel_Surcharge),2)))*(1+FedEx_Markup),2)</f>
        <v>276.45</v>
      </c>
      <c r="L48" s="307">
        <f>ROUND((IF('F Intl Con Plus Base'!$L$120&gt;ROUND(((1-'F Intl Con Plus Base'!$L$117)*'F Intl Con Plus Base'!L45),2),ROUND('F Intl Con Plus Base'!$L$120*(1+International_Fuel_Surcharge),2),ROUND(((1-'F Intl Con Plus Base'!$L$117)*'F Intl Con Plus Base'!L45)*(1+International_Fuel_Surcharge),2)))*(1+FedEx_Markup),2)</f>
        <v>227.17</v>
      </c>
      <c r="M48" s="307">
        <f>ROUND((IF('F Intl Con Plus Base'!$M$120&gt;ROUND(((1-'F Intl Con Plus Base'!$M$117)*'F Intl Con Plus Base'!M45),2),ROUND('F Intl Con Plus Base'!$M$120*(1+International_Fuel_Surcharge),2),ROUND(((1-'F Intl Con Plus Base'!$M$117)*'F Intl Con Plus Base'!M45)*(1+International_Fuel_Surcharge),2)))*(1+FedEx_Markup),2)</f>
        <v>303.39</v>
      </c>
      <c r="N48" s="307">
        <f>ROUND((IF('F Intl Con Plus Base'!$N$120&gt;ROUND(((1-'F Intl Con Plus Base'!$N$117)*'F Intl Con Plus Base'!N45),2),ROUND('F Intl Con Plus Base'!$N$120*(1+International_Fuel_Surcharge),2),ROUND(((1-'F Intl Con Plus Base'!$N$117)*'F Intl Con Plus Base'!N45)*(1+International_Fuel_Surcharge),2)))*(1+FedEx_Markup),2)</f>
        <v>320.72000000000003</v>
      </c>
      <c r="O48" s="307">
        <f>ROUND((IF('F Intl Con Plus Base'!$O$120&gt;ROUND(((1-'F Intl Con Plus Base'!$O$117)*'F Intl Con Plus Base'!O45),2),ROUND('F Intl Con Plus Base'!$O$120*(1+International_Fuel_Surcharge),2),ROUND(((1-'F Intl Con Plus Base'!$O$117)*'F Intl Con Plus Base'!O45)*(1+International_Fuel_Surcharge),2)))*(1+FedEx_Markup),2)</f>
        <v>244.86</v>
      </c>
      <c r="P48" s="307">
        <f>ROUND((IF('F Intl Con Plus Base'!$P$120&gt;ROUND(((1-'F Intl Con Plus Base'!$P$117)*'F Intl Con Plus Base'!P45),2),ROUND('F Intl Con Plus Base'!$P$120*(1+International_Fuel_Surcharge),2),ROUND(((1-'F Intl Con Plus Base'!$P$117)*'F Intl Con Plus Base'!P45)*(1+International_Fuel_Surcharge),2)))*(1+FedEx_Markup),2)</f>
        <v>230.25</v>
      </c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2.75" customHeight="1">
      <c r="A49" s="306">
        <v>44</v>
      </c>
      <c r="B49" s="307">
        <f>ROUND((IF('F Intl Con Plus Base'!$B$120&gt;ROUND(((1-'F Intl Con Plus Base'!$B$117)*'F Intl Con Plus Base'!B46),2),ROUND('F Intl Con Plus Base'!$B$120*(1+International_Fuel_Surcharge),2),ROUND(((1-'F Intl Con Plus Base'!$B$117)*'F Intl Con Plus Base'!B46)*(1+International_Fuel_Surcharge),2)))*(1+FedEx_Markup),2)</f>
        <v>116.99</v>
      </c>
      <c r="C49" s="307">
        <f>ROUND((IF('F Intl Con Plus Base'!$C$120&gt;ROUND(((1-'F Intl Con Plus Base'!$C$117)*'F Intl Con Plus Base'!C46),2),ROUND('F Intl Con Plus Base'!$C$120*(1+International_Fuel_Surcharge),2),ROUND(((1-'F Intl Con Plus Base'!$C$117)*'F Intl Con Plus Base'!C46)*(1+International_Fuel_Surcharge),2)))*(1+FedEx_Markup),2)</f>
        <v>132.62</v>
      </c>
      <c r="D49" s="307">
        <f>ROUND((IF('F Intl Con Plus Base'!$D$120&gt;ROUND(((1-'F Intl Con Plus Base'!$D$117)*'F Intl Con Plus Base'!D46),2),ROUND('F Intl Con Plus Base'!$D$120*(1+International_Fuel_Surcharge),2),ROUND(((1-'F Intl Con Plus Base'!$D$117)*'F Intl Con Plus Base'!D46)*(1+International_Fuel_Surcharge),2)))*(1+FedEx_Markup),2)</f>
        <v>95.75</v>
      </c>
      <c r="E49" s="307">
        <f>ROUND((IF('F Intl Con Plus Base'!$E$120&gt;ROUND(((1-'F Intl Con Plus Base'!$E$117)*'F Intl Con Plus Base'!E46),2),ROUND('F Intl Con Plus Base'!$E$120*(1+International_Fuel_Surcharge),2),ROUND(((1-'F Intl Con Plus Base'!$E$117)*'F Intl Con Plus Base'!E46)*(1+International_Fuel_Surcharge),2)))*(1+FedEx_Markup),2)</f>
        <v>165.05</v>
      </c>
      <c r="F49" s="307">
        <f>ROUND((IF('F Intl Con Plus Base'!$F$120&gt;ROUND(((1-'F Intl Con Plus Base'!$F$117)*'F Intl Con Plus Base'!F46),2),ROUND('F Intl Con Plus Base'!$F$120*(1+International_Fuel_Surcharge),2),ROUND(((1-'F Intl Con Plus Base'!$F$117)*'F Intl Con Plus Base'!F46)*(1+International_Fuel_Surcharge),2)))*(1+FedEx_Markup),2)</f>
        <v>325.93</v>
      </c>
      <c r="G49" s="307">
        <f>ROUND((IF('F Intl Con Plus Base'!$G$120&gt;ROUND(((1-'F Intl Con Plus Base'!$G$117)*'F Intl Con Plus Base'!G46),2),ROUND('F Intl Con Plus Base'!$G$120*(1+International_Fuel_Surcharge),2),ROUND(((1-'F Intl Con Plus Base'!$G$117)*'F Intl Con Plus Base'!G46)*(1+International_Fuel_Surcharge),2)))*(1+FedEx_Markup),2)</f>
        <v>180.38</v>
      </c>
      <c r="H49" s="307">
        <f>ROUND((IF('F Intl Con Plus Base'!$H$120&gt;ROUND(((1-'F Intl Con Plus Base'!$H$117)*'F Intl Con Plus Base'!H46),2),ROUND('F Intl Con Plus Base'!$H$120*(1+International_Fuel_Surcharge),2),ROUND(((1-'F Intl Con Plus Base'!$H$117)*'F Intl Con Plus Base'!H46)*(1+International_Fuel_Surcharge),2)))*(1+FedEx_Markup),2)</f>
        <v>178.11</v>
      </c>
      <c r="I49" s="307">
        <f>ROUND((IF('F Intl Con Plus Base'!$I$120&gt;ROUND(((1-'F Intl Con Plus Base'!$I$117)*'F Intl Con Plus Base'!I46),2),ROUND('F Intl Con Plus Base'!$I$120*(1+International_Fuel_Surcharge),2),ROUND(((1-'F Intl Con Plus Base'!$I$117)*'F Intl Con Plus Base'!I46)*(1+International_Fuel_Surcharge),2)))*(1+FedEx_Markup),2)</f>
        <v>220.98</v>
      </c>
      <c r="J49" s="307">
        <f>ROUND((IF('F Intl Con Plus Base'!$J$120&gt;ROUND(((1-'F Intl Con Plus Base'!$J$117)*'F Intl Con Plus Base'!J46),2),ROUND('F Intl Con Plus Base'!$J$120*(1+International_Fuel_Surcharge),2),ROUND(((1-'F Intl Con Plus Base'!$J$117)*'F Intl Con Plus Base'!J46)*(1+International_Fuel_Surcharge),2)))*(1+FedEx_Markup),2)</f>
        <v>126.13</v>
      </c>
      <c r="K49" s="307">
        <f>ROUND((IF('F Intl Con Plus Base'!$K$120&gt;ROUND(((1-'F Intl Con Plus Base'!$K$117)*'F Intl Con Plus Base'!K46),2),ROUND('F Intl Con Plus Base'!$K$120*(1+International_Fuel_Surcharge),2),ROUND(((1-'F Intl Con Plus Base'!$K$117)*'F Intl Con Plus Base'!K46)*(1+International_Fuel_Surcharge),2)))*(1+FedEx_Markup),2)</f>
        <v>280.23</v>
      </c>
      <c r="L49" s="307">
        <f>ROUND((IF('F Intl Con Plus Base'!$L$120&gt;ROUND(((1-'F Intl Con Plus Base'!$L$117)*'F Intl Con Plus Base'!L46),2),ROUND('F Intl Con Plus Base'!$L$120*(1+International_Fuel_Surcharge),2),ROUND(((1-'F Intl Con Plus Base'!$L$117)*'F Intl Con Plus Base'!L46)*(1+International_Fuel_Surcharge),2)))*(1+FedEx_Markup),2)</f>
        <v>231.61</v>
      </c>
      <c r="M49" s="307">
        <f>ROUND((IF('F Intl Con Plus Base'!$M$120&gt;ROUND(((1-'F Intl Con Plus Base'!$M$117)*'F Intl Con Plus Base'!M46),2),ROUND('F Intl Con Plus Base'!$M$120*(1+International_Fuel_Surcharge),2),ROUND(((1-'F Intl Con Plus Base'!$M$117)*'F Intl Con Plus Base'!M46)*(1+International_Fuel_Surcharge),2)))*(1+FedEx_Markup),2)</f>
        <v>303.45999999999998</v>
      </c>
      <c r="N49" s="307">
        <f>ROUND((IF('F Intl Con Plus Base'!$N$120&gt;ROUND(((1-'F Intl Con Plus Base'!$N$117)*'F Intl Con Plus Base'!N46),2),ROUND('F Intl Con Plus Base'!$N$120*(1+International_Fuel_Surcharge),2),ROUND(((1-'F Intl Con Plus Base'!$N$117)*'F Intl Con Plus Base'!N46)*(1+International_Fuel_Surcharge),2)))*(1+FedEx_Markup),2)</f>
        <v>331.89</v>
      </c>
      <c r="O49" s="307">
        <f>ROUND((IF('F Intl Con Plus Base'!$O$120&gt;ROUND(((1-'F Intl Con Plus Base'!$O$117)*'F Intl Con Plus Base'!O46),2),ROUND('F Intl Con Plus Base'!$O$120*(1+International_Fuel_Surcharge),2),ROUND(((1-'F Intl Con Plus Base'!$O$117)*'F Intl Con Plus Base'!O46)*(1+International_Fuel_Surcharge),2)))*(1+FedEx_Markup),2)</f>
        <v>245.69</v>
      </c>
      <c r="P49" s="307">
        <f>ROUND((IF('F Intl Con Plus Base'!$P$120&gt;ROUND(((1-'F Intl Con Plus Base'!$P$117)*'F Intl Con Plus Base'!P46),2),ROUND('F Intl Con Plus Base'!$P$120*(1+International_Fuel_Surcharge),2),ROUND(((1-'F Intl Con Plus Base'!$P$117)*'F Intl Con Plus Base'!P46)*(1+International_Fuel_Surcharge),2)))*(1+FedEx_Markup),2)</f>
        <v>230.31</v>
      </c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2.75" customHeight="1">
      <c r="A50" s="306">
        <v>45</v>
      </c>
      <c r="B50" s="307">
        <f>ROUND((IF('F Intl Con Plus Base'!$B$120&gt;ROUND(((1-'F Intl Con Plus Base'!$B$117)*'F Intl Con Plus Base'!B47),2),ROUND('F Intl Con Plus Base'!$B$120*(1+International_Fuel_Surcharge),2),ROUND(((1-'F Intl Con Plus Base'!$B$117)*'F Intl Con Plus Base'!B47)*(1+International_Fuel_Surcharge),2)))*(1+FedEx_Markup),2)</f>
        <v>118.99</v>
      </c>
      <c r="C50" s="307">
        <f>ROUND((IF('F Intl Con Plus Base'!$C$120&gt;ROUND(((1-'F Intl Con Plus Base'!$C$117)*'F Intl Con Plus Base'!C47),2),ROUND('F Intl Con Plus Base'!$C$120*(1+International_Fuel_Surcharge),2),ROUND(((1-'F Intl Con Plus Base'!$C$117)*'F Intl Con Plus Base'!C47)*(1+International_Fuel_Surcharge),2)))*(1+FedEx_Markup),2)</f>
        <v>134.46</v>
      </c>
      <c r="D50" s="307">
        <f>ROUND((IF('F Intl Con Plus Base'!$D$120&gt;ROUND(((1-'F Intl Con Plus Base'!$D$117)*'F Intl Con Plus Base'!D47),2),ROUND('F Intl Con Plus Base'!$D$120*(1+International_Fuel_Surcharge),2),ROUND(((1-'F Intl Con Plus Base'!$D$117)*'F Intl Con Plus Base'!D47)*(1+International_Fuel_Surcharge),2)))*(1+FedEx_Markup),2)</f>
        <v>96.29</v>
      </c>
      <c r="E50" s="307">
        <f>ROUND((IF('F Intl Con Plus Base'!$E$120&gt;ROUND(((1-'F Intl Con Plus Base'!$E$117)*'F Intl Con Plus Base'!E47),2),ROUND('F Intl Con Plus Base'!$E$120*(1+International_Fuel_Surcharge),2),ROUND(((1-'F Intl Con Plus Base'!$E$117)*'F Intl Con Plus Base'!E47)*(1+International_Fuel_Surcharge),2)))*(1+FedEx_Markup),2)</f>
        <v>165.7</v>
      </c>
      <c r="F50" s="307">
        <f>ROUND((IF('F Intl Con Plus Base'!$F$120&gt;ROUND(((1-'F Intl Con Plus Base'!$F$117)*'F Intl Con Plus Base'!F47),2),ROUND('F Intl Con Plus Base'!$F$120*(1+International_Fuel_Surcharge),2),ROUND(((1-'F Intl Con Plus Base'!$F$117)*'F Intl Con Plus Base'!F47)*(1+International_Fuel_Surcharge),2)))*(1+FedEx_Markup),2)</f>
        <v>326.02999999999997</v>
      </c>
      <c r="G50" s="307">
        <f>ROUND((IF('F Intl Con Plus Base'!$G$120&gt;ROUND(((1-'F Intl Con Plus Base'!$G$117)*'F Intl Con Plus Base'!G47),2),ROUND('F Intl Con Plus Base'!$G$120*(1+International_Fuel_Surcharge),2),ROUND(((1-'F Intl Con Plus Base'!$G$117)*'F Intl Con Plus Base'!G47)*(1+International_Fuel_Surcharge),2)))*(1+FedEx_Markup),2)</f>
        <v>180.49</v>
      </c>
      <c r="H50" s="307">
        <f>ROUND((IF('F Intl Con Plus Base'!$H$120&gt;ROUND(((1-'F Intl Con Plus Base'!$H$117)*'F Intl Con Plus Base'!H47),2),ROUND('F Intl Con Plus Base'!$H$120*(1+International_Fuel_Surcharge),2),ROUND(((1-'F Intl Con Plus Base'!$H$117)*'F Intl Con Plus Base'!H47)*(1+International_Fuel_Surcharge),2)))*(1+FedEx_Markup),2)</f>
        <v>189.13</v>
      </c>
      <c r="I50" s="307">
        <f>ROUND((IF('F Intl Con Plus Base'!$I$120&gt;ROUND(((1-'F Intl Con Plus Base'!$I$117)*'F Intl Con Plus Base'!I47),2),ROUND('F Intl Con Plus Base'!$I$120*(1+International_Fuel_Surcharge),2),ROUND(((1-'F Intl Con Plus Base'!$I$117)*'F Intl Con Plus Base'!I47)*(1+International_Fuel_Surcharge),2)))*(1+FedEx_Markup),2)</f>
        <v>230.33</v>
      </c>
      <c r="J50" s="307">
        <f>ROUND((IF('F Intl Con Plus Base'!$J$120&gt;ROUND(((1-'F Intl Con Plus Base'!$J$117)*'F Intl Con Plus Base'!J47),2),ROUND('F Intl Con Plus Base'!$J$120*(1+International_Fuel_Surcharge),2),ROUND(((1-'F Intl Con Plus Base'!$J$117)*'F Intl Con Plus Base'!J47)*(1+International_Fuel_Surcharge),2)))*(1+FedEx_Markup),2)</f>
        <v>127.7</v>
      </c>
      <c r="K50" s="307">
        <f>ROUND((IF('F Intl Con Plus Base'!$K$120&gt;ROUND(((1-'F Intl Con Plus Base'!$K$117)*'F Intl Con Plus Base'!K47),2),ROUND('F Intl Con Plus Base'!$K$120*(1+International_Fuel_Surcharge),2),ROUND(((1-'F Intl Con Plus Base'!$K$117)*'F Intl Con Plus Base'!K47)*(1+International_Fuel_Surcharge),2)))*(1+FedEx_Markup),2)</f>
        <v>282.95999999999998</v>
      </c>
      <c r="L50" s="307">
        <f>ROUND((IF('F Intl Con Plus Base'!$L$120&gt;ROUND(((1-'F Intl Con Plus Base'!$L$117)*'F Intl Con Plus Base'!L47),2),ROUND('F Intl Con Plus Base'!$L$120*(1+International_Fuel_Surcharge),2),ROUND(((1-'F Intl Con Plus Base'!$L$117)*'F Intl Con Plus Base'!L47)*(1+International_Fuel_Surcharge),2)))*(1+FedEx_Markup),2)</f>
        <v>232.06</v>
      </c>
      <c r="M50" s="307">
        <f>ROUND((IF('F Intl Con Plus Base'!$M$120&gt;ROUND(((1-'F Intl Con Plus Base'!$M$117)*'F Intl Con Plus Base'!M47),2),ROUND('F Intl Con Plus Base'!$M$120*(1+International_Fuel_Surcharge),2),ROUND(((1-'F Intl Con Plus Base'!$M$117)*'F Intl Con Plus Base'!M47)*(1+International_Fuel_Surcharge),2)))*(1+FedEx_Markup),2)</f>
        <v>304.37</v>
      </c>
      <c r="N50" s="307">
        <f>ROUND((IF('F Intl Con Plus Base'!$N$120&gt;ROUND(((1-'F Intl Con Plus Base'!$N$117)*'F Intl Con Plus Base'!N47),2),ROUND('F Intl Con Plus Base'!$N$120*(1+International_Fuel_Surcharge),2),ROUND(((1-'F Intl Con Plus Base'!$N$117)*'F Intl Con Plus Base'!N47)*(1+International_Fuel_Surcharge),2)))*(1+FedEx_Markup),2)</f>
        <v>333.01</v>
      </c>
      <c r="O50" s="307">
        <f>ROUND((IF('F Intl Con Plus Base'!$O$120&gt;ROUND(((1-'F Intl Con Plus Base'!$O$117)*'F Intl Con Plus Base'!O47),2),ROUND('F Intl Con Plus Base'!$O$120*(1+International_Fuel_Surcharge),2),ROUND(((1-'F Intl Con Plus Base'!$O$117)*'F Intl Con Plus Base'!O47)*(1+International_Fuel_Surcharge),2)))*(1+FedEx_Markup),2)</f>
        <v>262.18</v>
      </c>
      <c r="P50" s="307">
        <f>ROUND((IF('F Intl Con Plus Base'!$P$120&gt;ROUND(((1-'F Intl Con Plus Base'!$P$117)*'F Intl Con Plus Base'!P47),2),ROUND('F Intl Con Plus Base'!$P$120*(1+International_Fuel_Surcharge),2),ROUND(((1-'F Intl Con Plus Base'!$P$117)*'F Intl Con Plus Base'!P47)*(1+International_Fuel_Surcharge),2)))*(1+FedEx_Markup),2)</f>
        <v>230.39</v>
      </c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2.75" customHeight="1">
      <c r="A51" s="306">
        <v>46</v>
      </c>
      <c r="B51" s="307">
        <f>ROUND((IF('F Intl Con Plus Base'!$B$120&gt;ROUND(((1-'F Intl Con Plus Base'!$B$117)*'F Intl Con Plus Base'!B48),2),ROUND('F Intl Con Plus Base'!$B$120*(1+International_Fuel_Surcharge),2),ROUND(((1-'F Intl Con Plus Base'!$B$117)*'F Intl Con Plus Base'!B48)*(1+International_Fuel_Surcharge),2)))*(1+FedEx_Markup),2)</f>
        <v>120.97</v>
      </c>
      <c r="C51" s="307">
        <f>ROUND((IF('F Intl Con Plus Base'!$C$120&gt;ROUND(((1-'F Intl Con Plus Base'!$C$117)*'F Intl Con Plus Base'!C48),2),ROUND('F Intl Con Plus Base'!$C$120*(1+International_Fuel_Surcharge),2),ROUND(((1-'F Intl Con Plus Base'!$C$117)*'F Intl Con Plus Base'!C48)*(1+International_Fuel_Surcharge),2)))*(1+FedEx_Markup),2)</f>
        <v>136.11000000000001</v>
      </c>
      <c r="D51" s="307">
        <f>ROUND((IF('F Intl Con Plus Base'!$D$120&gt;ROUND(((1-'F Intl Con Plus Base'!$D$117)*'F Intl Con Plus Base'!D48),2),ROUND('F Intl Con Plus Base'!$D$120*(1+International_Fuel_Surcharge),2),ROUND(((1-'F Intl Con Plus Base'!$D$117)*'F Intl Con Plus Base'!D48)*(1+International_Fuel_Surcharge),2)))*(1+FedEx_Markup),2)</f>
        <v>96.35</v>
      </c>
      <c r="E51" s="307">
        <f>ROUND((IF('F Intl Con Plus Base'!$E$120&gt;ROUND(((1-'F Intl Con Plus Base'!$E$117)*'F Intl Con Plus Base'!E48),2),ROUND('F Intl Con Plus Base'!$E$120*(1+International_Fuel_Surcharge),2),ROUND(((1-'F Intl Con Plus Base'!$E$117)*'F Intl Con Plus Base'!E48)*(1+International_Fuel_Surcharge),2)))*(1+FedEx_Markup),2)</f>
        <v>166.5</v>
      </c>
      <c r="F51" s="307">
        <f>ROUND((IF('F Intl Con Plus Base'!$F$120&gt;ROUND(((1-'F Intl Con Plus Base'!$F$117)*'F Intl Con Plus Base'!F48),2),ROUND('F Intl Con Plus Base'!$F$120*(1+International_Fuel_Surcharge),2),ROUND(((1-'F Intl Con Plus Base'!$F$117)*'F Intl Con Plus Base'!F48)*(1+International_Fuel_Surcharge),2)))*(1+FedEx_Markup),2)</f>
        <v>327.29000000000002</v>
      </c>
      <c r="G51" s="307">
        <f>ROUND((IF('F Intl Con Plus Base'!$G$120&gt;ROUND(((1-'F Intl Con Plus Base'!$G$117)*'F Intl Con Plus Base'!G48),2),ROUND('F Intl Con Plus Base'!$G$120*(1+International_Fuel_Surcharge),2),ROUND(((1-'F Intl Con Plus Base'!$G$117)*'F Intl Con Plus Base'!G48)*(1+International_Fuel_Surcharge),2)))*(1+FedEx_Markup),2)</f>
        <v>182.72</v>
      </c>
      <c r="H51" s="307">
        <f>ROUND((IF('F Intl Con Plus Base'!$H$120&gt;ROUND(((1-'F Intl Con Plus Base'!$H$117)*'F Intl Con Plus Base'!H48),2),ROUND('F Intl Con Plus Base'!$H$120*(1+International_Fuel_Surcharge),2),ROUND(((1-'F Intl Con Plus Base'!$H$117)*'F Intl Con Plus Base'!H48)*(1+International_Fuel_Surcharge),2)))*(1+FedEx_Markup),2)</f>
        <v>191.76</v>
      </c>
      <c r="I51" s="307">
        <f>ROUND((IF('F Intl Con Plus Base'!$I$120&gt;ROUND(((1-'F Intl Con Plus Base'!$I$117)*'F Intl Con Plus Base'!I48),2),ROUND('F Intl Con Plus Base'!$I$120*(1+International_Fuel_Surcharge),2),ROUND(((1-'F Intl Con Plus Base'!$I$117)*'F Intl Con Plus Base'!I48)*(1+International_Fuel_Surcharge),2)))*(1+FedEx_Markup),2)</f>
        <v>231.27</v>
      </c>
      <c r="J51" s="307">
        <f>ROUND((IF('F Intl Con Plus Base'!$J$120&gt;ROUND(((1-'F Intl Con Plus Base'!$J$117)*'F Intl Con Plus Base'!J48),2),ROUND('F Intl Con Plus Base'!$J$120*(1+International_Fuel_Surcharge),2),ROUND(((1-'F Intl Con Plus Base'!$J$117)*'F Intl Con Plus Base'!J48)*(1+International_Fuel_Surcharge),2)))*(1+FedEx_Markup),2)</f>
        <v>129.54</v>
      </c>
      <c r="K51" s="307">
        <f>ROUND((IF('F Intl Con Plus Base'!$K$120&gt;ROUND(((1-'F Intl Con Plus Base'!$K$117)*'F Intl Con Plus Base'!K48),2),ROUND('F Intl Con Plus Base'!$K$120*(1+International_Fuel_Surcharge),2),ROUND(((1-'F Intl Con Plus Base'!$K$117)*'F Intl Con Plus Base'!K48)*(1+International_Fuel_Surcharge),2)))*(1+FedEx_Markup),2)</f>
        <v>283.23</v>
      </c>
      <c r="L51" s="307">
        <f>ROUND((IF('F Intl Con Plus Base'!$L$120&gt;ROUND(((1-'F Intl Con Plus Base'!$L$117)*'F Intl Con Plus Base'!L48),2),ROUND('F Intl Con Plus Base'!$L$120*(1+International_Fuel_Surcharge),2),ROUND(((1-'F Intl Con Plus Base'!$L$117)*'F Intl Con Plus Base'!L48)*(1+International_Fuel_Surcharge),2)))*(1+FedEx_Markup),2)</f>
        <v>232.14</v>
      </c>
      <c r="M51" s="307">
        <f>ROUND((IF('F Intl Con Plus Base'!$M$120&gt;ROUND(((1-'F Intl Con Plus Base'!$M$117)*'F Intl Con Plus Base'!M48),2),ROUND('F Intl Con Plus Base'!$M$120*(1+International_Fuel_Surcharge),2),ROUND(((1-'F Intl Con Plus Base'!$M$117)*'F Intl Con Plus Base'!M48)*(1+International_Fuel_Surcharge),2)))*(1+FedEx_Markup),2)</f>
        <v>304.45999999999998</v>
      </c>
      <c r="N51" s="307">
        <f>ROUND((IF('F Intl Con Plus Base'!$N$120&gt;ROUND(((1-'F Intl Con Plus Base'!$N$117)*'F Intl Con Plus Base'!N48),2),ROUND('F Intl Con Plus Base'!$N$120*(1+International_Fuel_Surcharge),2),ROUND(((1-'F Intl Con Plus Base'!$N$117)*'F Intl Con Plus Base'!N48)*(1+International_Fuel_Surcharge),2)))*(1+FedEx_Markup),2)</f>
        <v>333.12</v>
      </c>
      <c r="O51" s="307">
        <f>ROUND((IF('F Intl Con Plus Base'!$O$120&gt;ROUND(((1-'F Intl Con Plus Base'!$O$117)*'F Intl Con Plus Base'!O48),2),ROUND('F Intl Con Plus Base'!$O$120*(1+International_Fuel_Surcharge),2),ROUND(((1-'F Intl Con Plus Base'!$O$117)*'F Intl Con Plus Base'!O48)*(1+International_Fuel_Surcharge),2)))*(1+FedEx_Markup),2)</f>
        <v>263.83</v>
      </c>
      <c r="P51" s="307">
        <f>ROUND((IF('F Intl Con Plus Base'!$P$120&gt;ROUND(((1-'F Intl Con Plus Base'!$P$117)*'F Intl Con Plus Base'!P48),2),ROUND('F Intl Con Plus Base'!$P$120*(1+International_Fuel_Surcharge),2),ROUND(((1-'F Intl Con Plus Base'!$P$117)*'F Intl Con Plus Base'!P48)*(1+International_Fuel_Surcharge),2)))*(1+FedEx_Markup),2)</f>
        <v>231.21</v>
      </c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2.75" customHeight="1">
      <c r="A52" s="306">
        <v>47</v>
      </c>
      <c r="B52" s="307">
        <f>ROUND((IF('F Intl Con Plus Base'!$B$120&gt;ROUND(((1-'F Intl Con Plus Base'!$B$117)*'F Intl Con Plus Base'!B49),2),ROUND('F Intl Con Plus Base'!$B$120*(1+International_Fuel_Surcharge),2),ROUND(((1-'F Intl Con Plus Base'!$B$117)*'F Intl Con Plus Base'!B49)*(1+International_Fuel_Surcharge),2)))*(1+FedEx_Markup),2)</f>
        <v>124.27</v>
      </c>
      <c r="C52" s="307">
        <f>ROUND((IF('F Intl Con Plus Base'!$C$120&gt;ROUND(((1-'F Intl Con Plus Base'!$C$117)*'F Intl Con Plus Base'!C49),2),ROUND('F Intl Con Plus Base'!$C$120*(1+International_Fuel_Surcharge),2),ROUND(((1-'F Intl Con Plus Base'!$C$117)*'F Intl Con Plus Base'!C49)*(1+International_Fuel_Surcharge),2)))*(1+FedEx_Markup),2)</f>
        <v>138.12</v>
      </c>
      <c r="D52" s="307">
        <f>ROUND((IF('F Intl Con Plus Base'!$D$120&gt;ROUND(((1-'F Intl Con Plus Base'!$D$117)*'F Intl Con Plus Base'!D49),2),ROUND('F Intl Con Plus Base'!$D$120*(1+International_Fuel_Surcharge),2),ROUND(((1-'F Intl Con Plus Base'!$D$117)*'F Intl Con Plus Base'!D49)*(1+International_Fuel_Surcharge),2)))*(1+FedEx_Markup),2)</f>
        <v>96.4</v>
      </c>
      <c r="E52" s="307">
        <f>ROUND((IF('F Intl Con Plus Base'!$E$120&gt;ROUND(((1-'F Intl Con Plus Base'!$E$117)*'F Intl Con Plus Base'!E49),2),ROUND('F Intl Con Plus Base'!$E$120*(1+International_Fuel_Surcharge),2),ROUND(((1-'F Intl Con Plus Base'!$E$117)*'F Intl Con Plus Base'!E49)*(1+International_Fuel_Surcharge),2)))*(1+FedEx_Markup),2)</f>
        <v>166.57</v>
      </c>
      <c r="F52" s="307">
        <f>ROUND((IF('F Intl Con Plus Base'!$F$120&gt;ROUND(((1-'F Intl Con Plus Base'!$F$117)*'F Intl Con Plus Base'!F49),2),ROUND('F Intl Con Plus Base'!$F$120*(1+International_Fuel_Surcharge),2),ROUND(((1-'F Intl Con Plus Base'!$F$117)*'F Intl Con Plus Base'!F49)*(1+International_Fuel_Surcharge),2)))*(1+FedEx_Markup),2)</f>
        <v>346.35</v>
      </c>
      <c r="G52" s="307">
        <f>ROUND((IF('F Intl Con Plus Base'!$G$120&gt;ROUND(((1-'F Intl Con Plus Base'!$G$117)*'F Intl Con Plus Base'!G49),2),ROUND('F Intl Con Plus Base'!$G$120*(1+International_Fuel_Surcharge),2),ROUND(((1-'F Intl Con Plus Base'!$G$117)*'F Intl Con Plus Base'!G49)*(1+International_Fuel_Surcharge),2)))*(1+FedEx_Markup),2)</f>
        <v>182.95</v>
      </c>
      <c r="H52" s="307">
        <f>ROUND((IF('F Intl Con Plus Base'!$H$120&gt;ROUND(((1-'F Intl Con Plus Base'!$H$117)*'F Intl Con Plus Base'!H49),2),ROUND('F Intl Con Plus Base'!$H$120*(1+International_Fuel_Surcharge),2),ROUND(((1-'F Intl Con Plus Base'!$H$117)*'F Intl Con Plus Base'!H49)*(1+International_Fuel_Surcharge),2)))*(1+FedEx_Markup),2)</f>
        <v>192.03</v>
      </c>
      <c r="I52" s="307">
        <f>ROUND((IF('F Intl Con Plus Base'!$I$120&gt;ROUND(((1-'F Intl Con Plus Base'!$I$117)*'F Intl Con Plus Base'!I49),2),ROUND('F Intl Con Plus Base'!$I$120*(1+International_Fuel_Surcharge),2),ROUND(((1-'F Intl Con Plus Base'!$I$117)*'F Intl Con Plus Base'!I49)*(1+International_Fuel_Surcharge),2)))*(1+FedEx_Markup),2)</f>
        <v>231.41</v>
      </c>
      <c r="J52" s="307">
        <f>ROUND((IF('F Intl Con Plus Base'!$J$120&gt;ROUND(((1-'F Intl Con Plus Base'!$J$117)*'F Intl Con Plus Base'!J49),2),ROUND('F Intl Con Plus Base'!$J$120*(1+International_Fuel_Surcharge),2),ROUND(((1-'F Intl Con Plus Base'!$J$117)*'F Intl Con Plus Base'!J49)*(1+International_Fuel_Surcharge),2)))*(1+FedEx_Markup),2)</f>
        <v>134.27000000000001</v>
      </c>
      <c r="K52" s="307">
        <f>ROUND((IF('F Intl Con Plus Base'!$K$120&gt;ROUND(((1-'F Intl Con Plus Base'!$K$117)*'F Intl Con Plus Base'!K49),2),ROUND('F Intl Con Plus Base'!$K$120*(1+International_Fuel_Surcharge),2),ROUND(((1-'F Intl Con Plus Base'!$K$117)*'F Intl Con Plus Base'!K49)*(1+International_Fuel_Surcharge),2)))*(1+FedEx_Markup),2)</f>
        <v>283.43</v>
      </c>
      <c r="L52" s="307">
        <f>ROUND((IF('F Intl Con Plus Base'!$L$120&gt;ROUND(((1-'F Intl Con Plus Base'!$L$117)*'F Intl Con Plus Base'!L49),2),ROUND('F Intl Con Plus Base'!$L$120*(1+International_Fuel_Surcharge),2),ROUND(((1-'F Intl Con Plus Base'!$L$117)*'F Intl Con Plus Base'!L49)*(1+International_Fuel_Surcharge),2)))*(1+FedEx_Markup),2)</f>
        <v>232.74</v>
      </c>
      <c r="M52" s="307">
        <f>ROUND((IF('F Intl Con Plus Base'!$M$120&gt;ROUND(((1-'F Intl Con Plus Base'!$M$117)*'F Intl Con Plus Base'!M49),2),ROUND('F Intl Con Plus Base'!$M$120*(1+International_Fuel_Surcharge),2),ROUND(((1-'F Intl Con Plus Base'!$M$117)*'F Intl Con Plus Base'!M49)*(1+International_Fuel_Surcharge),2)))*(1+FedEx_Markup),2)</f>
        <v>306.07</v>
      </c>
      <c r="N52" s="307">
        <f>ROUND((IF('F Intl Con Plus Base'!$N$120&gt;ROUND(((1-'F Intl Con Plus Base'!$N$117)*'F Intl Con Plus Base'!N49),2),ROUND('F Intl Con Plus Base'!$N$120*(1+International_Fuel_Surcharge),2),ROUND(((1-'F Intl Con Plus Base'!$N$117)*'F Intl Con Plus Base'!N49)*(1+International_Fuel_Surcharge),2)))*(1+FedEx_Markup),2)</f>
        <v>333.21</v>
      </c>
      <c r="O52" s="307">
        <f>ROUND((IF('F Intl Con Plus Base'!$O$120&gt;ROUND(((1-'F Intl Con Plus Base'!$O$117)*'F Intl Con Plus Base'!O49),2),ROUND('F Intl Con Plus Base'!$O$120*(1+International_Fuel_Surcharge),2),ROUND(((1-'F Intl Con Plus Base'!$O$117)*'F Intl Con Plus Base'!O49)*(1+International_Fuel_Surcharge),2)))*(1+FedEx_Markup),2)</f>
        <v>264.18</v>
      </c>
      <c r="P52" s="307">
        <f>ROUND((IF('F Intl Con Plus Base'!$P$120&gt;ROUND(((1-'F Intl Con Plus Base'!$P$117)*'F Intl Con Plus Base'!P49),2),ROUND('F Intl Con Plus Base'!$P$120*(1+International_Fuel_Surcharge),2),ROUND(((1-'F Intl Con Plus Base'!$P$117)*'F Intl Con Plus Base'!P49)*(1+International_Fuel_Surcharge),2)))*(1+FedEx_Markup),2)</f>
        <v>247.4</v>
      </c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2.75" customHeight="1">
      <c r="A53" s="306">
        <v>48</v>
      </c>
      <c r="B53" s="307">
        <f>ROUND((IF('F Intl Con Plus Base'!$B$120&gt;ROUND(((1-'F Intl Con Plus Base'!$B$117)*'F Intl Con Plus Base'!B50),2),ROUND('F Intl Con Plus Base'!$B$120*(1+International_Fuel_Surcharge),2),ROUND(((1-'F Intl Con Plus Base'!$B$117)*'F Intl Con Plus Base'!B50)*(1+International_Fuel_Surcharge),2)))*(1+FedEx_Markup),2)</f>
        <v>124.6</v>
      </c>
      <c r="C53" s="307">
        <f>ROUND((IF('F Intl Con Plus Base'!$C$120&gt;ROUND(((1-'F Intl Con Plus Base'!$C$117)*'F Intl Con Plus Base'!C50),2),ROUND('F Intl Con Plus Base'!$C$120*(1+International_Fuel_Surcharge),2),ROUND(((1-'F Intl Con Plus Base'!$C$117)*'F Intl Con Plus Base'!C50)*(1+International_Fuel_Surcharge),2)))*(1+FedEx_Markup),2)</f>
        <v>141.30000000000001</v>
      </c>
      <c r="D53" s="307">
        <f>ROUND((IF('F Intl Con Plus Base'!$D$120&gt;ROUND(((1-'F Intl Con Plus Base'!$D$117)*'F Intl Con Plus Base'!D50),2),ROUND('F Intl Con Plus Base'!$D$120*(1+International_Fuel_Surcharge),2),ROUND(((1-'F Intl Con Plus Base'!$D$117)*'F Intl Con Plus Base'!D50)*(1+International_Fuel_Surcharge),2)))*(1+FedEx_Markup),2)</f>
        <v>96.52</v>
      </c>
      <c r="E53" s="307">
        <f>ROUND((IF('F Intl Con Plus Base'!$E$120&gt;ROUND(((1-'F Intl Con Plus Base'!$E$117)*'F Intl Con Plus Base'!E50),2),ROUND('F Intl Con Plus Base'!$E$120*(1+International_Fuel_Surcharge),2),ROUND(((1-'F Intl Con Plus Base'!$E$117)*'F Intl Con Plus Base'!E50)*(1+International_Fuel_Surcharge),2)))*(1+FedEx_Markup),2)</f>
        <v>166.62</v>
      </c>
      <c r="F53" s="307">
        <f>ROUND((IF('F Intl Con Plus Base'!$F$120&gt;ROUND(((1-'F Intl Con Plus Base'!$F$117)*'F Intl Con Plus Base'!F50),2),ROUND('F Intl Con Plus Base'!$F$120*(1+International_Fuel_Surcharge),2),ROUND(((1-'F Intl Con Plus Base'!$F$117)*'F Intl Con Plus Base'!F50)*(1+International_Fuel_Surcharge),2)))*(1+FedEx_Markup),2)</f>
        <v>348.25</v>
      </c>
      <c r="G53" s="307">
        <f>ROUND((IF('F Intl Con Plus Base'!$G$120&gt;ROUND(((1-'F Intl Con Plus Base'!$G$117)*'F Intl Con Plus Base'!G50),2),ROUND('F Intl Con Plus Base'!$G$120*(1+International_Fuel_Surcharge),2),ROUND(((1-'F Intl Con Plus Base'!$G$117)*'F Intl Con Plus Base'!G50)*(1+International_Fuel_Surcharge),2)))*(1+FedEx_Markup),2)</f>
        <v>183.4</v>
      </c>
      <c r="H53" s="307">
        <f>ROUND((IF('F Intl Con Plus Base'!$H$120&gt;ROUND(((1-'F Intl Con Plus Base'!$H$117)*'F Intl Con Plus Base'!H50),2),ROUND('F Intl Con Plus Base'!$H$120*(1+International_Fuel_Surcharge),2),ROUND(((1-'F Intl Con Plus Base'!$H$117)*'F Intl Con Plus Base'!H50)*(1+International_Fuel_Surcharge),2)))*(1+FedEx_Markup),2)</f>
        <v>192.1</v>
      </c>
      <c r="I53" s="307">
        <f>ROUND((IF('F Intl Con Plus Base'!$I$120&gt;ROUND(((1-'F Intl Con Plus Base'!$I$117)*'F Intl Con Plus Base'!I50),2),ROUND('F Intl Con Plus Base'!$I$120*(1+International_Fuel_Surcharge),2),ROUND(((1-'F Intl Con Plus Base'!$I$117)*'F Intl Con Plus Base'!I50)*(1+International_Fuel_Surcharge),2)))*(1+FedEx_Markup),2)</f>
        <v>234.36</v>
      </c>
      <c r="J53" s="307">
        <f>ROUND((IF('F Intl Con Plus Base'!$J$120&gt;ROUND(((1-'F Intl Con Plus Base'!$J$117)*'F Intl Con Plus Base'!J50),2),ROUND('F Intl Con Plus Base'!$J$120*(1+International_Fuel_Surcharge),2),ROUND(((1-'F Intl Con Plus Base'!$J$117)*'F Intl Con Plus Base'!J50)*(1+International_Fuel_Surcharge),2)))*(1+FedEx_Markup),2)</f>
        <v>144.63999999999999</v>
      </c>
      <c r="K53" s="307">
        <f>ROUND((IF('F Intl Con Plus Base'!$K$120&gt;ROUND(((1-'F Intl Con Plus Base'!$K$117)*'F Intl Con Plus Base'!K50),2),ROUND('F Intl Con Plus Base'!$K$120*(1+International_Fuel_Surcharge),2),ROUND(((1-'F Intl Con Plus Base'!$K$117)*'F Intl Con Plus Base'!K50)*(1+International_Fuel_Surcharge),2)))*(1+FedEx_Markup),2)</f>
        <v>287.10000000000002</v>
      </c>
      <c r="L53" s="307">
        <f>ROUND((IF('F Intl Con Plus Base'!$L$120&gt;ROUND(((1-'F Intl Con Plus Base'!$L$117)*'F Intl Con Plus Base'!L50),2),ROUND('F Intl Con Plus Base'!$L$120*(1+International_Fuel_Surcharge),2),ROUND(((1-'F Intl Con Plus Base'!$L$117)*'F Intl Con Plus Base'!L50)*(1+International_Fuel_Surcharge),2)))*(1+FedEx_Markup),2)</f>
        <v>233.98</v>
      </c>
      <c r="M53" s="307">
        <f>ROUND((IF('F Intl Con Plus Base'!$M$120&gt;ROUND(((1-'F Intl Con Plus Base'!$M$117)*'F Intl Con Plus Base'!M50),2),ROUND('F Intl Con Plus Base'!$M$120*(1+International_Fuel_Surcharge),2),ROUND(((1-'F Intl Con Plus Base'!$M$117)*'F Intl Con Plus Base'!M50)*(1+International_Fuel_Surcharge),2)))*(1+FedEx_Markup),2)</f>
        <v>310.56</v>
      </c>
      <c r="N53" s="307">
        <f>ROUND((IF('F Intl Con Plus Base'!$N$120&gt;ROUND(((1-'F Intl Con Plus Base'!$N$117)*'F Intl Con Plus Base'!N50),2),ROUND('F Intl Con Plus Base'!$N$120*(1+International_Fuel_Surcharge),2),ROUND(((1-'F Intl Con Plus Base'!$N$117)*'F Intl Con Plus Base'!N50)*(1+International_Fuel_Surcharge),2)))*(1+FedEx_Markup),2)</f>
        <v>335.18</v>
      </c>
      <c r="O53" s="307">
        <f>ROUND((IF('F Intl Con Plus Base'!$O$120&gt;ROUND(((1-'F Intl Con Plus Base'!$O$117)*'F Intl Con Plus Base'!O50),2),ROUND('F Intl Con Plus Base'!$O$120*(1+International_Fuel_Surcharge),2),ROUND(((1-'F Intl Con Plus Base'!$O$117)*'F Intl Con Plus Base'!O50)*(1+International_Fuel_Surcharge),2)))*(1+FedEx_Markup),2)</f>
        <v>264.3</v>
      </c>
      <c r="P53" s="307">
        <f>ROUND((IF('F Intl Con Plus Base'!$P$120&gt;ROUND(((1-'F Intl Con Plus Base'!$P$117)*'F Intl Con Plus Base'!P50),2),ROUND('F Intl Con Plus Base'!$P$120*(1+International_Fuel_Surcharge),2),ROUND(((1-'F Intl Con Plus Base'!$P$117)*'F Intl Con Plus Base'!P50)*(1+International_Fuel_Surcharge),2)))*(1+FedEx_Markup),2)</f>
        <v>249.02</v>
      </c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2.75" customHeight="1">
      <c r="A54" s="306">
        <v>49</v>
      </c>
      <c r="B54" s="307">
        <f>ROUND((IF('F Intl Con Plus Base'!$B$120&gt;ROUND(((1-'F Intl Con Plus Base'!$B$117)*'F Intl Con Plus Base'!B51),2),ROUND('F Intl Con Plus Base'!$B$120*(1+International_Fuel_Surcharge),2),ROUND(((1-'F Intl Con Plus Base'!$B$117)*'F Intl Con Plus Base'!B51)*(1+International_Fuel_Surcharge),2)))*(1+FedEx_Markup),2)</f>
        <v>126.06</v>
      </c>
      <c r="C54" s="307">
        <f>ROUND((IF('F Intl Con Plus Base'!$C$120&gt;ROUND(((1-'F Intl Con Plus Base'!$C$117)*'F Intl Con Plus Base'!C51),2),ROUND('F Intl Con Plus Base'!$C$120*(1+International_Fuel_Surcharge),2),ROUND(((1-'F Intl Con Plus Base'!$C$117)*'F Intl Con Plus Base'!C51)*(1+International_Fuel_Surcharge),2)))*(1+FedEx_Markup),2)</f>
        <v>141.62</v>
      </c>
      <c r="D54" s="307">
        <f>ROUND((IF('F Intl Con Plus Base'!$D$120&gt;ROUND(((1-'F Intl Con Plus Base'!$D$117)*'F Intl Con Plus Base'!D51),2),ROUND('F Intl Con Plus Base'!$D$120*(1+International_Fuel_Surcharge),2),ROUND(((1-'F Intl Con Plus Base'!$D$117)*'F Intl Con Plus Base'!D51)*(1+International_Fuel_Surcharge),2)))*(1+FedEx_Markup),2)</f>
        <v>96.59</v>
      </c>
      <c r="E54" s="307">
        <f>ROUND((IF('F Intl Con Plus Base'!$E$120&gt;ROUND(((1-'F Intl Con Plus Base'!$E$117)*'F Intl Con Plus Base'!E51),2),ROUND('F Intl Con Plus Base'!$E$120*(1+International_Fuel_Surcharge),2),ROUND(((1-'F Intl Con Plus Base'!$E$117)*'F Intl Con Plus Base'!E51)*(1+International_Fuel_Surcharge),2)))*(1+FedEx_Markup),2)</f>
        <v>166.73</v>
      </c>
      <c r="F54" s="307">
        <f>ROUND((IF('F Intl Con Plus Base'!$F$120&gt;ROUND(((1-'F Intl Con Plus Base'!$F$117)*'F Intl Con Plus Base'!F51),2),ROUND('F Intl Con Plus Base'!$F$120*(1+International_Fuel_Surcharge),2),ROUND(((1-'F Intl Con Plus Base'!$F$117)*'F Intl Con Plus Base'!F51)*(1+International_Fuel_Surcharge),2)))*(1+FedEx_Markup),2)</f>
        <v>349.61</v>
      </c>
      <c r="G54" s="307">
        <f>ROUND((IF('F Intl Con Plus Base'!$G$120&gt;ROUND(((1-'F Intl Con Plus Base'!$G$117)*'F Intl Con Plus Base'!G51),2),ROUND('F Intl Con Plus Base'!$G$120*(1+International_Fuel_Surcharge),2),ROUND(((1-'F Intl Con Plus Base'!$G$117)*'F Intl Con Plus Base'!G51)*(1+International_Fuel_Surcharge),2)))*(1+FedEx_Markup),2)</f>
        <v>192.38</v>
      </c>
      <c r="H54" s="307">
        <f>ROUND((IF('F Intl Con Plus Base'!$H$120&gt;ROUND(((1-'F Intl Con Plus Base'!$H$117)*'F Intl Con Plus Base'!H51),2),ROUND('F Intl Con Plus Base'!$H$120*(1+International_Fuel_Surcharge),2),ROUND(((1-'F Intl Con Plus Base'!$H$117)*'F Intl Con Plus Base'!H51)*(1+International_Fuel_Surcharge),2)))*(1+FedEx_Markup),2)</f>
        <v>192.28</v>
      </c>
      <c r="I54" s="307">
        <f>ROUND((IF('F Intl Con Plus Base'!$I$120&gt;ROUND(((1-'F Intl Con Plus Base'!$I$117)*'F Intl Con Plus Base'!I51),2),ROUND('F Intl Con Plus Base'!$I$120*(1+International_Fuel_Surcharge),2),ROUND(((1-'F Intl Con Plus Base'!$I$117)*'F Intl Con Plus Base'!I51)*(1+International_Fuel_Surcharge),2)))*(1+FedEx_Markup),2)</f>
        <v>241.47</v>
      </c>
      <c r="J54" s="307">
        <f>ROUND((IF('F Intl Con Plus Base'!$J$120&gt;ROUND(((1-'F Intl Con Plus Base'!$J$117)*'F Intl Con Plus Base'!J51),2),ROUND('F Intl Con Plus Base'!$J$120*(1+International_Fuel_Surcharge),2),ROUND(((1-'F Intl Con Plus Base'!$J$117)*'F Intl Con Plus Base'!J51)*(1+International_Fuel_Surcharge),2)))*(1+FedEx_Markup),2)</f>
        <v>145.66999999999999</v>
      </c>
      <c r="K54" s="307">
        <f>ROUND((IF('F Intl Con Plus Base'!$K$120&gt;ROUND(((1-'F Intl Con Plus Base'!$K$117)*'F Intl Con Plus Base'!K51),2),ROUND('F Intl Con Plus Base'!$K$120*(1+International_Fuel_Surcharge),2),ROUND(((1-'F Intl Con Plus Base'!$K$117)*'F Intl Con Plus Base'!K51)*(1+International_Fuel_Surcharge),2)))*(1+FedEx_Markup),2)</f>
        <v>295.83</v>
      </c>
      <c r="L54" s="307">
        <f>ROUND((IF('F Intl Con Plus Base'!$L$120&gt;ROUND(((1-'F Intl Con Plus Base'!$L$117)*'F Intl Con Plus Base'!L51),2),ROUND('F Intl Con Plus Base'!$L$120*(1+International_Fuel_Surcharge),2),ROUND(((1-'F Intl Con Plus Base'!$L$117)*'F Intl Con Plus Base'!L51)*(1+International_Fuel_Surcharge),2)))*(1+FedEx_Markup),2)</f>
        <v>244.49</v>
      </c>
      <c r="M54" s="307">
        <f>ROUND((IF('F Intl Con Plus Base'!$M$120&gt;ROUND(((1-'F Intl Con Plus Base'!$M$117)*'F Intl Con Plus Base'!M51),2),ROUND('F Intl Con Plus Base'!$M$120*(1+International_Fuel_Surcharge),2),ROUND(((1-'F Intl Con Plus Base'!$M$117)*'F Intl Con Plus Base'!M51)*(1+International_Fuel_Surcharge),2)))*(1+FedEx_Markup),2)</f>
        <v>338.88</v>
      </c>
      <c r="N54" s="307">
        <f>ROUND((IF('F Intl Con Plus Base'!$N$120&gt;ROUND(((1-'F Intl Con Plus Base'!$N$117)*'F Intl Con Plus Base'!N51),2),ROUND('F Intl Con Plus Base'!$N$120*(1+International_Fuel_Surcharge),2),ROUND(((1-'F Intl Con Plus Base'!$N$117)*'F Intl Con Plus Base'!N51)*(1+International_Fuel_Surcharge),2)))*(1+FedEx_Markup),2)</f>
        <v>347.16</v>
      </c>
      <c r="O54" s="307">
        <f>ROUND((IF('F Intl Con Plus Base'!$O$120&gt;ROUND(((1-'F Intl Con Plus Base'!$O$117)*'F Intl Con Plus Base'!O51),2),ROUND('F Intl Con Plus Base'!$O$120*(1+International_Fuel_Surcharge),2),ROUND(((1-'F Intl Con Plus Base'!$O$117)*'F Intl Con Plus Base'!O51)*(1+International_Fuel_Surcharge),2)))*(1+FedEx_Markup),2)</f>
        <v>266.70999999999998</v>
      </c>
      <c r="P54" s="307">
        <f>ROUND((IF('F Intl Con Plus Base'!$P$120&gt;ROUND(((1-'F Intl Con Plus Base'!$P$117)*'F Intl Con Plus Base'!P51),2),ROUND('F Intl Con Plus Base'!$P$120*(1+International_Fuel_Surcharge),2),ROUND(((1-'F Intl Con Plus Base'!$P$117)*'F Intl Con Plus Base'!P51)*(1+International_Fuel_Surcharge),2)))*(1+FedEx_Markup),2)</f>
        <v>249.46</v>
      </c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2.75" customHeight="1">
      <c r="A55" s="306">
        <v>50</v>
      </c>
      <c r="B55" s="307">
        <f>ROUND((IF('F Intl Con Plus Base'!$B$120&gt;ROUND(((1-'F Intl Con Plus Base'!$B$117)*'F Intl Con Plus Base'!B52),2),ROUND('F Intl Con Plus Base'!$B$120*(1+International_Fuel_Surcharge),2),ROUND(((1-'F Intl Con Plus Base'!$B$117)*'F Intl Con Plus Base'!B52)*(1+International_Fuel_Surcharge),2)))*(1+FedEx_Markup),2)</f>
        <v>128.55000000000001</v>
      </c>
      <c r="C55" s="307">
        <f>ROUND((IF('F Intl Con Plus Base'!$C$120&gt;ROUND(((1-'F Intl Con Plus Base'!$C$117)*'F Intl Con Plus Base'!C52),2),ROUND('F Intl Con Plus Base'!$C$120*(1+International_Fuel_Surcharge),2),ROUND(((1-'F Intl Con Plus Base'!$C$117)*'F Intl Con Plus Base'!C52)*(1+International_Fuel_Surcharge),2)))*(1+FedEx_Markup),2)</f>
        <v>144.41999999999999</v>
      </c>
      <c r="D55" s="307">
        <f>ROUND((IF('F Intl Con Plus Base'!$D$120&gt;ROUND(((1-'F Intl Con Plus Base'!$D$117)*'F Intl Con Plus Base'!D52),2),ROUND('F Intl Con Plus Base'!$D$120*(1+International_Fuel_Surcharge),2),ROUND(((1-'F Intl Con Plus Base'!$D$117)*'F Intl Con Plus Base'!D52)*(1+International_Fuel_Surcharge),2)))*(1+FedEx_Markup),2)</f>
        <v>96.92</v>
      </c>
      <c r="E55" s="307">
        <f>ROUND((IF('F Intl Con Plus Base'!$E$120&gt;ROUND(((1-'F Intl Con Plus Base'!$E$117)*'F Intl Con Plus Base'!E52),2),ROUND('F Intl Con Plus Base'!$E$120*(1+International_Fuel_Surcharge),2),ROUND(((1-'F Intl Con Plus Base'!$E$117)*'F Intl Con Plus Base'!E52)*(1+International_Fuel_Surcharge),2)))*(1+FedEx_Markup),2)</f>
        <v>168.6</v>
      </c>
      <c r="F55" s="307">
        <f>ROUND((IF('F Intl Con Plus Base'!$F$120&gt;ROUND(((1-'F Intl Con Plus Base'!$F$117)*'F Intl Con Plus Base'!F52),2),ROUND('F Intl Con Plus Base'!$F$120*(1+International_Fuel_Surcharge),2),ROUND(((1-'F Intl Con Plus Base'!$F$117)*'F Intl Con Plus Base'!F52)*(1+International_Fuel_Surcharge),2)))*(1+FedEx_Markup),2)</f>
        <v>376.64</v>
      </c>
      <c r="G55" s="307">
        <f>ROUND((IF('F Intl Con Plus Base'!$G$120&gt;ROUND(((1-'F Intl Con Plus Base'!$G$117)*'F Intl Con Plus Base'!G52),2),ROUND('F Intl Con Plus Base'!$G$120*(1+International_Fuel_Surcharge),2),ROUND(((1-'F Intl Con Plus Base'!$G$117)*'F Intl Con Plus Base'!G52)*(1+International_Fuel_Surcharge),2)))*(1+FedEx_Markup),2)</f>
        <v>193.78</v>
      </c>
      <c r="H55" s="307">
        <f>ROUND((IF('F Intl Con Plus Base'!$H$120&gt;ROUND(((1-'F Intl Con Plus Base'!$H$117)*'F Intl Con Plus Base'!H52),2),ROUND('F Intl Con Plus Base'!$H$120*(1+International_Fuel_Surcharge),2),ROUND(((1-'F Intl Con Plus Base'!$H$117)*'F Intl Con Plus Base'!H52)*(1+International_Fuel_Surcharge),2)))*(1+FedEx_Markup),2)</f>
        <v>193.22</v>
      </c>
      <c r="I55" s="307">
        <f>ROUND((IF('F Intl Con Plus Base'!$I$120&gt;ROUND(((1-'F Intl Con Plus Base'!$I$117)*'F Intl Con Plus Base'!I52),2),ROUND('F Intl Con Plus Base'!$I$120*(1+International_Fuel_Surcharge),2),ROUND(((1-'F Intl Con Plus Base'!$I$117)*'F Intl Con Plus Base'!I52)*(1+International_Fuel_Surcharge),2)))*(1+FedEx_Markup),2)</f>
        <v>243.64</v>
      </c>
      <c r="J55" s="307">
        <f>ROUND((IF('F Intl Con Plus Base'!$J$120&gt;ROUND(((1-'F Intl Con Plus Base'!$J$117)*'F Intl Con Plus Base'!J52),2),ROUND('F Intl Con Plus Base'!$J$120*(1+International_Fuel_Surcharge),2),ROUND(((1-'F Intl Con Plus Base'!$J$117)*'F Intl Con Plus Base'!J52)*(1+International_Fuel_Surcharge),2)))*(1+FedEx_Markup),2)</f>
        <v>146.19</v>
      </c>
      <c r="K55" s="307">
        <f>ROUND((IF('F Intl Con Plus Base'!$K$120&gt;ROUND(((1-'F Intl Con Plus Base'!$K$117)*'F Intl Con Plus Base'!K52),2),ROUND('F Intl Con Plus Base'!$K$120*(1+International_Fuel_Surcharge),2),ROUND(((1-'F Intl Con Plus Base'!$K$117)*'F Intl Con Plus Base'!K52)*(1+International_Fuel_Surcharge),2)))*(1+FedEx_Markup),2)</f>
        <v>297.83999999999997</v>
      </c>
      <c r="L55" s="307">
        <f>ROUND((IF('F Intl Con Plus Base'!$L$120&gt;ROUND(((1-'F Intl Con Plus Base'!$L$117)*'F Intl Con Plus Base'!L52),2),ROUND('F Intl Con Plus Base'!$L$120*(1+International_Fuel_Surcharge),2),ROUND(((1-'F Intl Con Plus Base'!$L$117)*'F Intl Con Plus Base'!L52)*(1+International_Fuel_Surcharge),2)))*(1+FedEx_Markup),2)</f>
        <v>246.25</v>
      </c>
      <c r="M55" s="307">
        <f>ROUND((IF('F Intl Con Plus Base'!$M$120&gt;ROUND(((1-'F Intl Con Plus Base'!$M$117)*'F Intl Con Plus Base'!M52),2),ROUND('F Intl Con Plus Base'!$M$120*(1+International_Fuel_Surcharge),2),ROUND(((1-'F Intl Con Plus Base'!$M$117)*'F Intl Con Plus Base'!M52)*(1+International_Fuel_Surcharge),2)))*(1+FedEx_Markup),2)</f>
        <v>344.02</v>
      </c>
      <c r="N55" s="307">
        <f>ROUND((IF('F Intl Con Plus Base'!$N$120&gt;ROUND(((1-'F Intl Con Plus Base'!$N$117)*'F Intl Con Plus Base'!N52),2),ROUND('F Intl Con Plus Base'!$N$120*(1+International_Fuel_Surcharge),2),ROUND(((1-'F Intl Con Plus Base'!$N$117)*'F Intl Con Plus Base'!N52)*(1+International_Fuel_Surcharge),2)))*(1+FedEx_Markup),2)</f>
        <v>352.65</v>
      </c>
      <c r="O55" s="307">
        <f>ROUND((IF('F Intl Con Plus Base'!$O$120&gt;ROUND(((1-'F Intl Con Plus Base'!$O$117)*'F Intl Con Plus Base'!O52),2),ROUND('F Intl Con Plus Base'!$O$120*(1+International_Fuel_Surcharge),2),ROUND(((1-'F Intl Con Plus Base'!$O$117)*'F Intl Con Plus Base'!O52)*(1+International_Fuel_Surcharge),2)))*(1+FedEx_Markup),2)</f>
        <v>267.69</v>
      </c>
      <c r="P55" s="307">
        <f>ROUND((IF('F Intl Con Plus Base'!$P$120&gt;ROUND(((1-'F Intl Con Plus Base'!$P$117)*'F Intl Con Plus Base'!P52),2),ROUND('F Intl Con Plus Base'!$P$120*(1+International_Fuel_Surcharge),2),ROUND(((1-'F Intl Con Plus Base'!$P$117)*'F Intl Con Plus Base'!P52)*(1+International_Fuel_Surcharge),2)))*(1+FedEx_Markup),2)</f>
        <v>258.2</v>
      </c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2.75" customHeight="1">
      <c r="A56" s="306">
        <v>51</v>
      </c>
      <c r="B56" s="307">
        <f>ROUND((IF('F Intl Con Plus Base'!$B$120&gt;ROUND(((1-'F Intl Con Plus Base'!$B$117)*'F Intl Con Plus Base'!B53),2),ROUND('F Intl Con Plus Base'!$B$120*(1+International_Fuel_Surcharge),2),ROUND(((1-'F Intl Con Plus Base'!$B$117)*'F Intl Con Plus Base'!B53)*(1+International_Fuel_Surcharge),2)))*(1+FedEx_Markup),2)</f>
        <v>133.37</v>
      </c>
      <c r="C56" s="307">
        <f>ROUND((IF('F Intl Con Plus Base'!$C$120&gt;ROUND(((1-'F Intl Con Plus Base'!$C$117)*'F Intl Con Plus Base'!C53),2),ROUND('F Intl Con Plus Base'!$C$120*(1+International_Fuel_Surcharge),2),ROUND(((1-'F Intl Con Plus Base'!$C$117)*'F Intl Con Plus Base'!C53)*(1+International_Fuel_Surcharge),2)))*(1+FedEx_Markup),2)</f>
        <v>149.11000000000001</v>
      </c>
      <c r="D56" s="307">
        <f>ROUND((IF('F Intl Con Plus Base'!$D$120&gt;ROUND(((1-'F Intl Con Plus Base'!$D$117)*'F Intl Con Plus Base'!D53),2),ROUND('F Intl Con Plus Base'!$D$120*(1+International_Fuel_Surcharge),2),ROUND(((1-'F Intl Con Plus Base'!$D$117)*'F Intl Con Plus Base'!D53)*(1+International_Fuel_Surcharge),2)))*(1+FedEx_Markup),2)</f>
        <v>98.08</v>
      </c>
      <c r="E56" s="307">
        <f>ROUND((IF('F Intl Con Plus Base'!$E$120&gt;ROUND(((1-'F Intl Con Plus Base'!$E$117)*'F Intl Con Plus Base'!E53),2),ROUND('F Intl Con Plus Base'!$E$120*(1+International_Fuel_Surcharge),2),ROUND(((1-'F Intl Con Plus Base'!$E$117)*'F Intl Con Plus Base'!E53)*(1+International_Fuel_Surcharge),2)))*(1+FedEx_Markup),2)</f>
        <v>168.8</v>
      </c>
      <c r="F56" s="307">
        <f>ROUND((IF('F Intl Con Plus Base'!$F$120&gt;ROUND(((1-'F Intl Con Plus Base'!$F$117)*'F Intl Con Plus Base'!F53),2),ROUND('F Intl Con Plus Base'!$F$120*(1+International_Fuel_Surcharge),2),ROUND(((1-'F Intl Con Plus Base'!$F$117)*'F Intl Con Plus Base'!F53)*(1+International_Fuel_Surcharge),2)))*(1+FedEx_Markup),2)</f>
        <v>379.34</v>
      </c>
      <c r="G56" s="307">
        <f>ROUND((IF('F Intl Con Plus Base'!$G$120&gt;ROUND(((1-'F Intl Con Plus Base'!$G$117)*'F Intl Con Plus Base'!G53),2),ROUND('F Intl Con Plus Base'!$G$120*(1+International_Fuel_Surcharge),2),ROUND(((1-'F Intl Con Plus Base'!$G$117)*'F Intl Con Plus Base'!G53)*(1+International_Fuel_Surcharge),2)))*(1+FedEx_Markup),2)</f>
        <v>193.92</v>
      </c>
      <c r="H56" s="307">
        <f>ROUND((IF('F Intl Con Plus Base'!$H$120&gt;ROUND(((1-'F Intl Con Plus Base'!$H$117)*'F Intl Con Plus Base'!H53),2),ROUND('F Intl Con Plus Base'!$H$120*(1+International_Fuel_Surcharge),2),ROUND(((1-'F Intl Con Plus Base'!$H$117)*'F Intl Con Plus Base'!H53)*(1+International_Fuel_Surcharge),2)))*(1+FedEx_Markup),2)</f>
        <v>199.8</v>
      </c>
      <c r="I56" s="307">
        <f>ROUND((IF('F Intl Con Plus Base'!$I$120&gt;ROUND(((1-'F Intl Con Plus Base'!$I$117)*'F Intl Con Plus Base'!I53),2),ROUND('F Intl Con Plus Base'!$I$120*(1+International_Fuel_Surcharge),2),ROUND(((1-'F Intl Con Plus Base'!$I$117)*'F Intl Con Plus Base'!I53)*(1+International_Fuel_Surcharge),2)))*(1+FedEx_Markup),2)</f>
        <v>243.86</v>
      </c>
      <c r="J56" s="307">
        <f>ROUND((IF('F Intl Con Plus Base'!$J$120&gt;ROUND(((1-'F Intl Con Plus Base'!$J$117)*'F Intl Con Plus Base'!J53),2),ROUND('F Intl Con Plus Base'!$J$120*(1+International_Fuel_Surcharge),2),ROUND(((1-'F Intl Con Plus Base'!$J$117)*'F Intl Con Plus Base'!J53)*(1+International_Fuel_Surcharge),2)))*(1+FedEx_Markup),2)</f>
        <v>146.27000000000001</v>
      </c>
      <c r="K56" s="307">
        <f>ROUND((IF('F Intl Con Plus Base'!$K$120&gt;ROUND(((1-'F Intl Con Plus Base'!$K$117)*'F Intl Con Plus Base'!K53),2),ROUND('F Intl Con Plus Base'!$K$120*(1+International_Fuel_Surcharge),2),ROUND(((1-'F Intl Con Plus Base'!$K$117)*'F Intl Con Plus Base'!K53)*(1+International_Fuel_Surcharge),2)))*(1+FedEx_Markup),2)</f>
        <v>305.64999999999998</v>
      </c>
      <c r="L56" s="307">
        <f>ROUND((IF('F Intl Con Plus Base'!$L$120&gt;ROUND(((1-'F Intl Con Plus Base'!$L$117)*'F Intl Con Plus Base'!L53),2),ROUND('F Intl Con Plus Base'!$L$120*(1+International_Fuel_Surcharge),2),ROUND(((1-'F Intl Con Plus Base'!$L$117)*'F Intl Con Plus Base'!L53)*(1+International_Fuel_Surcharge),2)))*(1+FedEx_Markup),2)</f>
        <v>249</v>
      </c>
      <c r="M56" s="307">
        <f>ROUND((IF('F Intl Con Plus Base'!$M$120&gt;ROUND(((1-'F Intl Con Plus Base'!$M$117)*'F Intl Con Plus Base'!M53),2),ROUND('F Intl Con Plus Base'!$M$120*(1+International_Fuel_Surcharge),2),ROUND(((1-'F Intl Con Plus Base'!$M$117)*'F Intl Con Plus Base'!M53)*(1+International_Fuel_Surcharge),2)))*(1+FedEx_Markup),2)</f>
        <v>344.53</v>
      </c>
      <c r="N56" s="307">
        <f>ROUND((IF('F Intl Con Plus Base'!$N$120&gt;ROUND(((1-'F Intl Con Plus Base'!$N$117)*'F Intl Con Plus Base'!N53),2),ROUND('F Intl Con Plus Base'!$N$120*(1+International_Fuel_Surcharge),2),ROUND(((1-'F Intl Con Plus Base'!$N$117)*'F Intl Con Plus Base'!N53)*(1+International_Fuel_Surcharge),2)))*(1+FedEx_Markup),2)</f>
        <v>353.19</v>
      </c>
      <c r="O56" s="307">
        <f>ROUND((IF('F Intl Con Plus Base'!$O$120&gt;ROUND(((1-'F Intl Con Plus Base'!$O$117)*'F Intl Con Plus Base'!O53),2),ROUND('F Intl Con Plus Base'!$O$120*(1+International_Fuel_Surcharge),2),ROUND(((1-'F Intl Con Plus Base'!$O$117)*'F Intl Con Plus Base'!O53)*(1+International_Fuel_Surcharge),2)))*(1+FedEx_Markup),2)</f>
        <v>267.77999999999997</v>
      </c>
      <c r="P56" s="307">
        <f>ROUND((IF('F Intl Con Plus Base'!$P$120&gt;ROUND(((1-'F Intl Con Plus Base'!$P$117)*'F Intl Con Plus Base'!P53),2),ROUND('F Intl Con Plus Base'!$P$120*(1+International_Fuel_Surcharge),2),ROUND(((1-'F Intl Con Plus Base'!$P$117)*'F Intl Con Plus Base'!P53)*(1+International_Fuel_Surcharge),2)))*(1+FedEx_Markup),2)</f>
        <v>259.07</v>
      </c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2.75" customHeight="1">
      <c r="A57" s="306">
        <v>52</v>
      </c>
      <c r="B57" s="307">
        <f>ROUND((IF('F Intl Con Plus Base'!$B$120&gt;ROUND(((1-'F Intl Con Plus Base'!$B$117)*'F Intl Con Plus Base'!B54),2),ROUND('F Intl Con Plus Base'!$B$120*(1+International_Fuel_Surcharge),2),ROUND(((1-'F Intl Con Plus Base'!$B$117)*'F Intl Con Plus Base'!B54)*(1+International_Fuel_Surcharge),2)))*(1+FedEx_Markup),2)</f>
        <v>134.34</v>
      </c>
      <c r="C57" s="307">
        <f>ROUND((IF('F Intl Con Plus Base'!$C$120&gt;ROUND(((1-'F Intl Con Plus Base'!$C$117)*'F Intl Con Plus Base'!C54),2),ROUND('F Intl Con Plus Base'!$C$120*(1+International_Fuel_Surcharge),2),ROUND(((1-'F Intl Con Plus Base'!$C$117)*'F Intl Con Plus Base'!C54)*(1+International_Fuel_Surcharge),2)))*(1+FedEx_Markup),2)</f>
        <v>149.58000000000001</v>
      </c>
      <c r="D57" s="307">
        <f>ROUND((IF('F Intl Con Plus Base'!$D$120&gt;ROUND(((1-'F Intl Con Plus Base'!$D$117)*'F Intl Con Plus Base'!D54),2),ROUND('F Intl Con Plus Base'!$D$120*(1+International_Fuel_Surcharge),2),ROUND(((1-'F Intl Con Plus Base'!$D$117)*'F Intl Con Plus Base'!D54)*(1+International_Fuel_Surcharge),2)))*(1+FedEx_Markup),2)</f>
        <v>100.58</v>
      </c>
      <c r="E57" s="307">
        <f>ROUND((IF('F Intl Con Plus Base'!$E$120&gt;ROUND(((1-'F Intl Con Plus Base'!$E$117)*'F Intl Con Plus Base'!E54),2),ROUND('F Intl Con Plus Base'!$E$120*(1+International_Fuel_Surcharge),2),ROUND(((1-'F Intl Con Plus Base'!$E$117)*'F Intl Con Plus Base'!E54)*(1+International_Fuel_Surcharge),2)))*(1+FedEx_Markup),2)</f>
        <v>168.96</v>
      </c>
      <c r="F57" s="307">
        <f>ROUND((IF('F Intl Con Plus Base'!$F$120&gt;ROUND(((1-'F Intl Con Plus Base'!$F$117)*'F Intl Con Plus Base'!F54),2),ROUND('F Intl Con Plus Base'!$F$120*(1+International_Fuel_Surcharge),2),ROUND(((1-'F Intl Con Plus Base'!$F$117)*'F Intl Con Plus Base'!F54)*(1+International_Fuel_Surcharge),2)))*(1+FedEx_Markup),2)</f>
        <v>391.09</v>
      </c>
      <c r="G57" s="307">
        <f>ROUND((IF('F Intl Con Plus Base'!$G$120&gt;ROUND(((1-'F Intl Con Plus Base'!$G$117)*'F Intl Con Plus Base'!G54),2),ROUND('F Intl Con Plus Base'!$G$120*(1+International_Fuel_Surcharge),2),ROUND(((1-'F Intl Con Plus Base'!$G$117)*'F Intl Con Plus Base'!G54)*(1+International_Fuel_Surcharge),2)))*(1+FedEx_Markup),2)</f>
        <v>193.99</v>
      </c>
      <c r="H57" s="307">
        <f>ROUND((IF('F Intl Con Plus Base'!$H$120&gt;ROUND(((1-'F Intl Con Plus Base'!$H$117)*'F Intl Con Plus Base'!H54),2),ROUND('F Intl Con Plus Base'!$H$120*(1+International_Fuel_Surcharge),2),ROUND(((1-'F Intl Con Plus Base'!$H$117)*'F Intl Con Plus Base'!H54)*(1+International_Fuel_Surcharge),2)))*(1+FedEx_Markup),2)</f>
        <v>200.47</v>
      </c>
      <c r="I57" s="307">
        <f>ROUND((IF('F Intl Con Plus Base'!$I$120&gt;ROUND(((1-'F Intl Con Plus Base'!$I$117)*'F Intl Con Plus Base'!I54),2),ROUND('F Intl Con Plus Base'!$I$120*(1+International_Fuel_Surcharge),2),ROUND(((1-'F Intl Con Plus Base'!$I$117)*'F Intl Con Plus Base'!I54)*(1+International_Fuel_Surcharge),2)))*(1+FedEx_Markup),2)</f>
        <v>244.74</v>
      </c>
      <c r="J57" s="307">
        <f>ROUND((IF('F Intl Con Plus Base'!$J$120&gt;ROUND(((1-'F Intl Con Plus Base'!$J$117)*'F Intl Con Plus Base'!J54),2),ROUND('F Intl Con Plus Base'!$J$120*(1+International_Fuel_Surcharge),2),ROUND(((1-'F Intl Con Plus Base'!$J$117)*'F Intl Con Plus Base'!J54)*(1+International_Fuel_Surcharge),2)))*(1+FedEx_Markup),2)</f>
        <v>146.34</v>
      </c>
      <c r="K57" s="307">
        <f>ROUND((IF('F Intl Con Plus Base'!$K$120&gt;ROUND(((1-'F Intl Con Plus Base'!$K$117)*'F Intl Con Plus Base'!K54),2),ROUND('F Intl Con Plus Base'!$K$120*(1+International_Fuel_Surcharge),2),ROUND(((1-'F Intl Con Plus Base'!$K$117)*'F Intl Con Plus Base'!K54)*(1+International_Fuel_Surcharge),2)))*(1+FedEx_Markup),2)</f>
        <v>309.14</v>
      </c>
      <c r="L57" s="307">
        <f>ROUND((IF('F Intl Con Plus Base'!$L$120&gt;ROUND(((1-'F Intl Con Plus Base'!$L$117)*'F Intl Con Plus Base'!L54),2),ROUND('F Intl Con Plus Base'!$L$120*(1+International_Fuel_Surcharge),2),ROUND(((1-'F Intl Con Plus Base'!$L$117)*'F Intl Con Plus Base'!L54)*(1+International_Fuel_Surcharge),2)))*(1+FedEx_Markup),2)</f>
        <v>249.56</v>
      </c>
      <c r="M57" s="307">
        <f>ROUND((IF('F Intl Con Plus Base'!$M$120&gt;ROUND(((1-'F Intl Con Plus Base'!$M$117)*'F Intl Con Plus Base'!M54),2),ROUND('F Intl Con Plus Base'!$M$120*(1+International_Fuel_Surcharge),2),ROUND(((1-'F Intl Con Plus Base'!$M$117)*'F Intl Con Plus Base'!M54)*(1+International_Fuel_Surcharge),2)))*(1+FedEx_Markup),2)</f>
        <v>353.58</v>
      </c>
      <c r="N57" s="307">
        <f>ROUND((IF('F Intl Con Plus Base'!$N$120&gt;ROUND(((1-'F Intl Con Plus Base'!$N$117)*'F Intl Con Plus Base'!N54),2),ROUND('F Intl Con Plus Base'!$N$120*(1+International_Fuel_Surcharge),2),ROUND(((1-'F Intl Con Plus Base'!$N$117)*'F Intl Con Plus Base'!N54)*(1+International_Fuel_Surcharge),2)))*(1+FedEx_Markup),2)</f>
        <v>353.26</v>
      </c>
      <c r="O57" s="307">
        <f>ROUND((IF('F Intl Con Plus Base'!$O$120&gt;ROUND(((1-'F Intl Con Plus Base'!$O$117)*'F Intl Con Plus Base'!O54),2),ROUND('F Intl Con Plus Base'!$O$120*(1+International_Fuel_Surcharge),2),ROUND(((1-'F Intl Con Plus Base'!$O$117)*'F Intl Con Plus Base'!O54)*(1+International_Fuel_Surcharge),2)))*(1+FedEx_Markup),2)</f>
        <v>267.86</v>
      </c>
      <c r="P57" s="307">
        <f>ROUND((IF('F Intl Con Plus Base'!$P$120&gt;ROUND(((1-'F Intl Con Plus Base'!$P$117)*'F Intl Con Plus Base'!P54),2),ROUND('F Intl Con Plus Base'!$P$120*(1+International_Fuel_Surcharge),2),ROUND(((1-'F Intl Con Plus Base'!$P$117)*'F Intl Con Plus Base'!P54)*(1+International_Fuel_Surcharge),2)))*(1+FedEx_Markup),2)</f>
        <v>259.92</v>
      </c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2.75" customHeight="1">
      <c r="A58" s="306">
        <v>53</v>
      </c>
      <c r="B58" s="307">
        <f>ROUND((IF('F Intl Con Plus Base'!$B$120&gt;ROUND(((1-'F Intl Con Plus Base'!$B$117)*'F Intl Con Plus Base'!B55),2),ROUND('F Intl Con Plus Base'!$B$120*(1+International_Fuel_Surcharge),2),ROUND(((1-'F Intl Con Plus Base'!$B$117)*'F Intl Con Plus Base'!B55)*(1+International_Fuel_Surcharge),2)))*(1+FedEx_Markup),2)</f>
        <v>134.5</v>
      </c>
      <c r="C58" s="307">
        <f>ROUND((IF('F Intl Con Plus Base'!$C$120&gt;ROUND(((1-'F Intl Con Plus Base'!$C$117)*'F Intl Con Plus Base'!C55),2),ROUND('F Intl Con Plus Base'!$C$120*(1+International_Fuel_Surcharge),2),ROUND(((1-'F Intl Con Plus Base'!$C$117)*'F Intl Con Plus Base'!C55)*(1+International_Fuel_Surcharge),2)))*(1+FedEx_Markup),2)</f>
        <v>149.94</v>
      </c>
      <c r="D58" s="307">
        <f>ROUND((IF('F Intl Con Plus Base'!$D$120&gt;ROUND(((1-'F Intl Con Plus Base'!$D$117)*'F Intl Con Plus Base'!D55),2),ROUND('F Intl Con Plus Base'!$D$120*(1+International_Fuel_Surcharge),2),ROUND(((1-'F Intl Con Plus Base'!$D$117)*'F Intl Con Plus Base'!D55)*(1+International_Fuel_Surcharge),2)))*(1+FedEx_Markup),2)</f>
        <v>102.65</v>
      </c>
      <c r="E58" s="307">
        <f>ROUND((IF('F Intl Con Plus Base'!$E$120&gt;ROUND(((1-'F Intl Con Plus Base'!$E$117)*'F Intl Con Plus Base'!E55),2),ROUND('F Intl Con Plus Base'!$E$120*(1+International_Fuel_Surcharge),2),ROUND(((1-'F Intl Con Plus Base'!$E$117)*'F Intl Con Plus Base'!E55)*(1+International_Fuel_Surcharge),2)))*(1+FedEx_Markup),2)</f>
        <v>169.12</v>
      </c>
      <c r="F58" s="307">
        <f>ROUND((IF('F Intl Con Plus Base'!$F$120&gt;ROUND(((1-'F Intl Con Plus Base'!$F$117)*'F Intl Con Plus Base'!F55),2),ROUND('F Intl Con Plus Base'!$F$120*(1+International_Fuel_Surcharge),2),ROUND(((1-'F Intl Con Plus Base'!$F$117)*'F Intl Con Plus Base'!F55)*(1+International_Fuel_Surcharge),2)))*(1+FedEx_Markup),2)</f>
        <v>395.63</v>
      </c>
      <c r="G58" s="307">
        <f>ROUND((IF('F Intl Con Plus Base'!$G$120&gt;ROUND(((1-'F Intl Con Plus Base'!$G$117)*'F Intl Con Plus Base'!G55),2),ROUND('F Intl Con Plus Base'!$G$120*(1+International_Fuel_Surcharge),2),ROUND(((1-'F Intl Con Plus Base'!$G$117)*'F Intl Con Plus Base'!G55)*(1+International_Fuel_Surcharge),2)))*(1+FedEx_Markup),2)</f>
        <v>194.51</v>
      </c>
      <c r="H58" s="307">
        <f>ROUND((IF('F Intl Con Plus Base'!$H$120&gt;ROUND(((1-'F Intl Con Plus Base'!$H$117)*'F Intl Con Plus Base'!H55),2),ROUND('F Intl Con Plus Base'!$H$120*(1+International_Fuel_Surcharge),2),ROUND(((1-'F Intl Con Plus Base'!$H$117)*'F Intl Con Plus Base'!H55)*(1+International_Fuel_Surcharge),2)))*(1+FedEx_Markup),2)</f>
        <v>200.73</v>
      </c>
      <c r="I58" s="307">
        <f>ROUND((IF('F Intl Con Plus Base'!$I$120&gt;ROUND(((1-'F Intl Con Plus Base'!$I$117)*'F Intl Con Plus Base'!I55),2),ROUND('F Intl Con Plus Base'!$I$120*(1+International_Fuel_Surcharge),2),ROUND(((1-'F Intl Con Plus Base'!$I$117)*'F Intl Con Plus Base'!I55)*(1+International_Fuel_Surcharge),2)))*(1+FedEx_Markup),2)</f>
        <v>253.22</v>
      </c>
      <c r="J58" s="307">
        <f>ROUND((IF('F Intl Con Plus Base'!$J$120&gt;ROUND(((1-'F Intl Con Plus Base'!$J$117)*'F Intl Con Plus Base'!J55),2),ROUND('F Intl Con Plus Base'!$J$120*(1+International_Fuel_Surcharge),2),ROUND(((1-'F Intl Con Plus Base'!$J$117)*'F Intl Con Plus Base'!J55)*(1+International_Fuel_Surcharge),2)))*(1+FedEx_Markup),2)</f>
        <v>146.4</v>
      </c>
      <c r="K58" s="307">
        <f>ROUND((IF('F Intl Con Plus Base'!$K$120&gt;ROUND(((1-'F Intl Con Plus Base'!$K$117)*'F Intl Con Plus Base'!K55),2),ROUND('F Intl Con Plus Base'!$K$120*(1+International_Fuel_Surcharge),2),ROUND(((1-'F Intl Con Plus Base'!$K$117)*'F Intl Con Plus Base'!K55)*(1+International_Fuel_Surcharge),2)))*(1+FedEx_Markup),2)</f>
        <v>312.60000000000002</v>
      </c>
      <c r="L58" s="307">
        <f>ROUND((IF('F Intl Con Plus Base'!$L$120&gt;ROUND(((1-'F Intl Con Plus Base'!$L$117)*'F Intl Con Plus Base'!L55),2),ROUND('F Intl Con Plus Base'!$L$120*(1+International_Fuel_Surcharge),2),ROUND(((1-'F Intl Con Plus Base'!$L$117)*'F Intl Con Plus Base'!L55)*(1+International_Fuel_Surcharge),2)))*(1+FedEx_Markup),2)</f>
        <v>256.97000000000003</v>
      </c>
      <c r="M58" s="307">
        <f>ROUND((IF('F Intl Con Plus Base'!$M$120&gt;ROUND(((1-'F Intl Con Plus Base'!$M$117)*'F Intl Con Plus Base'!M55),2),ROUND('F Intl Con Plus Base'!$M$120*(1+International_Fuel_Surcharge),2),ROUND(((1-'F Intl Con Plus Base'!$M$117)*'F Intl Con Plus Base'!M55)*(1+International_Fuel_Surcharge),2)))*(1+FedEx_Markup),2)</f>
        <v>354.49</v>
      </c>
      <c r="N58" s="307">
        <f>ROUND((IF('F Intl Con Plus Base'!$N$120&gt;ROUND(((1-'F Intl Con Plus Base'!$N$117)*'F Intl Con Plus Base'!N55),2),ROUND('F Intl Con Plus Base'!$N$120*(1+International_Fuel_Surcharge),2),ROUND(((1-'F Intl Con Plus Base'!$N$117)*'F Intl Con Plus Base'!N55)*(1+International_Fuel_Surcharge),2)))*(1+FedEx_Markup),2)</f>
        <v>353.31</v>
      </c>
      <c r="O58" s="307">
        <f>ROUND((IF('F Intl Con Plus Base'!$O$120&gt;ROUND(((1-'F Intl Con Plus Base'!$O$117)*'F Intl Con Plus Base'!O55),2),ROUND('F Intl Con Plus Base'!$O$120*(1+International_Fuel_Surcharge),2),ROUND(((1-'F Intl Con Plus Base'!$O$117)*'F Intl Con Plus Base'!O55)*(1+International_Fuel_Surcharge),2)))*(1+FedEx_Markup),2)</f>
        <v>269.41000000000003</v>
      </c>
      <c r="P58" s="307">
        <f>ROUND((IF('F Intl Con Plus Base'!$P$120&gt;ROUND(((1-'F Intl Con Plus Base'!$P$117)*'F Intl Con Plus Base'!P55),2),ROUND('F Intl Con Plus Base'!$P$120*(1+International_Fuel_Surcharge),2),ROUND(((1-'F Intl Con Plus Base'!$P$117)*'F Intl Con Plus Base'!P55)*(1+International_Fuel_Surcharge),2)))*(1+FedEx_Markup),2)</f>
        <v>269.48</v>
      </c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2.75" customHeight="1">
      <c r="A59" s="306">
        <v>54</v>
      </c>
      <c r="B59" s="307">
        <f>ROUND((IF('F Intl Con Plus Base'!$B$120&gt;ROUND(((1-'F Intl Con Plus Base'!$B$117)*'F Intl Con Plus Base'!B56),2),ROUND('F Intl Con Plus Base'!$B$120*(1+International_Fuel_Surcharge),2),ROUND(((1-'F Intl Con Plus Base'!$B$117)*'F Intl Con Plus Base'!B56)*(1+International_Fuel_Surcharge),2)))*(1+FedEx_Markup),2)</f>
        <v>135.56</v>
      </c>
      <c r="C59" s="307">
        <f>ROUND((IF('F Intl Con Plus Base'!$C$120&gt;ROUND(((1-'F Intl Con Plus Base'!$C$117)*'F Intl Con Plus Base'!C56),2),ROUND('F Intl Con Plus Base'!$C$120*(1+International_Fuel_Surcharge),2),ROUND(((1-'F Intl Con Plus Base'!$C$117)*'F Intl Con Plus Base'!C56)*(1+International_Fuel_Surcharge),2)))*(1+FedEx_Markup),2)</f>
        <v>151.4</v>
      </c>
      <c r="D59" s="307">
        <f>ROUND((IF('F Intl Con Plus Base'!$D$120&gt;ROUND(((1-'F Intl Con Plus Base'!$D$117)*'F Intl Con Plus Base'!D56),2),ROUND('F Intl Con Plus Base'!$D$120*(1+International_Fuel_Surcharge),2),ROUND(((1-'F Intl Con Plus Base'!$D$117)*'F Intl Con Plus Base'!D56)*(1+International_Fuel_Surcharge),2)))*(1+FedEx_Markup),2)</f>
        <v>103.09</v>
      </c>
      <c r="E59" s="307">
        <f>ROUND((IF('F Intl Con Plus Base'!$E$120&gt;ROUND(((1-'F Intl Con Plus Base'!$E$117)*'F Intl Con Plus Base'!E56),2),ROUND('F Intl Con Plus Base'!$E$120*(1+International_Fuel_Surcharge),2),ROUND(((1-'F Intl Con Plus Base'!$E$117)*'F Intl Con Plus Base'!E56)*(1+International_Fuel_Surcharge),2)))*(1+FedEx_Markup),2)</f>
        <v>172.45</v>
      </c>
      <c r="F59" s="307">
        <f>ROUND((IF('F Intl Con Plus Base'!$F$120&gt;ROUND(((1-'F Intl Con Plus Base'!$F$117)*'F Intl Con Plus Base'!F56),2),ROUND('F Intl Con Plus Base'!$F$120*(1+International_Fuel_Surcharge),2),ROUND(((1-'F Intl Con Plus Base'!$F$117)*'F Intl Con Plus Base'!F56)*(1+International_Fuel_Surcharge),2)))*(1+FedEx_Markup),2)</f>
        <v>396.09</v>
      </c>
      <c r="G59" s="307">
        <f>ROUND((IF('F Intl Con Plus Base'!$G$120&gt;ROUND(((1-'F Intl Con Plus Base'!$G$117)*'F Intl Con Plus Base'!G56),2),ROUND('F Intl Con Plus Base'!$G$120*(1+International_Fuel_Surcharge),2),ROUND(((1-'F Intl Con Plus Base'!$G$117)*'F Intl Con Plus Base'!G56)*(1+International_Fuel_Surcharge),2)))*(1+FedEx_Markup),2)</f>
        <v>204.79</v>
      </c>
      <c r="H59" s="307">
        <f>ROUND((IF('F Intl Con Plus Base'!$H$120&gt;ROUND(((1-'F Intl Con Plus Base'!$H$117)*'F Intl Con Plus Base'!H56),2),ROUND('F Intl Con Plus Base'!$H$120*(1+International_Fuel_Surcharge),2),ROUND(((1-'F Intl Con Plus Base'!$H$117)*'F Intl Con Plus Base'!H56)*(1+International_Fuel_Surcharge),2)))*(1+FedEx_Markup),2)</f>
        <v>206.07</v>
      </c>
      <c r="I59" s="307">
        <f>ROUND((IF('F Intl Con Plus Base'!$I$120&gt;ROUND(((1-'F Intl Con Plus Base'!$I$117)*'F Intl Con Plus Base'!I56),2),ROUND('F Intl Con Plus Base'!$I$120*(1+International_Fuel_Surcharge),2),ROUND(((1-'F Intl Con Plus Base'!$I$117)*'F Intl Con Plus Base'!I56)*(1+International_Fuel_Surcharge),2)))*(1+FedEx_Markup),2)</f>
        <v>254.09</v>
      </c>
      <c r="J59" s="307">
        <f>ROUND((IF('F Intl Con Plus Base'!$J$120&gt;ROUND(((1-'F Intl Con Plus Base'!$J$117)*'F Intl Con Plus Base'!J56),2),ROUND('F Intl Con Plus Base'!$J$120*(1+International_Fuel_Surcharge),2),ROUND(((1-'F Intl Con Plus Base'!$J$117)*'F Intl Con Plus Base'!J56)*(1+International_Fuel_Surcharge),2)))*(1+FedEx_Markup),2)</f>
        <v>146.47999999999999</v>
      </c>
      <c r="K59" s="307">
        <f>ROUND((IF('F Intl Con Plus Base'!$K$120&gt;ROUND(((1-'F Intl Con Plus Base'!$K$117)*'F Intl Con Plus Base'!K56),2),ROUND('F Intl Con Plus Base'!$K$120*(1+International_Fuel_Surcharge),2),ROUND(((1-'F Intl Con Plus Base'!$K$117)*'F Intl Con Plus Base'!K56)*(1+International_Fuel_Surcharge),2)))*(1+FedEx_Markup),2)</f>
        <v>315.55</v>
      </c>
      <c r="L59" s="307">
        <f>ROUND((IF('F Intl Con Plus Base'!$L$120&gt;ROUND(((1-'F Intl Con Plus Base'!$L$117)*'F Intl Con Plus Base'!L56),2),ROUND('F Intl Con Plus Base'!$L$120*(1+International_Fuel_Surcharge),2),ROUND(((1-'F Intl Con Plus Base'!$L$117)*'F Intl Con Plus Base'!L56)*(1+International_Fuel_Surcharge),2)))*(1+FedEx_Markup),2)</f>
        <v>271.07</v>
      </c>
      <c r="M59" s="307">
        <f>ROUND((IF('F Intl Con Plus Base'!$M$120&gt;ROUND(((1-'F Intl Con Plus Base'!$M$117)*'F Intl Con Plus Base'!M56),2),ROUND('F Intl Con Plus Base'!$M$120*(1+International_Fuel_Surcharge),2),ROUND(((1-'F Intl Con Plus Base'!$M$117)*'F Intl Con Plus Base'!M56)*(1+International_Fuel_Surcharge),2)))*(1+FedEx_Markup),2)</f>
        <v>354.58</v>
      </c>
      <c r="N59" s="307">
        <f>ROUND((IF('F Intl Con Plus Base'!$N$120&gt;ROUND(((1-'F Intl Con Plus Base'!$N$117)*'F Intl Con Plus Base'!N56),2),ROUND('F Intl Con Plus Base'!$N$120*(1+International_Fuel_Surcharge),2),ROUND(((1-'F Intl Con Plus Base'!$N$117)*'F Intl Con Plus Base'!N56)*(1+International_Fuel_Surcharge),2)))*(1+FedEx_Markup),2)</f>
        <v>353.38</v>
      </c>
      <c r="O59" s="307">
        <f>ROUND((IF('F Intl Con Plus Base'!$O$120&gt;ROUND(((1-'F Intl Con Plus Base'!$O$117)*'F Intl Con Plus Base'!O56),2),ROUND('F Intl Con Plus Base'!$O$120*(1+International_Fuel_Surcharge),2),ROUND(((1-'F Intl Con Plus Base'!$O$117)*'F Intl Con Plus Base'!O56)*(1+International_Fuel_Surcharge),2)))*(1+FedEx_Markup),2)</f>
        <v>273.33999999999997</v>
      </c>
      <c r="P59" s="307">
        <f>ROUND((IF('F Intl Con Plus Base'!$P$120&gt;ROUND(((1-'F Intl Con Plus Base'!$P$117)*'F Intl Con Plus Base'!P56),2),ROUND('F Intl Con Plus Base'!$P$120*(1+International_Fuel_Surcharge),2),ROUND(((1-'F Intl Con Plus Base'!$P$117)*'F Intl Con Plus Base'!P56)*(1+International_Fuel_Surcharge),2)))*(1+FedEx_Markup),2)</f>
        <v>270.43</v>
      </c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2.75" customHeight="1">
      <c r="A60" s="306">
        <v>55</v>
      </c>
      <c r="B60" s="307">
        <f>ROUND((IF('F Intl Con Plus Base'!$B$120&gt;ROUND(((1-'F Intl Con Plus Base'!$B$117)*'F Intl Con Plus Base'!B57),2),ROUND('F Intl Con Plus Base'!$B$120*(1+International_Fuel_Surcharge),2),ROUND(((1-'F Intl Con Plus Base'!$B$117)*'F Intl Con Plus Base'!B57)*(1+International_Fuel_Surcharge),2)))*(1+FedEx_Markup),2)</f>
        <v>136.9</v>
      </c>
      <c r="C60" s="307">
        <f>ROUND((IF('F Intl Con Plus Base'!$C$120&gt;ROUND(((1-'F Intl Con Plus Base'!$C$117)*'F Intl Con Plus Base'!C57),2),ROUND('F Intl Con Plus Base'!$C$120*(1+International_Fuel_Surcharge),2),ROUND(((1-'F Intl Con Plus Base'!$C$117)*'F Intl Con Plus Base'!C57)*(1+International_Fuel_Surcharge),2)))*(1+FedEx_Markup),2)</f>
        <v>153.1</v>
      </c>
      <c r="D60" s="307">
        <f>ROUND((IF('F Intl Con Plus Base'!$D$120&gt;ROUND(((1-'F Intl Con Plus Base'!$D$117)*'F Intl Con Plus Base'!D57),2),ROUND('F Intl Con Plus Base'!$D$120*(1+International_Fuel_Surcharge),2),ROUND(((1-'F Intl Con Plus Base'!$D$117)*'F Intl Con Plus Base'!D57)*(1+International_Fuel_Surcharge),2)))*(1+FedEx_Markup),2)</f>
        <v>103.16</v>
      </c>
      <c r="E60" s="307">
        <f>ROUND((IF('F Intl Con Plus Base'!$E$120&gt;ROUND(((1-'F Intl Con Plus Base'!$E$117)*'F Intl Con Plus Base'!E57),2),ROUND('F Intl Con Plus Base'!$E$120*(1+International_Fuel_Surcharge),2),ROUND(((1-'F Intl Con Plus Base'!$E$117)*'F Intl Con Plus Base'!E57)*(1+International_Fuel_Surcharge),2)))*(1+FedEx_Markup),2)</f>
        <v>178.81</v>
      </c>
      <c r="F60" s="307">
        <f>ROUND((IF('F Intl Con Plus Base'!$F$120&gt;ROUND(((1-'F Intl Con Plus Base'!$F$117)*'F Intl Con Plus Base'!F57),2),ROUND('F Intl Con Plus Base'!$F$120*(1+International_Fuel_Surcharge),2),ROUND(((1-'F Intl Con Plus Base'!$F$117)*'F Intl Con Plus Base'!F57)*(1+International_Fuel_Surcharge),2)))*(1+FedEx_Markup),2)</f>
        <v>396.24</v>
      </c>
      <c r="G60" s="307">
        <f>ROUND((IF('F Intl Con Plus Base'!$G$120&gt;ROUND(((1-'F Intl Con Plus Base'!$G$117)*'F Intl Con Plus Base'!G57),2),ROUND('F Intl Con Plus Base'!$G$120*(1+International_Fuel_Surcharge),2),ROUND(((1-'F Intl Con Plus Base'!$G$117)*'F Intl Con Plus Base'!G57)*(1+International_Fuel_Surcharge),2)))*(1+FedEx_Markup),2)</f>
        <v>206.29</v>
      </c>
      <c r="H60" s="307">
        <f>ROUND((IF('F Intl Con Plus Base'!$H$120&gt;ROUND(((1-'F Intl Con Plus Base'!$H$117)*'F Intl Con Plus Base'!H57),2),ROUND('F Intl Con Plus Base'!$H$120*(1+International_Fuel_Surcharge),2),ROUND(((1-'F Intl Con Plus Base'!$H$117)*'F Intl Con Plus Base'!H57)*(1+International_Fuel_Surcharge),2)))*(1+FedEx_Markup),2)</f>
        <v>208.69</v>
      </c>
      <c r="I60" s="307">
        <f>ROUND((IF('F Intl Con Plus Base'!$I$120&gt;ROUND(((1-'F Intl Con Plus Base'!$I$117)*'F Intl Con Plus Base'!I57),2),ROUND('F Intl Con Plus Base'!$I$120*(1+International_Fuel_Surcharge),2),ROUND(((1-'F Intl Con Plus Base'!$I$117)*'F Intl Con Plus Base'!I57)*(1+International_Fuel_Surcharge),2)))*(1+FedEx_Markup),2)</f>
        <v>254.18</v>
      </c>
      <c r="J60" s="307">
        <f>ROUND((IF('F Intl Con Plus Base'!$J$120&gt;ROUND(((1-'F Intl Con Plus Base'!$J$117)*'F Intl Con Plus Base'!J57),2),ROUND('F Intl Con Plus Base'!$J$120*(1+International_Fuel_Surcharge),2),ROUND(((1-'F Intl Con Plus Base'!$J$117)*'F Intl Con Plus Base'!J57)*(1+International_Fuel_Surcharge),2)))*(1+FedEx_Markup),2)</f>
        <v>147.06</v>
      </c>
      <c r="K60" s="307">
        <f>ROUND((IF('F Intl Con Plus Base'!$K$120&gt;ROUND(((1-'F Intl Con Plus Base'!$K$117)*'F Intl Con Plus Base'!K57),2),ROUND('F Intl Con Plus Base'!$K$120*(1+International_Fuel_Surcharge),2),ROUND(((1-'F Intl Con Plus Base'!$K$117)*'F Intl Con Plus Base'!K57)*(1+International_Fuel_Surcharge),2)))*(1+FedEx_Markup),2)</f>
        <v>319.64</v>
      </c>
      <c r="L60" s="307">
        <f>ROUND((IF('F Intl Con Plus Base'!$L$120&gt;ROUND(((1-'F Intl Con Plus Base'!$L$117)*'F Intl Con Plus Base'!L57),2),ROUND('F Intl Con Plus Base'!$L$120*(1+International_Fuel_Surcharge),2),ROUND(((1-'F Intl Con Plus Base'!$L$117)*'F Intl Con Plus Base'!L57)*(1+International_Fuel_Surcharge),2)))*(1+FedEx_Markup),2)</f>
        <v>272.48</v>
      </c>
      <c r="M60" s="307">
        <f>ROUND((IF('F Intl Con Plus Base'!$M$120&gt;ROUND(((1-'F Intl Con Plus Base'!$M$117)*'F Intl Con Plus Base'!M57),2),ROUND('F Intl Con Plus Base'!$M$120*(1+International_Fuel_Surcharge),2),ROUND(((1-'F Intl Con Plus Base'!$M$117)*'F Intl Con Plus Base'!M57)*(1+International_Fuel_Surcharge),2)))*(1+FedEx_Markup),2)</f>
        <v>354.67</v>
      </c>
      <c r="N60" s="307">
        <f>ROUND((IF('F Intl Con Plus Base'!$N$120&gt;ROUND(((1-'F Intl Con Plus Base'!$N$117)*'F Intl Con Plus Base'!N57),2),ROUND('F Intl Con Plus Base'!$N$120*(1+International_Fuel_Surcharge),2),ROUND(((1-'F Intl Con Plus Base'!$N$117)*'F Intl Con Plus Base'!N57)*(1+International_Fuel_Surcharge),2)))*(1+FedEx_Markup),2)</f>
        <v>353.46</v>
      </c>
      <c r="O60" s="307">
        <f>ROUND((IF('F Intl Con Plus Base'!$O$120&gt;ROUND(((1-'F Intl Con Plus Base'!$O$117)*'F Intl Con Plus Base'!O57),2),ROUND('F Intl Con Plus Base'!$O$120*(1+International_Fuel_Surcharge),2),ROUND(((1-'F Intl Con Plus Base'!$O$117)*'F Intl Con Plus Base'!O57)*(1+International_Fuel_Surcharge),2)))*(1+FedEx_Markup),2)</f>
        <v>273.73</v>
      </c>
      <c r="P60" s="307">
        <f>ROUND((IF('F Intl Con Plus Base'!$P$120&gt;ROUND(((1-'F Intl Con Plus Base'!$P$117)*'F Intl Con Plus Base'!P57),2),ROUND('F Intl Con Plus Base'!$P$120*(1+International_Fuel_Surcharge),2),ROUND(((1-'F Intl Con Plus Base'!$P$117)*'F Intl Con Plus Base'!P57)*(1+International_Fuel_Surcharge),2)))*(1+FedEx_Markup),2)</f>
        <v>271.52999999999997</v>
      </c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2.75" customHeight="1">
      <c r="A61" s="306">
        <v>56</v>
      </c>
      <c r="B61" s="307">
        <f>ROUND((IF('F Intl Con Plus Base'!$B$120&gt;ROUND(((1-'F Intl Con Plus Base'!$B$117)*'F Intl Con Plus Base'!B58),2),ROUND('F Intl Con Plus Base'!$B$120*(1+International_Fuel_Surcharge),2),ROUND(((1-'F Intl Con Plus Base'!$B$117)*'F Intl Con Plus Base'!B58)*(1+International_Fuel_Surcharge),2)))*(1+FedEx_Markup),2)</f>
        <v>138.22</v>
      </c>
      <c r="C61" s="307">
        <f>ROUND((IF('F Intl Con Plus Base'!$C$120&gt;ROUND(((1-'F Intl Con Plus Base'!$C$117)*'F Intl Con Plus Base'!C58),2),ROUND('F Intl Con Plus Base'!$C$120*(1+International_Fuel_Surcharge),2),ROUND(((1-'F Intl Con Plus Base'!$C$117)*'F Intl Con Plus Base'!C58)*(1+International_Fuel_Surcharge),2)))*(1+FedEx_Markup),2)</f>
        <v>154.80000000000001</v>
      </c>
      <c r="D61" s="307">
        <f>ROUND((IF('F Intl Con Plus Base'!$D$120&gt;ROUND(((1-'F Intl Con Plus Base'!$D$117)*'F Intl Con Plus Base'!D58),2),ROUND('F Intl Con Plus Base'!$D$120*(1+International_Fuel_Surcharge),2),ROUND(((1-'F Intl Con Plus Base'!$D$117)*'F Intl Con Plus Base'!D58)*(1+International_Fuel_Surcharge),2)))*(1+FedEx_Markup),2)</f>
        <v>103.24</v>
      </c>
      <c r="E61" s="307">
        <f>ROUND((IF('F Intl Con Plus Base'!$E$120&gt;ROUND(((1-'F Intl Con Plus Base'!$E$117)*'F Intl Con Plus Base'!E58),2),ROUND('F Intl Con Plus Base'!$E$120*(1+International_Fuel_Surcharge),2),ROUND(((1-'F Intl Con Plus Base'!$E$117)*'F Intl Con Plus Base'!E58)*(1+International_Fuel_Surcharge),2)))*(1+FedEx_Markup),2)</f>
        <v>185.16</v>
      </c>
      <c r="F61" s="307">
        <f>ROUND((IF('F Intl Con Plus Base'!$F$120&gt;ROUND(((1-'F Intl Con Plus Base'!$F$117)*'F Intl Con Plus Base'!F58),2),ROUND('F Intl Con Plus Base'!$F$120*(1+International_Fuel_Surcharge),2),ROUND(((1-'F Intl Con Plus Base'!$F$117)*'F Intl Con Plus Base'!F58)*(1+International_Fuel_Surcharge),2)))*(1+FedEx_Markup),2)</f>
        <v>396.38</v>
      </c>
      <c r="G61" s="307">
        <f>ROUND((IF('F Intl Con Plus Base'!$G$120&gt;ROUND(((1-'F Intl Con Plus Base'!$G$117)*'F Intl Con Plus Base'!G58),2),ROUND('F Intl Con Plus Base'!$G$120*(1+International_Fuel_Surcharge),2),ROUND(((1-'F Intl Con Plus Base'!$G$117)*'F Intl Con Plus Base'!G58)*(1+International_Fuel_Surcharge),2)))*(1+FedEx_Markup),2)</f>
        <v>207.77</v>
      </c>
      <c r="H61" s="307">
        <f>ROUND((IF('F Intl Con Plus Base'!$H$120&gt;ROUND(((1-'F Intl Con Plus Base'!$H$117)*'F Intl Con Plus Base'!H58),2),ROUND('F Intl Con Plus Base'!$H$120*(1+International_Fuel_Surcharge),2),ROUND(((1-'F Intl Con Plus Base'!$H$117)*'F Intl Con Plus Base'!H58)*(1+International_Fuel_Surcharge),2)))*(1+FedEx_Markup),2)</f>
        <v>211.3</v>
      </c>
      <c r="I61" s="307">
        <f>ROUND((IF('F Intl Con Plus Base'!$I$120&gt;ROUND(((1-'F Intl Con Plus Base'!$I$117)*'F Intl Con Plus Base'!I58),2),ROUND('F Intl Con Plus Base'!$I$120*(1+International_Fuel_Surcharge),2),ROUND(((1-'F Intl Con Plus Base'!$I$117)*'F Intl Con Plus Base'!I58)*(1+International_Fuel_Surcharge),2)))*(1+FedEx_Markup),2)</f>
        <v>254.27</v>
      </c>
      <c r="J61" s="307">
        <f>ROUND((IF('F Intl Con Plus Base'!$J$120&gt;ROUND(((1-'F Intl Con Plus Base'!$J$117)*'F Intl Con Plus Base'!J58),2),ROUND('F Intl Con Plus Base'!$J$120*(1+International_Fuel_Surcharge),2),ROUND(((1-'F Intl Con Plus Base'!$J$117)*'F Intl Con Plus Base'!J58)*(1+International_Fuel_Surcharge),2)))*(1+FedEx_Markup),2)</f>
        <v>147.63999999999999</v>
      </c>
      <c r="K61" s="307">
        <f>ROUND((IF('F Intl Con Plus Base'!$K$120&gt;ROUND(((1-'F Intl Con Plus Base'!$K$117)*'F Intl Con Plus Base'!K58),2),ROUND('F Intl Con Plus Base'!$K$120*(1+International_Fuel_Surcharge),2),ROUND(((1-'F Intl Con Plus Base'!$K$117)*'F Intl Con Plus Base'!K58)*(1+International_Fuel_Surcharge),2)))*(1+FedEx_Markup),2)</f>
        <v>323.73</v>
      </c>
      <c r="L61" s="307">
        <f>ROUND((IF('F Intl Con Plus Base'!$L$120&gt;ROUND(((1-'F Intl Con Plus Base'!$L$117)*'F Intl Con Plus Base'!L58),2),ROUND('F Intl Con Plus Base'!$L$120*(1+International_Fuel_Surcharge),2),ROUND(((1-'F Intl Con Plus Base'!$L$117)*'F Intl Con Plus Base'!L58)*(1+International_Fuel_Surcharge),2)))*(1+FedEx_Markup),2)</f>
        <v>278.08</v>
      </c>
      <c r="M61" s="307">
        <f>ROUND((IF('F Intl Con Plus Base'!$M$120&gt;ROUND(((1-'F Intl Con Plus Base'!$M$117)*'F Intl Con Plus Base'!M58),2),ROUND('F Intl Con Plus Base'!$M$120*(1+International_Fuel_Surcharge),2),ROUND(((1-'F Intl Con Plus Base'!$M$117)*'F Intl Con Plus Base'!M58)*(1+International_Fuel_Surcharge),2)))*(1+FedEx_Markup),2)</f>
        <v>354.75</v>
      </c>
      <c r="N61" s="307">
        <f>ROUND((IF('F Intl Con Plus Base'!$N$120&gt;ROUND(((1-'F Intl Con Plus Base'!$N$117)*'F Intl Con Plus Base'!N58),2),ROUND('F Intl Con Plus Base'!$N$120*(1+International_Fuel_Surcharge),2),ROUND(((1-'F Intl Con Plus Base'!$N$117)*'F Intl Con Plus Base'!N58)*(1+International_Fuel_Surcharge),2)))*(1+FedEx_Markup),2)</f>
        <v>353.54</v>
      </c>
      <c r="O61" s="307">
        <f>ROUND((IF('F Intl Con Plus Base'!$O$120&gt;ROUND(((1-'F Intl Con Plus Base'!$O$117)*'F Intl Con Plus Base'!O58),2),ROUND('F Intl Con Plus Base'!$O$120*(1+International_Fuel_Surcharge),2),ROUND(((1-'F Intl Con Plus Base'!$O$117)*'F Intl Con Plus Base'!O58)*(1+International_Fuel_Surcharge),2)))*(1+FedEx_Markup),2)</f>
        <v>274.14</v>
      </c>
      <c r="P61" s="307">
        <f>ROUND((IF('F Intl Con Plus Base'!$P$120&gt;ROUND(((1-'F Intl Con Plus Base'!$P$117)*'F Intl Con Plus Base'!P58),2),ROUND('F Intl Con Plus Base'!$P$120*(1+International_Fuel_Surcharge),2),ROUND(((1-'F Intl Con Plus Base'!$P$117)*'F Intl Con Plus Base'!P58)*(1+International_Fuel_Surcharge),2)))*(1+FedEx_Markup),2)</f>
        <v>272.61</v>
      </c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2.75" customHeight="1">
      <c r="A62" s="306">
        <v>57</v>
      </c>
      <c r="B62" s="307">
        <f>ROUND((IF('F Intl Con Plus Base'!$B$120&gt;ROUND(((1-'F Intl Con Plus Base'!$B$117)*'F Intl Con Plus Base'!B59),2),ROUND('F Intl Con Plus Base'!$B$120*(1+International_Fuel_Surcharge),2),ROUND(((1-'F Intl Con Plus Base'!$B$117)*'F Intl Con Plus Base'!B59)*(1+International_Fuel_Surcharge),2)))*(1+FedEx_Markup),2)</f>
        <v>139.54</v>
      </c>
      <c r="C62" s="307">
        <f>ROUND((IF('F Intl Con Plus Base'!$C$120&gt;ROUND(((1-'F Intl Con Plus Base'!$C$117)*'F Intl Con Plus Base'!C59),2),ROUND('F Intl Con Plus Base'!$C$120*(1+International_Fuel_Surcharge),2),ROUND(((1-'F Intl Con Plus Base'!$C$117)*'F Intl Con Plus Base'!C59)*(1+International_Fuel_Surcharge),2)))*(1+FedEx_Markup),2)</f>
        <v>156.5</v>
      </c>
      <c r="D62" s="307">
        <f>ROUND((IF('F Intl Con Plus Base'!$D$120&gt;ROUND(((1-'F Intl Con Plus Base'!$D$117)*'F Intl Con Plus Base'!D59),2),ROUND('F Intl Con Plus Base'!$D$120*(1+International_Fuel_Surcharge),2),ROUND(((1-'F Intl Con Plus Base'!$D$117)*'F Intl Con Plus Base'!D59)*(1+International_Fuel_Surcharge),2)))*(1+FedEx_Markup),2)</f>
        <v>103.3</v>
      </c>
      <c r="E62" s="307">
        <f>ROUND((IF('F Intl Con Plus Base'!$E$120&gt;ROUND(((1-'F Intl Con Plus Base'!$E$117)*'F Intl Con Plus Base'!E59),2),ROUND('F Intl Con Plus Base'!$E$120*(1+International_Fuel_Surcharge),2),ROUND(((1-'F Intl Con Plus Base'!$E$117)*'F Intl Con Plus Base'!E59)*(1+International_Fuel_Surcharge),2)))*(1+FedEx_Markup),2)</f>
        <v>191.52</v>
      </c>
      <c r="F62" s="307">
        <f>ROUND((IF('F Intl Con Plus Base'!$F$120&gt;ROUND(((1-'F Intl Con Plus Base'!$F$117)*'F Intl Con Plus Base'!F59),2),ROUND('F Intl Con Plus Base'!$F$120*(1+International_Fuel_Surcharge),2),ROUND(((1-'F Intl Con Plus Base'!$F$117)*'F Intl Con Plus Base'!F59)*(1+International_Fuel_Surcharge),2)))*(1+FedEx_Markup),2)</f>
        <v>396.53</v>
      </c>
      <c r="G62" s="307">
        <f>ROUND((IF('F Intl Con Plus Base'!$G$120&gt;ROUND(((1-'F Intl Con Plus Base'!$G$117)*'F Intl Con Plus Base'!G59),2),ROUND('F Intl Con Plus Base'!$G$120*(1+International_Fuel_Surcharge),2),ROUND(((1-'F Intl Con Plus Base'!$G$117)*'F Intl Con Plus Base'!G59)*(1+International_Fuel_Surcharge),2)))*(1+FedEx_Markup),2)</f>
        <v>209.27</v>
      </c>
      <c r="H62" s="307">
        <f>ROUND((IF('F Intl Con Plus Base'!$H$120&gt;ROUND(((1-'F Intl Con Plus Base'!$H$117)*'F Intl Con Plus Base'!H59),2),ROUND('F Intl Con Plus Base'!$H$120*(1+International_Fuel_Surcharge),2),ROUND(((1-'F Intl Con Plus Base'!$H$117)*'F Intl Con Plus Base'!H59)*(1+International_Fuel_Surcharge),2)))*(1+FedEx_Markup),2)</f>
        <v>213.93</v>
      </c>
      <c r="I62" s="307">
        <f>ROUND((IF('F Intl Con Plus Base'!$I$120&gt;ROUND(((1-'F Intl Con Plus Base'!$I$117)*'F Intl Con Plus Base'!I59),2),ROUND('F Intl Con Plus Base'!$I$120*(1+International_Fuel_Surcharge),2),ROUND(((1-'F Intl Con Plus Base'!$I$117)*'F Intl Con Plus Base'!I59)*(1+International_Fuel_Surcharge),2)))*(1+FedEx_Markup),2)</f>
        <v>254.36</v>
      </c>
      <c r="J62" s="307">
        <f>ROUND((IF('F Intl Con Plus Base'!$J$120&gt;ROUND(((1-'F Intl Con Plus Base'!$J$117)*'F Intl Con Plus Base'!J59),2),ROUND('F Intl Con Plus Base'!$J$120*(1+International_Fuel_Surcharge),2),ROUND(((1-'F Intl Con Plus Base'!$J$117)*'F Intl Con Plus Base'!J59)*(1+International_Fuel_Surcharge),2)))*(1+FedEx_Markup),2)</f>
        <v>148.21</v>
      </c>
      <c r="K62" s="307">
        <f>ROUND((IF('F Intl Con Plus Base'!$K$120&gt;ROUND(((1-'F Intl Con Plus Base'!$K$117)*'F Intl Con Plus Base'!K59),2),ROUND('F Intl Con Plus Base'!$K$120*(1+International_Fuel_Surcharge),2),ROUND(((1-'F Intl Con Plus Base'!$K$117)*'F Intl Con Plus Base'!K59)*(1+International_Fuel_Surcharge),2)))*(1+FedEx_Markup),2)</f>
        <v>327.82</v>
      </c>
      <c r="L62" s="307">
        <f>ROUND((IF('F Intl Con Plus Base'!$L$120&gt;ROUND(((1-'F Intl Con Plus Base'!$L$117)*'F Intl Con Plus Base'!L59),2),ROUND('F Intl Con Plus Base'!$L$120*(1+International_Fuel_Surcharge),2),ROUND(((1-'F Intl Con Plus Base'!$L$117)*'F Intl Con Plus Base'!L59)*(1+International_Fuel_Surcharge),2)))*(1+FedEx_Markup),2)</f>
        <v>281.58</v>
      </c>
      <c r="M62" s="307">
        <f>ROUND((IF('F Intl Con Plus Base'!$M$120&gt;ROUND(((1-'F Intl Con Plus Base'!$M$117)*'F Intl Con Plus Base'!M59),2),ROUND('F Intl Con Plus Base'!$M$120*(1+International_Fuel_Surcharge),2),ROUND(((1-'F Intl Con Plus Base'!$M$117)*'F Intl Con Plus Base'!M59)*(1+International_Fuel_Surcharge),2)))*(1+FedEx_Markup),2)</f>
        <v>354.84</v>
      </c>
      <c r="N62" s="307">
        <f>ROUND((IF('F Intl Con Plus Base'!$N$120&gt;ROUND(((1-'F Intl Con Plus Base'!$N$117)*'F Intl Con Plus Base'!N59),2),ROUND('F Intl Con Plus Base'!$N$120*(1+International_Fuel_Surcharge),2),ROUND(((1-'F Intl Con Plus Base'!$N$117)*'F Intl Con Plus Base'!N59)*(1+International_Fuel_Surcharge),2)))*(1+FedEx_Markup),2)</f>
        <v>353.63</v>
      </c>
      <c r="O62" s="307">
        <f>ROUND((IF('F Intl Con Plus Base'!$O$120&gt;ROUND(((1-'F Intl Con Plus Base'!$O$117)*'F Intl Con Plus Base'!O59),2),ROUND('F Intl Con Plus Base'!$O$120*(1+International_Fuel_Surcharge),2),ROUND(((1-'F Intl Con Plus Base'!$O$117)*'F Intl Con Plus Base'!O59)*(1+International_Fuel_Surcharge),2)))*(1+FedEx_Markup),2)</f>
        <v>274.52999999999997</v>
      </c>
      <c r="P62" s="307">
        <f>ROUND((IF('F Intl Con Plus Base'!$P$120&gt;ROUND(((1-'F Intl Con Plus Base'!$P$117)*'F Intl Con Plus Base'!P59),2),ROUND('F Intl Con Plus Base'!$P$120*(1+International_Fuel_Surcharge),2),ROUND(((1-'F Intl Con Plus Base'!$P$117)*'F Intl Con Plus Base'!P59)*(1+International_Fuel_Surcharge),2)))*(1+FedEx_Markup),2)</f>
        <v>273.7</v>
      </c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2.75" customHeight="1">
      <c r="A63" s="306">
        <v>58</v>
      </c>
      <c r="B63" s="307">
        <f>ROUND((IF('F Intl Con Plus Base'!$B$120&gt;ROUND(((1-'F Intl Con Plus Base'!$B$117)*'F Intl Con Plus Base'!B60),2),ROUND('F Intl Con Plus Base'!$B$120*(1+International_Fuel_Surcharge),2),ROUND(((1-'F Intl Con Plus Base'!$B$117)*'F Intl Con Plus Base'!B60)*(1+International_Fuel_Surcharge),2)))*(1+FedEx_Markup),2)</f>
        <v>140.86000000000001</v>
      </c>
      <c r="C63" s="307">
        <f>ROUND((IF('F Intl Con Plus Base'!$C$120&gt;ROUND(((1-'F Intl Con Plus Base'!$C$117)*'F Intl Con Plus Base'!C60),2),ROUND('F Intl Con Plus Base'!$C$120*(1+International_Fuel_Surcharge),2),ROUND(((1-'F Intl Con Plus Base'!$C$117)*'F Intl Con Plus Base'!C60)*(1+International_Fuel_Surcharge),2)))*(1+FedEx_Markup),2)</f>
        <v>158.21</v>
      </c>
      <c r="D63" s="307">
        <f>ROUND((IF('F Intl Con Plus Base'!$D$120&gt;ROUND(((1-'F Intl Con Plus Base'!$D$117)*'F Intl Con Plus Base'!D60),2),ROUND('F Intl Con Plus Base'!$D$120*(1+International_Fuel_Surcharge),2),ROUND(((1-'F Intl Con Plus Base'!$D$117)*'F Intl Con Plus Base'!D60)*(1+International_Fuel_Surcharge),2)))*(1+FedEx_Markup),2)</f>
        <v>103.39</v>
      </c>
      <c r="E63" s="307">
        <f>ROUND((IF('F Intl Con Plus Base'!$E$120&gt;ROUND(((1-'F Intl Con Plus Base'!$E$117)*'F Intl Con Plus Base'!E60),2),ROUND('F Intl Con Plus Base'!$E$120*(1+International_Fuel_Surcharge),2),ROUND(((1-'F Intl Con Plus Base'!$E$117)*'F Intl Con Plus Base'!E60)*(1+International_Fuel_Surcharge),2)))*(1+FedEx_Markup),2)</f>
        <v>197.87</v>
      </c>
      <c r="F63" s="307">
        <f>ROUND((IF('F Intl Con Plus Base'!$F$120&gt;ROUND(((1-'F Intl Con Plus Base'!$F$117)*'F Intl Con Plus Base'!F60),2),ROUND('F Intl Con Plus Base'!$F$120*(1+International_Fuel_Surcharge),2),ROUND(((1-'F Intl Con Plus Base'!$F$117)*'F Intl Con Plus Base'!F60)*(1+International_Fuel_Surcharge),2)))*(1+FedEx_Markup),2)</f>
        <v>396.67</v>
      </c>
      <c r="G63" s="307">
        <f>ROUND((IF('F Intl Con Plus Base'!$G$120&gt;ROUND(((1-'F Intl Con Plus Base'!$G$117)*'F Intl Con Plus Base'!G60),2),ROUND('F Intl Con Plus Base'!$G$120*(1+International_Fuel_Surcharge),2),ROUND(((1-'F Intl Con Plus Base'!$G$117)*'F Intl Con Plus Base'!G60)*(1+International_Fuel_Surcharge),2)))*(1+FedEx_Markup),2)</f>
        <v>210.75</v>
      </c>
      <c r="H63" s="307">
        <f>ROUND((IF('F Intl Con Plus Base'!$H$120&gt;ROUND(((1-'F Intl Con Plus Base'!$H$117)*'F Intl Con Plus Base'!H60),2),ROUND('F Intl Con Plus Base'!$H$120*(1+International_Fuel_Surcharge),2),ROUND(((1-'F Intl Con Plus Base'!$H$117)*'F Intl Con Plus Base'!H60)*(1+International_Fuel_Surcharge),2)))*(1+FedEx_Markup),2)</f>
        <v>216.56</v>
      </c>
      <c r="I63" s="307">
        <f>ROUND((IF('F Intl Con Plus Base'!$I$120&gt;ROUND(((1-'F Intl Con Plus Base'!$I$117)*'F Intl Con Plus Base'!I60),2),ROUND('F Intl Con Plus Base'!$I$120*(1+International_Fuel_Surcharge),2),ROUND(((1-'F Intl Con Plus Base'!$I$117)*'F Intl Con Plus Base'!I60)*(1+International_Fuel_Surcharge),2)))*(1+FedEx_Markup),2)</f>
        <v>254.45</v>
      </c>
      <c r="J63" s="307">
        <f>ROUND((IF('F Intl Con Plus Base'!$J$120&gt;ROUND(((1-'F Intl Con Plus Base'!$J$117)*'F Intl Con Plus Base'!J60),2),ROUND('F Intl Con Plus Base'!$J$120*(1+International_Fuel_Surcharge),2),ROUND(((1-'F Intl Con Plus Base'!$J$117)*'F Intl Con Plus Base'!J60)*(1+International_Fuel_Surcharge),2)))*(1+FedEx_Markup),2)</f>
        <v>148.80000000000001</v>
      </c>
      <c r="K63" s="307">
        <f>ROUND((IF('F Intl Con Plus Base'!$K$120&gt;ROUND(((1-'F Intl Con Plus Base'!$K$117)*'F Intl Con Plus Base'!K60),2),ROUND('F Intl Con Plus Base'!$K$120*(1+International_Fuel_Surcharge),2),ROUND(((1-'F Intl Con Plus Base'!$K$117)*'F Intl Con Plus Base'!K60)*(1+International_Fuel_Surcharge),2)))*(1+FedEx_Markup),2)</f>
        <v>331.91</v>
      </c>
      <c r="L63" s="307">
        <f>ROUND((IF('F Intl Con Plus Base'!$L$120&gt;ROUND(((1-'F Intl Con Plus Base'!$L$117)*'F Intl Con Plus Base'!L60),2),ROUND('F Intl Con Plus Base'!$L$120*(1+International_Fuel_Surcharge),2),ROUND(((1-'F Intl Con Plus Base'!$L$117)*'F Intl Con Plus Base'!L60)*(1+International_Fuel_Surcharge),2)))*(1+FedEx_Markup),2)</f>
        <v>285.08999999999997</v>
      </c>
      <c r="M63" s="307">
        <f>ROUND((IF('F Intl Con Plus Base'!$M$120&gt;ROUND(((1-'F Intl Con Plus Base'!$M$117)*'F Intl Con Plus Base'!M60),2),ROUND('F Intl Con Plus Base'!$M$120*(1+International_Fuel_Surcharge),2),ROUND(((1-'F Intl Con Plus Base'!$M$117)*'F Intl Con Plus Base'!M60)*(1+International_Fuel_Surcharge),2)))*(1+FedEx_Markup),2)</f>
        <v>354.94</v>
      </c>
      <c r="N63" s="307">
        <f>ROUND((IF('F Intl Con Plus Base'!$N$120&gt;ROUND(((1-'F Intl Con Plus Base'!$N$117)*'F Intl Con Plus Base'!N60),2),ROUND('F Intl Con Plus Base'!$N$120*(1+International_Fuel_Surcharge),2),ROUND(((1-'F Intl Con Plus Base'!$N$117)*'F Intl Con Plus Base'!N60)*(1+International_Fuel_Surcharge),2)))*(1+FedEx_Markup),2)</f>
        <v>353.72</v>
      </c>
      <c r="O63" s="307">
        <f>ROUND((IF('F Intl Con Plus Base'!$O$120&gt;ROUND(((1-'F Intl Con Plus Base'!$O$117)*'F Intl Con Plus Base'!O60),2),ROUND('F Intl Con Plus Base'!$O$120*(1+International_Fuel_Surcharge),2),ROUND(((1-'F Intl Con Plus Base'!$O$117)*'F Intl Con Plus Base'!O60)*(1+International_Fuel_Surcharge),2)))*(1+FedEx_Markup),2)</f>
        <v>274.93</v>
      </c>
      <c r="P63" s="307">
        <f>ROUND((IF('F Intl Con Plus Base'!$P$120&gt;ROUND(((1-'F Intl Con Plus Base'!$P$117)*'F Intl Con Plus Base'!P60),2),ROUND('F Intl Con Plus Base'!$P$120*(1+International_Fuel_Surcharge),2),ROUND(((1-'F Intl Con Plus Base'!$P$117)*'F Intl Con Plus Base'!P60)*(1+International_Fuel_Surcharge),2)))*(1+FedEx_Markup),2)</f>
        <v>274.77999999999997</v>
      </c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2.75" customHeight="1">
      <c r="A64" s="306">
        <v>59</v>
      </c>
      <c r="B64" s="307">
        <f>ROUND((IF('F Intl Con Plus Base'!$B$120&gt;ROUND(((1-'F Intl Con Plus Base'!$B$117)*'F Intl Con Plus Base'!B61),2),ROUND('F Intl Con Plus Base'!$B$120*(1+International_Fuel_Surcharge),2),ROUND(((1-'F Intl Con Plus Base'!$B$117)*'F Intl Con Plus Base'!B61)*(1+International_Fuel_Surcharge),2)))*(1+FedEx_Markup),2)</f>
        <v>141.66</v>
      </c>
      <c r="C64" s="307">
        <f>ROUND((IF('F Intl Con Plus Base'!$C$120&gt;ROUND(((1-'F Intl Con Plus Base'!$C$117)*'F Intl Con Plus Base'!C61),2),ROUND('F Intl Con Plus Base'!$C$120*(1+International_Fuel_Surcharge),2),ROUND(((1-'F Intl Con Plus Base'!$C$117)*'F Intl Con Plus Base'!C61)*(1+International_Fuel_Surcharge),2)))*(1+FedEx_Markup),2)</f>
        <v>158.38</v>
      </c>
      <c r="D64" s="307">
        <f>ROUND((IF('F Intl Con Plus Base'!$D$120&gt;ROUND(((1-'F Intl Con Plus Base'!$D$117)*'F Intl Con Plus Base'!D61),2),ROUND('F Intl Con Plus Base'!$D$120*(1+International_Fuel_Surcharge),2),ROUND(((1-'F Intl Con Plus Base'!$D$117)*'F Intl Con Plus Base'!D61)*(1+International_Fuel_Surcharge),2)))*(1+FedEx_Markup),2)</f>
        <v>103.44</v>
      </c>
      <c r="E64" s="307">
        <f>ROUND((IF('F Intl Con Plus Base'!$E$120&gt;ROUND(((1-'F Intl Con Plus Base'!$E$117)*'F Intl Con Plus Base'!E61),2),ROUND('F Intl Con Plus Base'!$E$120*(1+International_Fuel_Surcharge),2),ROUND(((1-'F Intl Con Plus Base'!$E$117)*'F Intl Con Plus Base'!E61)*(1+International_Fuel_Surcharge),2)))*(1+FedEx_Markup),2)</f>
        <v>198.52</v>
      </c>
      <c r="F64" s="307">
        <f>ROUND((IF('F Intl Con Plus Base'!$F$120&gt;ROUND(((1-'F Intl Con Plus Base'!$F$117)*'F Intl Con Plus Base'!F61),2),ROUND('F Intl Con Plus Base'!$F$120*(1+International_Fuel_Surcharge),2),ROUND(((1-'F Intl Con Plus Base'!$F$117)*'F Intl Con Plus Base'!F61)*(1+International_Fuel_Surcharge),2)))*(1+FedEx_Markup),2)</f>
        <v>397.27</v>
      </c>
      <c r="G64" s="307">
        <f>ROUND((IF('F Intl Con Plus Base'!$G$120&gt;ROUND(((1-'F Intl Con Plus Base'!$G$117)*'F Intl Con Plus Base'!G61),2),ROUND('F Intl Con Plus Base'!$G$120*(1+International_Fuel_Surcharge),2),ROUND(((1-'F Intl Con Plus Base'!$G$117)*'F Intl Con Plus Base'!G61)*(1+International_Fuel_Surcharge),2)))*(1+FedEx_Markup),2)</f>
        <v>210.9</v>
      </c>
      <c r="H64" s="307">
        <f>ROUND((IF('F Intl Con Plus Base'!$H$120&gt;ROUND(((1-'F Intl Con Plus Base'!$H$117)*'F Intl Con Plus Base'!H61),2),ROUND('F Intl Con Plus Base'!$H$120*(1+International_Fuel_Surcharge),2),ROUND(((1-'F Intl Con Plus Base'!$H$117)*'F Intl Con Plus Base'!H61)*(1+International_Fuel_Surcharge),2)))*(1+FedEx_Markup),2)</f>
        <v>221.35</v>
      </c>
      <c r="I64" s="307">
        <f>ROUND((IF('F Intl Con Plus Base'!$I$120&gt;ROUND(((1-'F Intl Con Plus Base'!$I$117)*'F Intl Con Plus Base'!I61),2),ROUND('F Intl Con Plus Base'!$I$120*(1+International_Fuel_Surcharge),2),ROUND(((1-'F Intl Con Plus Base'!$I$117)*'F Intl Con Plus Base'!I61)*(1+International_Fuel_Surcharge),2)))*(1+FedEx_Markup),2)</f>
        <v>254.51</v>
      </c>
      <c r="J64" s="307">
        <f>ROUND((IF('F Intl Con Plus Base'!$J$120&gt;ROUND(((1-'F Intl Con Plus Base'!$J$117)*'F Intl Con Plus Base'!J61),2),ROUND('F Intl Con Plus Base'!$J$120*(1+International_Fuel_Surcharge),2),ROUND(((1-'F Intl Con Plus Base'!$J$117)*'F Intl Con Plus Base'!J61)*(1+International_Fuel_Surcharge),2)))*(1+FedEx_Markup),2)</f>
        <v>150.16999999999999</v>
      </c>
      <c r="K64" s="307">
        <f>ROUND((IF('F Intl Con Plus Base'!$K$120&gt;ROUND(((1-'F Intl Con Plus Base'!$K$117)*'F Intl Con Plus Base'!K61),2),ROUND('F Intl Con Plus Base'!$K$120*(1+International_Fuel_Surcharge),2),ROUND(((1-'F Intl Con Plus Base'!$K$117)*'F Intl Con Plus Base'!K61)*(1+International_Fuel_Surcharge),2)))*(1+FedEx_Markup),2)</f>
        <v>332.34</v>
      </c>
      <c r="L64" s="307">
        <f>ROUND((IF('F Intl Con Plus Base'!$L$120&gt;ROUND(((1-'F Intl Con Plus Base'!$L$117)*'F Intl Con Plus Base'!L61),2),ROUND('F Intl Con Plus Base'!$L$120*(1+International_Fuel_Surcharge),2),ROUND(((1-'F Intl Con Plus Base'!$L$117)*'F Intl Con Plus Base'!L61)*(1+International_Fuel_Surcharge),2)))*(1+FedEx_Markup),2)</f>
        <v>285.44</v>
      </c>
      <c r="M64" s="307">
        <f>ROUND((IF('F Intl Con Plus Base'!$M$120&gt;ROUND(((1-'F Intl Con Plus Base'!$M$117)*'F Intl Con Plus Base'!M61),2),ROUND('F Intl Con Plus Base'!$M$120*(1+International_Fuel_Surcharge),2),ROUND(((1-'F Intl Con Plus Base'!$M$117)*'F Intl Con Plus Base'!M61)*(1+International_Fuel_Surcharge),2)))*(1+FedEx_Markup),2)</f>
        <v>355.03</v>
      </c>
      <c r="N64" s="307">
        <f>ROUND((IF('F Intl Con Plus Base'!$N$120&gt;ROUND(((1-'F Intl Con Plus Base'!$N$117)*'F Intl Con Plus Base'!N61),2),ROUND('F Intl Con Plus Base'!$N$120*(1+International_Fuel_Surcharge),2),ROUND(((1-'F Intl Con Plus Base'!$N$117)*'F Intl Con Plus Base'!N61)*(1+International_Fuel_Surcharge),2)))*(1+FedEx_Markup),2)</f>
        <v>353.77</v>
      </c>
      <c r="O64" s="307">
        <f>ROUND((IF('F Intl Con Plus Base'!$O$120&gt;ROUND(((1-'F Intl Con Plus Base'!$O$117)*'F Intl Con Plus Base'!O61),2),ROUND('F Intl Con Plus Base'!$O$120*(1+International_Fuel_Surcharge),2),ROUND(((1-'F Intl Con Plus Base'!$O$117)*'F Intl Con Plus Base'!O61)*(1+International_Fuel_Surcharge),2)))*(1+FedEx_Markup),2)</f>
        <v>275</v>
      </c>
      <c r="P64" s="307">
        <f>ROUND((IF('F Intl Con Plus Base'!$P$120&gt;ROUND(((1-'F Intl Con Plus Base'!$P$117)*'F Intl Con Plus Base'!P61),2),ROUND('F Intl Con Plus Base'!$P$120*(1+International_Fuel_Surcharge),2),ROUND(((1-'F Intl Con Plus Base'!$P$117)*'F Intl Con Plus Base'!P61)*(1+International_Fuel_Surcharge),2)))*(1+FedEx_Markup),2)</f>
        <v>275.2</v>
      </c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2.75" customHeight="1">
      <c r="A65" s="306">
        <v>60</v>
      </c>
      <c r="B65" s="307">
        <f>ROUND((IF('F Intl Con Plus Base'!$B$120&gt;ROUND(((1-'F Intl Con Plus Base'!$B$117)*'F Intl Con Plus Base'!B62),2),ROUND('F Intl Con Plus Base'!$B$120*(1+International_Fuel_Surcharge),2),ROUND(((1-'F Intl Con Plus Base'!$B$117)*'F Intl Con Plus Base'!B62)*(1+International_Fuel_Surcharge),2)))*(1+FedEx_Markup),2)</f>
        <v>141.9</v>
      </c>
      <c r="C65" s="307">
        <f>ROUND((IF('F Intl Con Plus Base'!$C$120&gt;ROUND(((1-'F Intl Con Plus Base'!$C$117)*'F Intl Con Plus Base'!C62),2),ROUND('F Intl Con Plus Base'!$C$120*(1+International_Fuel_Surcharge),2),ROUND(((1-'F Intl Con Plus Base'!$C$117)*'F Intl Con Plus Base'!C62)*(1+International_Fuel_Surcharge),2)))*(1+FedEx_Markup),2)</f>
        <v>158.76</v>
      </c>
      <c r="D65" s="307">
        <f>ROUND((IF('F Intl Con Plus Base'!$D$120&gt;ROUND(((1-'F Intl Con Plus Base'!$D$117)*'F Intl Con Plus Base'!D62),2),ROUND('F Intl Con Plus Base'!$D$120*(1+International_Fuel_Surcharge),2),ROUND(((1-'F Intl Con Plus Base'!$D$117)*'F Intl Con Plus Base'!D62)*(1+International_Fuel_Surcharge),2)))*(1+FedEx_Markup),2)</f>
        <v>103.52</v>
      </c>
      <c r="E65" s="307">
        <f>ROUND((IF('F Intl Con Plus Base'!$E$120&gt;ROUND(((1-'F Intl Con Plus Base'!$E$117)*'F Intl Con Plus Base'!E62),2),ROUND('F Intl Con Plus Base'!$E$120*(1+International_Fuel_Surcharge),2),ROUND(((1-'F Intl Con Plus Base'!$E$117)*'F Intl Con Plus Base'!E62)*(1+International_Fuel_Surcharge),2)))*(1+FedEx_Markup),2)</f>
        <v>198.59</v>
      </c>
      <c r="F65" s="307">
        <f>ROUND((IF('F Intl Con Plus Base'!$F$120&gt;ROUND(((1-'F Intl Con Plus Base'!$F$117)*'F Intl Con Plus Base'!F62),2),ROUND('F Intl Con Plus Base'!$F$120*(1+International_Fuel_Surcharge),2),ROUND(((1-'F Intl Con Plus Base'!$F$117)*'F Intl Con Plus Base'!F62)*(1+International_Fuel_Surcharge),2)))*(1+FedEx_Markup),2)</f>
        <v>409.07</v>
      </c>
      <c r="G65" s="307">
        <f>ROUND((IF('F Intl Con Plus Base'!$G$120&gt;ROUND(((1-'F Intl Con Plus Base'!$G$117)*'F Intl Con Plus Base'!G62),2),ROUND('F Intl Con Plus Base'!$G$120*(1+International_Fuel_Surcharge),2),ROUND(((1-'F Intl Con Plus Base'!$G$117)*'F Intl Con Plus Base'!G62)*(1+International_Fuel_Surcharge),2)))*(1+FedEx_Markup),2)</f>
        <v>210.96</v>
      </c>
      <c r="H65" s="307">
        <f>ROUND((IF('F Intl Con Plus Base'!$H$120&gt;ROUND(((1-'F Intl Con Plus Base'!$H$117)*'F Intl Con Plus Base'!H62),2),ROUND('F Intl Con Plus Base'!$H$120*(1+International_Fuel_Surcharge),2),ROUND(((1-'F Intl Con Plus Base'!$H$117)*'F Intl Con Plus Base'!H62)*(1+International_Fuel_Surcharge),2)))*(1+FedEx_Markup),2)</f>
        <v>222.97</v>
      </c>
      <c r="I65" s="307">
        <f>ROUND((IF('F Intl Con Plus Base'!$I$120&gt;ROUND(((1-'F Intl Con Plus Base'!$I$117)*'F Intl Con Plus Base'!I62),2),ROUND('F Intl Con Plus Base'!$I$120*(1+International_Fuel_Surcharge),2),ROUND(((1-'F Intl Con Plus Base'!$I$117)*'F Intl Con Plus Base'!I62)*(1+International_Fuel_Surcharge),2)))*(1+FedEx_Markup),2)</f>
        <v>254.56</v>
      </c>
      <c r="J65" s="307">
        <f>ROUND((IF('F Intl Con Plus Base'!$J$120&gt;ROUND(((1-'F Intl Con Plus Base'!$J$117)*'F Intl Con Plus Base'!J62),2),ROUND('F Intl Con Plus Base'!$J$120*(1+International_Fuel_Surcharge),2),ROUND(((1-'F Intl Con Plus Base'!$J$117)*'F Intl Con Plus Base'!J62)*(1+International_Fuel_Surcharge),2)))*(1+FedEx_Markup),2)</f>
        <v>151.55000000000001</v>
      </c>
      <c r="K65" s="307">
        <f>ROUND((IF('F Intl Con Plus Base'!$K$120&gt;ROUND(((1-'F Intl Con Plus Base'!$K$117)*'F Intl Con Plus Base'!K62),2),ROUND('F Intl Con Plus Base'!$K$120*(1+International_Fuel_Surcharge),2),ROUND(((1-'F Intl Con Plus Base'!$K$117)*'F Intl Con Plus Base'!K62)*(1+International_Fuel_Surcharge),2)))*(1+FedEx_Markup),2)</f>
        <v>332.6</v>
      </c>
      <c r="L65" s="307">
        <f>ROUND((IF('F Intl Con Plus Base'!$L$120&gt;ROUND(((1-'F Intl Con Plus Base'!$L$117)*'F Intl Con Plus Base'!L62),2),ROUND('F Intl Con Plus Base'!$L$120*(1+International_Fuel_Surcharge),2),ROUND(((1-'F Intl Con Plus Base'!$L$117)*'F Intl Con Plus Base'!L62)*(1+International_Fuel_Surcharge),2)))*(1+FedEx_Markup),2)</f>
        <v>285.5</v>
      </c>
      <c r="M65" s="307">
        <f>ROUND((IF('F Intl Con Plus Base'!$M$120&gt;ROUND(((1-'F Intl Con Plus Base'!$M$117)*'F Intl Con Plus Base'!M62),2),ROUND('F Intl Con Plus Base'!$M$120*(1+International_Fuel_Surcharge),2),ROUND(((1-'F Intl Con Plus Base'!$M$117)*'F Intl Con Plus Base'!M62)*(1+International_Fuel_Surcharge),2)))*(1+FedEx_Markup),2)</f>
        <v>355.18</v>
      </c>
      <c r="N65" s="307">
        <f>ROUND((IF('F Intl Con Plus Base'!$N$120&gt;ROUND(((1-'F Intl Con Plus Base'!$N$117)*'F Intl Con Plus Base'!N62),2),ROUND('F Intl Con Plus Base'!$N$120*(1+International_Fuel_Surcharge),2),ROUND(((1-'F Intl Con Plus Base'!$N$117)*'F Intl Con Plus Base'!N62)*(1+International_Fuel_Surcharge),2)))*(1+FedEx_Markup),2)</f>
        <v>353.84</v>
      </c>
      <c r="O65" s="307">
        <f>ROUND((IF('F Intl Con Plus Base'!$O$120&gt;ROUND(((1-'F Intl Con Plus Base'!$O$117)*'F Intl Con Plus Base'!O62),2),ROUND('F Intl Con Plus Base'!$O$120*(1+International_Fuel_Surcharge),2),ROUND(((1-'F Intl Con Plus Base'!$O$117)*'F Intl Con Plus Base'!O62)*(1+International_Fuel_Surcharge),2)))*(1+FedEx_Markup),2)</f>
        <v>275.07</v>
      </c>
      <c r="P65" s="307">
        <f>ROUND((IF('F Intl Con Plus Base'!$P$120&gt;ROUND(((1-'F Intl Con Plus Base'!$P$117)*'F Intl Con Plus Base'!P62),2),ROUND('F Intl Con Plus Base'!$P$120*(1+International_Fuel_Surcharge),2),ROUND(((1-'F Intl Con Plus Base'!$P$117)*'F Intl Con Plus Base'!P62)*(1+International_Fuel_Surcharge),2)))*(1+FedEx_Markup),2)</f>
        <v>275.26</v>
      </c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2.75" customHeight="1">
      <c r="A66" s="306">
        <v>61</v>
      </c>
      <c r="B66" s="307">
        <f>ROUND((IF('F Intl Con Plus Base'!$B$120&gt;ROUND(((1-'F Intl Con Plus Base'!$B$117)*'F Intl Con Plus Base'!B63),2),ROUND('F Intl Con Plus Base'!$B$120*(1+International_Fuel_Surcharge),2),ROUND(((1-'F Intl Con Plus Base'!$B$117)*'F Intl Con Plus Base'!B63)*(1+International_Fuel_Surcharge),2)))*(1+FedEx_Markup),2)</f>
        <v>146.69</v>
      </c>
      <c r="C66" s="307">
        <f>ROUND((IF('F Intl Con Plus Base'!$C$120&gt;ROUND(((1-'F Intl Con Plus Base'!$C$117)*'F Intl Con Plus Base'!C63),2),ROUND('F Intl Con Plus Base'!$C$120*(1+International_Fuel_Surcharge),2),ROUND(((1-'F Intl Con Plus Base'!$C$117)*'F Intl Con Plus Base'!C63)*(1+International_Fuel_Surcharge),2)))*(1+FedEx_Markup),2)</f>
        <v>166.31</v>
      </c>
      <c r="D66" s="307">
        <f>ROUND((IF('F Intl Con Plus Base'!$D$120&gt;ROUND(((1-'F Intl Con Plus Base'!$D$117)*'F Intl Con Plus Base'!D63),2),ROUND('F Intl Con Plus Base'!$D$120*(1+International_Fuel_Surcharge),2),ROUND(((1-'F Intl Con Plus Base'!$D$117)*'F Intl Con Plus Base'!D63)*(1+International_Fuel_Surcharge),2)))*(1+FedEx_Markup),2)</f>
        <v>104.75</v>
      </c>
      <c r="E66" s="307">
        <f>ROUND((IF('F Intl Con Plus Base'!$E$120&gt;ROUND(((1-'F Intl Con Plus Base'!$E$117)*'F Intl Con Plus Base'!E63),2),ROUND('F Intl Con Plus Base'!$E$120*(1+International_Fuel_Surcharge),2),ROUND(((1-'F Intl Con Plus Base'!$E$117)*'F Intl Con Plus Base'!E63)*(1+International_Fuel_Surcharge),2)))*(1+FedEx_Markup),2)</f>
        <v>198.69</v>
      </c>
      <c r="F66" s="307">
        <f>ROUND((IF('F Intl Con Plus Base'!$F$120&gt;ROUND(((1-'F Intl Con Plus Base'!$F$117)*'F Intl Con Plus Base'!F63),2),ROUND('F Intl Con Plus Base'!$F$120*(1+International_Fuel_Surcharge),2),ROUND(((1-'F Intl Con Plus Base'!$F$117)*'F Intl Con Plus Base'!F63)*(1+International_Fuel_Surcharge),2)))*(1+FedEx_Markup),2)</f>
        <v>413.66</v>
      </c>
      <c r="G66" s="307">
        <f>ROUND((IF('F Intl Con Plus Base'!$G$120&gt;ROUND(((1-'F Intl Con Plus Base'!$G$117)*'F Intl Con Plus Base'!G63),2),ROUND('F Intl Con Plus Base'!$G$120*(1+International_Fuel_Surcharge),2),ROUND(((1-'F Intl Con Plus Base'!$G$117)*'F Intl Con Plus Base'!G63)*(1+International_Fuel_Surcharge),2)))*(1+FedEx_Markup),2)</f>
        <v>211.03</v>
      </c>
      <c r="H66" s="307">
        <f>ROUND((IF('F Intl Con Plus Base'!$H$120&gt;ROUND(((1-'F Intl Con Plus Base'!$H$117)*'F Intl Con Plus Base'!H63),2),ROUND('F Intl Con Plus Base'!$H$120*(1+International_Fuel_Surcharge),2),ROUND(((1-'F Intl Con Plus Base'!$H$117)*'F Intl Con Plus Base'!H63)*(1+International_Fuel_Surcharge),2)))*(1+FedEx_Markup),2)</f>
        <v>224.68</v>
      </c>
      <c r="I66" s="307">
        <f>ROUND((IF('F Intl Con Plus Base'!$I$120&gt;ROUND(((1-'F Intl Con Plus Base'!$I$117)*'F Intl Con Plus Base'!I63),2),ROUND('F Intl Con Plus Base'!$I$120*(1+International_Fuel_Surcharge),2),ROUND(((1-'F Intl Con Plus Base'!$I$117)*'F Intl Con Plus Base'!I63)*(1+International_Fuel_Surcharge),2)))*(1+FedEx_Markup),2)</f>
        <v>255.27</v>
      </c>
      <c r="J66" s="307">
        <f>ROUND((IF('F Intl Con Plus Base'!$J$120&gt;ROUND(((1-'F Intl Con Plus Base'!$J$117)*'F Intl Con Plus Base'!J63),2),ROUND('F Intl Con Plus Base'!$J$120*(1+International_Fuel_Surcharge),2),ROUND(((1-'F Intl Con Plus Base'!$J$117)*'F Intl Con Plus Base'!J63)*(1+International_Fuel_Surcharge),2)))*(1+FedEx_Markup),2)</f>
        <v>153.19</v>
      </c>
      <c r="K66" s="307">
        <f>ROUND((IF('F Intl Con Plus Base'!$K$120&gt;ROUND(((1-'F Intl Con Plus Base'!$K$117)*'F Intl Con Plus Base'!K63),2),ROUND('F Intl Con Plus Base'!$K$120*(1+International_Fuel_Surcharge),2),ROUND(((1-'F Intl Con Plus Base'!$K$117)*'F Intl Con Plus Base'!K63)*(1+International_Fuel_Surcharge),2)))*(1+FedEx_Markup),2)</f>
        <v>337.89</v>
      </c>
      <c r="L66" s="307">
        <f>ROUND((IF('F Intl Con Plus Base'!$L$120&gt;ROUND(((1-'F Intl Con Plus Base'!$L$117)*'F Intl Con Plus Base'!L63),2),ROUND('F Intl Con Plus Base'!$L$120*(1+International_Fuel_Surcharge),2),ROUND(((1-'F Intl Con Plus Base'!$L$117)*'F Intl Con Plus Base'!L63)*(1+International_Fuel_Surcharge),2)))*(1+FedEx_Markup),2)</f>
        <v>285.57</v>
      </c>
      <c r="M66" s="307">
        <f>ROUND((IF('F Intl Con Plus Base'!$M$120&gt;ROUND(((1-'F Intl Con Plus Base'!$M$117)*'F Intl Con Plus Base'!M63),2),ROUND('F Intl Con Plus Base'!$M$120*(1+International_Fuel_Surcharge),2),ROUND(((1-'F Intl Con Plus Base'!$M$117)*'F Intl Con Plus Base'!M63)*(1+International_Fuel_Surcharge),2)))*(1+FedEx_Markup),2)</f>
        <v>358.11</v>
      </c>
      <c r="N66" s="307">
        <f>ROUND((IF('F Intl Con Plus Base'!$N$120&gt;ROUND(((1-'F Intl Con Plus Base'!$N$117)*'F Intl Con Plus Base'!N63),2),ROUND('F Intl Con Plus Base'!$N$120*(1+International_Fuel_Surcharge),2),ROUND(((1-'F Intl Con Plus Base'!$N$117)*'F Intl Con Plus Base'!N63)*(1+International_Fuel_Surcharge),2)))*(1+FedEx_Markup),2)</f>
        <v>354.46</v>
      </c>
      <c r="O66" s="307">
        <f>ROUND((IF('F Intl Con Plus Base'!$O$120&gt;ROUND(((1-'F Intl Con Plus Base'!$O$117)*'F Intl Con Plus Base'!O63),2),ROUND('F Intl Con Plus Base'!$O$120*(1+International_Fuel_Surcharge),2),ROUND(((1-'F Intl Con Plus Base'!$O$117)*'F Intl Con Plus Base'!O63)*(1+International_Fuel_Surcharge),2)))*(1+FedEx_Markup),2)</f>
        <v>275.14</v>
      </c>
      <c r="P66" s="307">
        <f>ROUND((IF('F Intl Con Plus Base'!$P$120&gt;ROUND(((1-'F Intl Con Plus Base'!$P$117)*'F Intl Con Plus Base'!P63),2),ROUND('F Intl Con Plus Base'!$P$120*(1+International_Fuel_Surcharge),2),ROUND(((1-'F Intl Con Plus Base'!$P$117)*'F Intl Con Plus Base'!P63)*(1+International_Fuel_Surcharge),2)))*(1+FedEx_Markup),2)</f>
        <v>275.98</v>
      </c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2.75" customHeight="1">
      <c r="A67" s="306">
        <v>62</v>
      </c>
      <c r="B67" s="307">
        <f>ROUND((IF('F Intl Con Plus Base'!$B$120&gt;ROUND(((1-'F Intl Con Plus Base'!$B$117)*'F Intl Con Plus Base'!B64),2),ROUND('F Intl Con Plus Base'!$B$120*(1+International_Fuel_Surcharge),2),ROUND(((1-'F Intl Con Plus Base'!$B$117)*'F Intl Con Plus Base'!B64)*(1+International_Fuel_Surcharge),2)))*(1+FedEx_Markup),2)</f>
        <v>148.34</v>
      </c>
      <c r="C67" s="307">
        <f>ROUND((IF('F Intl Con Plus Base'!$C$120&gt;ROUND(((1-'F Intl Con Plus Base'!$C$117)*'F Intl Con Plus Base'!C64),2),ROUND('F Intl Con Plus Base'!$C$120*(1+International_Fuel_Surcharge),2),ROUND(((1-'F Intl Con Plus Base'!$C$117)*'F Intl Con Plus Base'!C64)*(1+International_Fuel_Surcharge),2)))*(1+FedEx_Markup),2)</f>
        <v>168.88</v>
      </c>
      <c r="D67" s="307">
        <f>ROUND((IF('F Intl Con Plus Base'!$D$120&gt;ROUND(((1-'F Intl Con Plus Base'!$D$117)*'F Intl Con Plus Base'!D64),2),ROUND('F Intl Con Plus Base'!$D$120*(1+International_Fuel_Surcharge),2),ROUND(((1-'F Intl Con Plus Base'!$D$117)*'F Intl Con Plus Base'!D64)*(1+International_Fuel_Surcharge),2)))*(1+FedEx_Markup),2)</f>
        <v>107.61</v>
      </c>
      <c r="E67" s="307">
        <f>ROUND((IF('F Intl Con Plus Base'!$E$120&gt;ROUND(((1-'F Intl Con Plus Base'!$E$117)*'F Intl Con Plus Base'!E64),2),ROUND('F Intl Con Plus Base'!$E$120*(1+International_Fuel_Surcharge),2),ROUND(((1-'F Intl Con Plus Base'!$E$117)*'F Intl Con Plus Base'!E64)*(1+International_Fuel_Surcharge),2)))*(1+FedEx_Markup),2)</f>
        <v>198.75</v>
      </c>
      <c r="F67" s="307">
        <f>ROUND((IF('F Intl Con Plus Base'!$F$120&gt;ROUND(((1-'F Intl Con Plus Base'!$F$117)*'F Intl Con Plus Base'!F64),2),ROUND('F Intl Con Plus Base'!$F$120*(1+International_Fuel_Surcharge),2),ROUND(((1-'F Intl Con Plus Base'!$F$117)*'F Intl Con Plus Base'!F64)*(1+International_Fuel_Surcharge),2)))*(1+FedEx_Markup),2)</f>
        <v>419.99</v>
      </c>
      <c r="G67" s="307">
        <f>ROUND((IF('F Intl Con Plus Base'!$G$120&gt;ROUND(((1-'F Intl Con Plus Base'!$G$117)*'F Intl Con Plus Base'!G64),2),ROUND('F Intl Con Plus Base'!$G$120*(1+International_Fuel_Surcharge),2),ROUND(((1-'F Intl Con Plus Base'!$G$117)*'F Intl Con Plus Base'!G64)*(1+International_Fuel_Surcharge),2)))*(1+FedEx_Markup),2)</f>
        <v>211.11</v>
      </c>
      <c r="H67" s="307">
        <f>ROUND((IF('F Intl Con Plus Base'!$H$120&gt;ROUND(((1-'F Intl Con Plus Base'!$H$117)*'F Intl Con Plus Base'!H64),2),ROUND('F Intl Con Plus Base'!$H$120*(1+International_Fuel_Surcharge),2),ROUND(((1-'F Intl Con Plus Base'!$H$117)*'F Intl Con Plus Base'!H64)*(1+International_Fuel_Surcharge),2)))*(1+FedEx_Markup),2)</f>
        <v>224.85</v>
      </c>
      <c r="I67" s="307">
        <f>ROUND((IF('F Intl Con Plus Base'!$I$120&gt;ROUND(((1-'F Intl Con Plus Base'!$I$117)*'F Intl Con Plus Base'!I64),2),ROUND('F Intl Con Plus Base'!$I$120*(1+International_Fuel_Surcharge),2),ROUND(((1-'F Intl Con Plus Base'!$I$117)*'F Intl Con Plus Base'!I64)*(1+International_Fuel_Surcharge),2)))*(1+FedEx_Markup),2)</f>
        <v>255.9</v>
      </c>
      <c r="J67" s="307">
        <f>ROUND((IF('F Intl Con Plus Base'!$J$120&gt;ROUND(((1-'F Intl Con Plus Base'!$J$117)*'F Intl Con Plus Base'!J64),2),ROUND('F Intl Con Plus Base'!$J$120*(1+International_Fuel_Surcharge),2),ROUND(((1-'F Intl Con Plus Base'!$J$117)*'F Intl Con Plus Base'!J64)*(1+International_Fuel_Surcharge),2)))*(1+FedEx_Markup),2)</f>
        <v>154.82</v>
      </c>
      <c r="K67" s="307">
        <f>ROUND((IF('F Intl Con Plus Base'!$K$120&gt;ROUND(((1-'F Intl Con Plus Base'!$K$117)*'F Intl Con Plus Base'!K64),2),ROUND('F Intl Con Plus Base'!$K$120*(1+International_Fuel_Surcharge),2),ROUND(((1-'F Intl Con Plus Base'!$K$117)*'F Intl Con Plus Base'!K64)*(1+International_Fuel_Surcharge),2)))*(1+FedEx_Markup),2)</f>
        <v>338.42</v>
      </c>
      <c r="L67" s="307">
        <f>ROUND((IF('F Intl Con Plus Base'!$L$120&gt;ROUND(((1-'F Intl Con Plus Base'!$L$117)*'F Intl Con Plus Base'!L64),2),ROUND('F Intl Con Plus Base'!$L$120*(1+International_Fuel_Surcharge),2),ROUND(((1-'F Intl Con Plus Base'!$L$117)*'F Intl Con Plus Base'!L64)*(1+International_Fuel_Surcharge),2)))*(1+FedEx_Markup),2)</f>
        <v>285.68</v>
      </c>
      <c r="M67" s="307">
        <f>ROUND((IF('F Intl Con Plus Base'!$M$120&gt;ROUND(((1-'F Intl Con Plus Base'!$M$117)*'F Intl Con Plus Base'!M64),2),ROUND('F Intl Con Plus Base'!$M$120*(1+International_Fuel_Surcharge),2),ROUND(((1-'F Intl Con Plus Base'!$M$117)*'F Intl Con Plus Base'!M64)*(1+International_Fuel_Surcharge),2)))*(1+FedEx_Markup),2)</f>
        <v>358.41</v>
      </c>
      <c r="N67" s="307">
        <f>ROUND((IF('F Intl Con Plus Base'!$N$120&gt;ROUND(((1-'F Intl Con Plus Base'!$N$117)*'F Intl Con Plus Base'!N64),2),ROUND('F Intl Con Plus Base'!$N$120*(1+International_Fuel_Surcharge),2),ROUND(((1-'F Intl Con Plus Base'!$N$117)*'F Intl Con Plus Base'!N64)*(1+International_Fuel_Surcharge),2)))*(1+FedEx_Markup),2)</f>
        <v>366.87</v>
      </c>
      <c r="O67" s="307">
        <f>ROUND((IF('F Intl Con Plus Base'!$O$120&gt;ROUND(((1-'F Intl Con Plus Base'!$O$117)*'F Intl Con Plus Base'!O64),2),ROUND('F Intl Con Plus Base'!$O$120*(1+International_Fuel_Surcharge),2),ROUND(((1-'F Intl Con Plus Base'!$O$117)*'F Intl Con Plus Base'!O64)*(1+International_Fuel_Surcharge),2)))*(1+FedEx_Markup),2)</f>
        <v>275.20999999999998</v>
      </c>
      <c r="P67" s="307">
        <f>ROUND((IF('F Intl Con Plus Base'!$P$120&gt;ROUND(((1-'F Intl Con Plus Base'!$P$117)*'F Intl Con Plus Base'!P64),2),ROUND('F Intl Con Plus Base'!$P$120*(1+International_Fuel_Surcharge),2),ROUND(((1-'F Intl Con Plus Base'!$P$117)*'F Intl Con Plus Base'!P64)*(1+International_Fuel_Surcharge),2)))*(1+FedEx_Markup),2)</f>
        <v>290.19</v>
      </c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2.75" customHeight="1">
      <c r="A68" s="306">
        <v>63</v>
      </c>
      <c r="B68" s="307">
        <f>ROUND((IF('F Intl Con Plus Base'!$B$120&gt;ROUND(((1-'F Intl Con Plus Base'!$B$117)*'F Intl Con Plus Base'!B65),2),ROUND('F Intl Con Plus Base'!$B$120*(1+International_Fuel_Surcharge),2),ROUND(((1-'F Intl Con Plus Base'!$B$117)*'F Intl Con Plus Base'!B65)*(1+International_Fuel_Surcharge),2)))*(1+FedEx_Markup),2)</f>
        <v>152.81</v>
      </c>
      <c r="C68" s="307">
        <f>ROUND((IF('F Intl Con Plus Base'!$C$120&gt;ROUND(((1-'F Intl Con Plus Base'!$C$117)*'F Intl Con Plus Base'!C65),2),ROUND('F Intl Con Plus Base'!$C$120*(1+International_Fuel_Surcharge),2),ROUND(((1-'F Intl Con Plus Base'!$C$117)*'F Intl Con Plus Base'!C65)*(1+International_Fuel_Surcharge),2)))*(1+FedEx_Markup),2)</f>
        <v>170.46</v>
      </c>
      <c r="D68" s="307">
        <f>ROUND((IF('F Intl Con Plus Base'!$D$120&gt;ROUND(((1-'F Intl Con Plus Base'!$D$117)*'F Intl Con Plus Base'!D65),2),ROUND('F Intl Con Plus Base'!$D$120*(1+International_Fuel_Surcharge),2),ROUND(((1-'F Intl Con Plus Base'!$D$117)*'F Intl Con Plus Base'!D65)*(1+International_Fuel_Surcharge),2)))*(1+FedEx_Markup),2)</f>
        <v>109.51</v>
      </c>
      <c r="E68" s="307">
        <f>ROUND((IF('F Intl Con Plus Base'!$E$120&gt;ROUND(((1-'F Intl Con Plus Base'!$E$117)*'F Intl Con Plus Base'!E65),2),ROUND('F Intl Con Plus Base'!$E$120*(1+International_Fuel_Surcharge),2),ROUND(((1-'F Intl Con Plus Base'!$E$117)*'F Intl Con Plus Base'!E65)*(1+International_Fuel_Surcharge),2)))*(1+FedEx_Markup),2)</f>
        <v>198.82</v>
      </c>
      <c r="F68" s="307">
        <f>ROUND((IF('F Intl Con Plus Base'!$F$120&gt;ROUND(((1-'F Intl Con Plus Base'!$F$117)*'F Intl Con Plus Base'!F65),2),ROUND('F Intl Con Plus Base'!$F$120*(1+International_Fuel_Surcharge),2),ROUND(((1-'F Intl Con Plus Base'!$F$117)*'F Intl Con Plus Base'!F65)*(1+International_Fuel_Surcharge),2)))*(1+FedEx_Markup),2)</f>
        <v>420.62</v>
      </c>
      <c r="G68" s="307">
        <f>ROUND((IF('F Intl Con Plus Base'!$G$120&gt;ROUND(((1-'F Intl Con Plus Base'!$G$117)*'F Intl Con Plus Base'!G65),2),ROUND('F Intl Con Plus Base'!$G$120*(1+International_Fuel_Surcharge),2),ROUND(((1-'F Intl Con Plus Base'!$G$117)*'F Intl Con Plus Base'!G65)*(1+International_Fuel_Surcharge),2)))*(1+FedEx_Markup),2)</f>
        <v>211.16</v>
      </c>
      <c r="H68" s="307">
        <f>ROUND((IF('F Intl Con Plus Base'!$H$120&gt;ROUND(((1-'F Intl Con Plus Base'!$H$117)*'F Intl Con Plus Base'!H65),2),ROUND('F Intl Con Plus Base'!$H$120*(1+International_Fuel_Surcharge),2),ROUND(((1-'F Intl Con Plus Base'!$H$117)*'F Intl Con Plus Base'!H65)*(1+International_Fuel_Surcharge),2)))*(1+FedEx_Markup),2)</f>
        <v>224.92</v>
      </c>
      <c r="I68" s="307">
        <f>ROUND((IF('F Intl Con Plus Base'!$I$120&gt;ROUND(((1-'F Intl Con Plus Base'!$I$117)*'F Intl Con Plus Base'!I65),2),ROUND('F Intl Con Plus Base'!$I$120*(1+International_Fuel_Surcharge),2),ROUND(((1-'F Intl Con Plus Base'!$I$117)*'F Intl Con Plus Base'!I65)*(1+International_Fuel_Surcharge),2)))*(1+FedEx_Markup),2)</f>
        <v>268.41000000000003</v>
      </c>
      <c r="J68" s="307">
        <f>ROUND((IF('F Intl Con Plus Base'!$J$120&gt;ROUND(((1-'F Intl Con Plus Base'!$J$117)*'F Intl Con Plus Base'!J65),2),ROUND('F Intl Con Plus Base'!$J$120*(1+International_Fuel_Surcharge),2),ROUND(((1-'F Intl Con Plus Base'!$J$117)*'F Intl Con Plus Base'!J65)*(1+International_Fuel_Surcharge),2)))*(1+FedEx_Markup),2)</f>
        <v>157.58000000000001</v>
      </c>
      <c r="K68" s="307">
        <f>ROUND((IF('F Intl Con Plus Base'!$K$120&gt;ROUND(((1-'F Intl Con Plus Base'!$K$117)*'F Intl Con Plus Base'!K65),2),ROUND('F Intl Con Plus Base'!$K$120*(1+International_Fuel_Surcharge),2),ROUND(((1-'F Intl Con Plus Base'!$K$117)*'F Intl Con Plus Base'!K65)*(1+International_Fuel_Surcharge),2)))*(1+FedEx_Markup),2)</f>
        <v>339.56</v>
      </c>
      <c r="L68" s="307">
        <f>ROUND((IF('F Intl Con Plus Base'!$L$120&gt;ROUND(((1-'F Intl Con Plus Base'!$L$117)*'F Intl Con Plus Base'!L65),2),ROUND('F Intl Con Plus Base'!$L$120*(1+International_Fuel_Surcharge),2),ROUND(((1-'F Intl Con Plus Base'!$L$117)*'F Intl Con Plus Base'!L65)*(1+International_Fuel_Surcharge),2)))*(1+FedEx_Markup),2)</f>
        <v>285.75</v>
      </c>
      <c r="M68" s="307">
        <f>ROUND((IF('F Intl Con Plus Base'!$M$120&gt;ROUND(((1-'F Intl Con Plus Base'!$M$117)*'F Intl Con Plus Base'!M65),2),ROUND('F Intl Con Plus Base'!$M$120*(1+International_Fuel_Surcharge),2),ROUND(((1-'F Intl Con Plus Base'!$M$117)*'F Intl Con Plus Base'!M65)*(1+International_Fuel_Surcharge),2)))*(1+FedEx_Markup),2)</f>
        <v>358.49</v>
      </c>
      <c r="N68" s="307">
        <f>ROUND((IF('F Intl Con Plus Base'!$N$120&gt;ROUND(((1-'F Intl Con Plus Base'!$N$117)*'F Intl Con Plus Base'!N65),2),ROUND('F Intl Con Plus Base'!$N$120*(1+International_Fuel_Surcharge),2),ROUND(((1-'F Intl Con Plus Base'!$N$117)*'F Intl Con Plus Base'!N65)*(1+International_Fuel_Surcharge),2)))*(1+FedEx_Markup),2)</f>
        <v>368.12</v>
      </c>
      <c r="O68" s="307">
        <f>ROUND((IF('F Intl Con Plus Base'!$O$120&gt;ROUND(((1-'F Intl Con Plus Base'!$O$117)*'F Intl Con Plus Base'!O65),2),ROUND('F Intl Con Plus Base'!$O$120*(1+International_Fuel_Surcharge),2),ROUND(((1-'F Intl Con Plus Base'!$O$117)*'F Intl Con Plus Base'!O65)*(1+International_Fuel_Surcharge),2)))*(1+FedEx_Markup),2)</f>
        <v>275.27999999999997</v>
      </c>
      <c r="P68" s="307">
        <f>ROUND((IF('F Intl Con Plus Base'!$P$120&gt;ROUND(((1-'F Intl Con Plus Base'!$P$117)*'F Intl Con Plus Base'!P65),2),ROUND('F Intl Con Plus Base'!$P$120*(1+International_Fuel_Surcharge),2),ROUND(((1-'F Intl Con Plus Base'!$P$117)*'F Intl Con Plus Base'!P65)*(1+International_Fuel_Surcharge),2)))*(1+FedEx_Markup),2)</f>
        <v>291.62</v>
      </c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2.75" customHeight="1">
      <c r="A69" s="306">
        <v>64</v>
      </c>
      <c r="B69" s="307">
        <f>ROUND((IF('F Intl Con Plus Base'!$B$120&gt;ROUND(((1-'F Intl Con Plus Base'!$B$117)*'F Intl Con Plus Base'!B66),2),ROUND('F Intl Con Plus Base'!$B$120*(1+International_Fuel_Surcharge),2),ROUND(((1-'F Intl Con Plus Base'!$B$117)*'F Intl Con Plus Base'!B66)*(1+International_Fuel_Surcharge),2)))*(1+FedEx_Markup),2)</f>
        <v>154.5</v>
      </c>
      <c r="C69" s="307">
        <f>ROUND((IF('F Intl Con Plus Base'!$C$120&gt;ROUND(((1-'F Intl Con Plus Base'!$C$117)*'F Intl Con Plus Base'!C66),2),ROUND('F Intl Con Plus Base'!$C$120*(1+International_Fuel_Surcharge),2),ROUND(((1-'F Intl Con Plus Base'!$C$117)*'F Intl Con Plus Base'!C66)*(1+International_Fuel_Surcharge),2)))*(1+FedEx_Markup),2)</f>
        <v>170.63</v>
      </c>
      <c r="D69" s="307">
        <f>ROUND((IF('F Intl Con Plus Base'!$D$120&gt;ROUND(((1-'F Intl Con Plus Base'!$D$117)*'F Intl Con Plus Base'!D66),2),ROUND('F Intl Con Plus Base'!$D$120*(1+International_Fuel_Surcharge),2),ROUND(((1-'F Intl Con Plus Base'!$D$117)*'F Intl Con Plus Base'!D66)*(1+International_Fuel_Surcharge),2)))*(1+FedEx_Markup),2)</f>
        <v>109.71</v>
      </c>
      <c r="E69" s="307">
        <f>ROUND((IF('F Intl Con Plus Base'!$E$120&gt;ROUND(((1-'F Intl Con Plus Base'!$E$117)*'F Intl Con Plus Base'!E66),2),ROUND('F Intl Con Plus Base'!$E$120*(1+International_Fuel_Surcharge),2),ROUND(((1-'F Intl Con Plus Base'!$E$117)*'F Intl Con Plus Base'!E66)*(1+International_Fuel_Surcharge),2)))*(1+FedEx_Markup),2)</f>
        <v>198.9</v>
      </c>
      <c r="F69" s="307">
        <f>ROUND((IF('F Intl Con Plus Base'!$F$120&gt;ROUND(((1-'F Intl Con Plus Base'!$F$117)*'F Intl Con Plus Base'!F66),2),ROUND('F Intl Con Plus Base'!$F$120*(1+International_Fuel_Surcharge),2),ROUND(((1-'F Intl Con Plus Base'!$F$117)*'F Intl Con Plus Base'!F66)*(1+International_Fuel_Surcharge),2)))*(1+FedEx_Markup),2)</f>
        <v>420.68</v>
      </c>
      <c r="G69" s="307">
        <f>ROUND((IF('F Intl Con Plus Base'!$G$120&gt;ROUND(((1-'F Intl Con Plus Base'!$G$117)*'F Intl Con Plus Base'!G66),2),ROUND('F Intl Con Plus Base'!$G$120*(1+International_Fuel_Surcharge),2),ROUND(((1-'F Intl Con Plus Base'!$G$117)*'F Intl Con Plus Base'!G66)*(1+International_Fuel_Surcharge),2)))*(1+FedEx_Markup),2)</f>
        <v>211.97</v>
      </c>
      <c r="H69" s="307">
        <f>ROUND((IF('F Intl Con Plus Base'!$H$120&gt;ROUND(((1-'F Intl Con Plus Base'!$H$117)*'F Intl Con Plus Base'!H66),2),ROUND('F Intl Con Plus Base'!$H$120*(1+International_Fuel_Surcharge),2),ROUND(((1-'F Intl Con Plus Base'!$H$117)*'F Intl Con Plus Base'!H66)*(1+International_Fuel_Surcharge),2)))*(1+FedEx_Markup),2)</f>
        <v>225.24</v>
      </c>
      <c r="I69" s="307">
        <f>ROUND((IF('F Intl Con Plus Base'!$I$120&gt;ROUND(((1-'F Intl Con Plus Base'!$I$117)*'F Intl Con Plus Base'!I66),2),ROUND('F Intl Con Plus Base'!$I$120*(1+International_Fuel_Surcharge),2),ROUND(((1-'F Intl Con Plus Base'!$I$117)*'F Intl Con Plus Base'!I66)*(1+International_Fuel_Surcharge),2)))*(1+FedEx_Markup),2)</f>
        <v>269.66000000000003</v>
      </c>
      <c r="J69" s="307">
        <f>ROUND((IF('F Intl Con Plus Base'!$J$120&gt;ROUND(((1-'F Intl Con Plus Base'!$J$117)*'F Intl Con Plus Base'!J66),2),ROUND('F Intl Con Plus Base'!$J$120*(1+International_Fuel_Surcharge),2),ROUND(((1-'F Intl Con Plus Base'!$J$117)*'F Intl Con Plus Base'!J66)*(1+International_Fuel_Surcharge),2)))*(1+FedEx_Markup),2)</f>
        <v>159.78</v>
      </c>
      <c r="K69" s="307">
        <f>ROUND((IF('F Intl Con Plus Base'!$K$120&gt;ROUND(((1-'F Intl Con Plus Base'!$K$117)*'F Intl Con Plus Base'!K66),2),ROUND('F Intl Con Plus Base'!$K$120*(1+International_Fuel_Surcharge),2),ROUND(((1-'F Intl Con Plus Base'!$K$117)*'F Intl Con Plus Base'!K66)*(1+International_Fuel_Surcharge),2)))*(1+FedEx_Markup),2)</f>
        <v>340.72</v>
      </c>
      <c r="L69" s="307">
        <f>ROUND((IF('F Intl Con Plus Base'!$L$120&gt;ROUND(((1-'F Intl Con Plus Base'!$L$117)*'F Intl Con Plus Base'!L66),2),ROUND('F Intl Con Plus Base'!$L$120*(1+International_Fuel_Surcharge),2),ROUND(((1-'F Intl Con Plus Base'!$L$117)*'F Intl Con Plus Base'!L66)*(1+International_Fuel_Surcharge),2)))*(1+FedEx_Markup),2)</f>
        <v>285.81</v>
      </c>
      <c r="M69" s="307">
        <f>ROUND((IF('F Intl Con Plus Base'!$M$120&gt;ROUND(((1-'F Intl Con Plus Base'!$M$117)*'F Intl Con Plus Base'!M66),2),ROUND('F Intl Con Plus Base'!$M$120*(1+International_Fuel_Surcharge),2),ROUND(((1-'F Intl Con Plus Base'!$M$117)*'F Intl Con Plus Base'!M66)*(1+International_Fuel_Surcharge),2)))*(1+FedEx_Markup),2)</f>
        <v>358.78</v>
      </c>
      <c r="N69" s="307">
        <f>ROUND((IF('F Intl Con Plus Base'!$N$120&gt;ROUND(((1-'F Intl Con Plus Base'!$N$117)*'F Intl Con Plus Base'!N66),2),ROUND('F Intl Con Plus Base'!$N$120*(1+International_Fuel_Surcharge),2),ROUND(((1-'F Intl Con Plus Base'!$N$117)*'F Intl Con Plus Base'!N66)*(1+International_Fuel_Surcharge),2)))*(1+FedEx_Markup),2)</f>
        <v>368.24</v>
      </c>
      <c r="O69" s="307">
        <f>ROUND((IF('F Intl Con Plus Base'!$O$120&gt;ROUND(((1-'F Intl Con Plus Base'!$O$117)*'F Intl Con Plus Base'!O66),2),ROUND('F Intl Con Plus Base'!$O$120*(1+International_Fuel_Surcharge),2),ROUND(((1-'F Intl Con Plus Base'!$O$117)*'F Intl Con Plus Base'!O66)*(1+International_Fuel_Surcharge),2)))*(1+FedEx_Markup),2)</f>
        <v>275.37</v>
      </c>
      <c r="P69" s="307">
        <f>ROUND((IF('F Intl Con Plus Base'!$P$120&gt;ROUND(((1-'F Intl Con Plus Base'!$P$117)*'F Intl Con Plus Base'!P66),2),ROUND('F Intl Con Plus Base'!$P$120*(1+International_Fuel_Surcharge),2),ROUND(((1-'F Intl Con Plus Base'!$P$117)*'F Intl Con Plus Base'!P66)*(1+International_Fuel_Surcharge),2)))*(1+FedEx_Markup),2)</f>
        <v>294.94</v>
      </c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2.75" customHeight="1">
      <c r="A70" s="306">
        <v>65</v>
      </c>
      <c r="B70" s="307">
        <f>ROUND((IF('F Intl Con Plus Base'!$B$120&gt;ROUND(((1-'F Intl Con Plus Base'!$B$117)*'F Intl Con Plus Base'!B67),2),ROUND('F Intl Con Plus Base'!$B$120*(1+International_Fuel_Surcharge),2),ROUND(((1-'F Intl Con Plus Base'!$B$117)*'F Intl Con Plus Base'!B67)*(1+International_Fuel_Surcharge),2)))*(1+FedEx_Markup),2)</f>
        <v>156.16</v>
      </c>
      <c r="C70" s="307">
        <f>ROUND((IF('F Intl Con Plus Base'!$C$120&gt;ROUND(((1-'F Intl Con Plus Base'!$C$117)*'F Intl Con Plus Base'!C67),2),ROUND('F Intl Con Plus Base'!$C$120*(1+International_Fuel_Surcharge),2),ROUND(((1-'F Intl Con Plus Base'!$C$117)*'F Intl Con Plus Base'!C67)*(1+International_Fuel_Surcharge),2)))*(1+FedEx_Markup),2)</f>
        <v>170.81</v>
      </c>
      <c r="D70" s="307">
        <f>ROUND((IF('F Intl Con Plus Base'!$D$120&gt;ROUND(((1-'F Intl Con Plus Base'!$D$117)*'F Intl Con Plus Base'!D67),2),ROUND('F Intl Con Plus Base'!$D$120*(1+International_Fuel_Surcharge),2),ROUND(((1-'F Intl Con Plus Base'!$D$117)*'F Intl Con Plus Base'!D67)*(1+International_Fuel_Surcharge),2)))*(1+FedEx_Markup),2)</f>
        <v>109.84</v>
      </c>
      <c r="E70" s="307">
        <f>ROUND((IF('F Intl Con Plus Base'!$E$120&gt;ROUND(((1-'F Intl Con Plus Base'!$E$117)*'F Intl Con Plus Base'!E67),2),ROUND('F Intl Con Plus Base'!$E$120*(1+International_Fuel_Surcharge),2),ROUND(((1-'F Intl Con Plus Base'!$E$117)*'F Intl Con Plus Base'!E67)*(1+International_Fuel_Surcharge),2)))*(1+FedEx_Markup),2)</f>
        <v>199.02</v>
      </c>
      <c r="F70" s="307">
        <f>ROUND((IF('F Intl Con Plus Base'!$F$120&gt;ROUND(((1-'F Intl Con Plus Base'!$F$117)*'F Intl Con Plus Base'!F67),2),ROUND('F Intl Con Plus Base'!$F$120*(1+International_Fuel_Surcharge),2),ROUND(((1-'F Intl Con Plus Base'!$F$117)*'F Intl Con Plus Base'!F67)*(1+International_Fuel_Surcharge),2)))*(1+FedEx_Markup),2)</f>
        <v>420.75</v>
      </c>
      <c r="G70" s="307">
        <f>ROUND((IF('F Intl Con Plus Base'!$G$120&gt;ROUND(((1-'F Intl Con Plus Base'!$G$117)*'F Intl Con Plus Base'!G67),2),ROUND('F Intl Con Plus Base'!$G$120*(1+International_Fuel_Surcharge),2),ROUND(((1-'F Intl Con Plus Base'!$G$117)*'F Intl Con Plus Base'!G67)*(1+International_Fuel_Surcharge),2)))*(1+FedEx_Markup),2)</f>
        <v>227.83</v>
      </c>
      <c r="H70" s="307">
        <f>ROUND((IF('F Intl Con Plus Base'!$H$120&gt;ROUND(((1-'F Intl Con Plus Base'!$H$117)*'F Intl Con Plus Base'!H67),2),ROUND('F Intl Con Plus Base'!$H$120*(1+International_Fuel_Surcharge),2),ROUND(((1-'F Intl Con Plus Base'!$H$117)*'F Intl Con Plus Base'!H67)*(1+International_Fuel_Surcharge),2)))*(1+FedEx_Markup),2)</f>
        <v>231.52</v>
      </c>
      <c r="I70" s="307">
        <f>ROUND((IF('F Intl Con Plus Base'!$I$120&gt;ROUND(((1-'F Intl Con Plus Base'!$I$117)*'F Intl Con Plus Base'!I67),2),ROUND('F Intl Con Plus Base'!$I$120*(1+International_Fuel_Surcharge),2),ROUND(((1-'F Intl Con Plus Base'!$I$117)*'F Intl Con Plus Base'!I67)*(1+International_Fuel_Surcharge),2)))*(1+FedEx_Markup),2)</f>
        <v>271.72000000000003</v>
      </c>
      <c r="J70" s="307">
        <f>ROUND((IF('F Intl Con Plus Base'!$J$120&gt;ROUND(((1-'F Intl Con Plus Base'!$J$117)*'F Intl Con Plus Base'!J67),2),ROUND('F Intl Con Plus Base'!$J$120*(1+International_Fuel_Surcharge),2),ROUND(((1-'F Intl Con Plus Base'!$J$117)*'F Intl Con Plus Base'!J67)*(1+International_Fuel_Surcharge),2)))*(1+FedEx_Markup),2)</f>
        <v>160.01</v>
      </c>
      <c r="K70" s="307">
        <f>ROUND((IF('F Intl Con Plus Base'!$K$120&gt;ROUND(((1-'F Intl Con Plus Base'!$K$117)*'F Intl Con Plus Base'!K67),2),ROUND('F Intl Con Plus Base'!$K$120*(1+International_Fuel_Surcharge),2),ROUND(((1-'F Intl Con Plus Base'!$K$117)*'F Intl Con Plus Base'!K67)*(1+International_Fuel_Surcharge),2)))*(1+FedEx_Markup),2)</f>
        <v>341.91</v>
      </c>
      <c r="L70" s="307">
        <f>ROUND((IF('F Intl Con Plus Base'!$L$120&gt;ROUND(((1-'F Intl Con Plus Base'!$L$117)*'F Intl Con Plus Base'!L67),2),ROUND('F Intl Con Plus Base'!$L$120*(1+International_Fuel_Surcharge),2),ROUND(((1-'F Intl Con Plus Base'!$L$117)*'F Intl Con Plus Base'!L67)*(1+International_Fuel_Surcharge),2)))*(1+FedEx_Markup),2)</f>
        <v>285.89999999999998</v>
      </c>
      <c r="M70" s="307">
        <f>ROUND((IF('F Intl Con Plus Base'!$M$120&gt;ROUND(((1-'F Intl Con Plus Base'!$M$117)*'F Intl Con Plus Base'!M67),2),ROUND('F Intl Con Plus Base'!$M$120*(1+International_Fuel_Surcharge),2),ROUND(((1-'F Intl Con Plus Base'!$M$117)*'F Intl Con Plus Base'!M67)*(1+International_Fuel_Surcharge),2)))*(1+FedEx_Markup),2)</f>
        <v>364.16</v>
      </c>
      <c r="N70" s="307">
        <f>ROUND((IF('F Intl Con Plus Base'!$N$120&gt;ROUND(((1-'F Intl Con Plus Base'!$N$117)*'F Intl Con Plus Base'!N67),2),ROUND('F Intl Con Plus Base'!$N$120*(1+International_Fuel_Surcharge),2),ROUND(((1-'F Intl Con Plus Base'!$N$117)*'F Intl Con Plus Base'!N67)*(1+International_Fuel_Surcharge),2)))*(1+FedEx_Markup),2)</f>
        <v>369.09</v>
      </c>
      <c r="O70" s="307">
        <f>ROUND((IF('F Intl Con Plus Base'!$O$120&gt;ROUND(((1-'F Intl Con Plus Base'!$O$117)*'F Intl Con Plus Base'!O67),2),ROUND('F Intl Con Plus Base'!$O$120*(1+International_Fuel_Surcharge),2),ROUND(((1-'F Intl Con Plus Base'!$O$117)*'F Intl Con Plus Base'!O67)*(1+International_Fuel_Surcharge),2)))*(1+FedEx_Markup),2)</f>
        <v>275.44</v>
      </c>
      <c r="P70" s="307">
        <f>ROUND((IF('F Intl Con Plus Base'!$P$120&gt;ROUND(((1-'F Intl Con Plus Base'!$P$117)*'F Intl Con Plus Base'!P67),2),ROUND('F Intl Con Plus Base'!$P$120*(1+International_Fuel_Surcharge),2),ROUND(((1-'F Intl Con Plus Base'!$P$117)*'F Intl Con Plus Base'!P67)*(1+International_Fuel_Surcharge),2)))*(1+FedEx_Markup),2)</f>
        <v>295.27</v>
      </c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2.75" customHeight="1">
      <c r="A71" s="306">
        <v>66</v>
      </c>
      <c r="B71" s="307">
        <f>ROUND((IF('F Intl Con Plus Base'!$B$120&gt;ROUND(((1-'F Intl Con Plus Base'!$B$117)*'F Intl Con Plus Base'!B68),2),ROUND('F Intl Con Plus Base'!$B$120*(1+International_Fuel_Surcharge),2),ROUND(((1-'F Intl Con Plus Base'!$B$117)*'F Intl Con Plus Base'!B68)*(1+International_Fuel_Surcharge),2)))*(1+FedEx_Markup),2)</f>
        <v>156.38</v>
      </c>
      <c r="C71" s="307">
        <f>ROUND((IF('F Intl Con Plus Base'!$C$120&gt;ROUND(((1-'F Intl Con Plus Base'!$C$117)*'F Intl Con Plus Base'!C68),2),ROUND('F Intl Con Plus Base'!$C$120*(1+International_Fuel_Surcharge),2),ROUND(((1-'F Intl Con Plus Base'!$C$117)*'F Intl Con Plus Base'!C68)*(1+International_Fuel_Surcharge),2)))*(1+FedEx_Markup),2)</f>
        <v>172.29</v>
      </c>
      <c r="D71" s="307">
        <f>ROUND((IF('F Intl Con Plus Base'!$D$120&gt;ROUND(((1-'F Intl Con Plus Base'!$D$117)*'F Intl Con Plus Base'!D68),2),ROUND('F Intl Con Plus Base'!$D$120*(1+International_Fuel_Surcharge),2),ROUND(((1-'F Intl Con Plus Base'!$D$117)*'F Intl Con Plus Base'!D68)*(1+International_Fuel_Surcharge),2)))*(1+FedEx_Markup),2)</f>
        <v>112.47</v>
      </c>
      <c r="E71" s="307">
        <f>ROUND((IF('F Intl Con Plus Base'!$E$120&gt;ROUND(((1-'F Intl Con Plus Base'!$E$117)*'F Intl Con Plus Base'!E68),2),ROUND('F Intl Con Plus Base'!$E$120*(1+International_Fuel_Surcharge),2),ROUND(((1-'F Intl Con Plus Base'!$E$117)*'F Intl Con Plus Base'!E68)*(1+International_Fuel_Surcharge),2)))*(1+FedEx_Markup),2)</f>
        <v>199.09</v>
      </c>
      <c r="F71" s="307">
        <f>ROUND((IF('F Intl Con Plus Base'!$F$120&gt;ROUND(((1-'F Intl Con Plus Base'!$F$117)*'F Intl Con Plus Base'!F68),2),ROUND('F Intl Con Plus Base'!$F$120*(1+International_Fuel_Surcharge),2),ROUND(((1-'F Intl Con Plus Base'!$F$117)*'F Intl Con Plus Base'!F68)*(1+International_Fuel_Surcharge),2)))*(1+FedEx_Markup),2)</f>
        <v>420.81</v>
      </c>
      <c r="G71" s="307">
        <f>ROUND((IF('F Intl Con Plus Base'!$G$120&gt;ROUND(((1-'F Intl Con Plus Base'!$G$117)*'F Intl Con Plus Base'!G68),2),ROUND('F Intl Con Plus Base'!$G$120*(1+International_Fuel_Surcharge),2),ROUND(((1-'F Intl Con Plus Base'!$G$117)*'F Intl Con Plus Base'!G68)*(1+International_Fuel_Surcharge),2)))*(1+FedEx_Markup),2)</f>
        <v>229.41</v>
      </c>
      <c r="H71" s="307">
        <f>ROUND((IF('F Intl Con Plus Base'!$H$120&gt;ROUND(((1-'F Intl Con Plus Base'!$H$117)*'F Intl Con Plus Base'!H68),2),ROUND('F Intl Con Plus Base'!$H$120*(1+International_Fuel_Surcharge),2),ROUND(((1-'F Intl Con Plus Base'!$H$117)*'F Intl Con Plus Base'!H68)*(1+International_Fuel_Surcharge),2)))*(1+FedEx_Markup),2)</f>
        <v>233.22</v>
      </c>
      <c r="I71" s="307">
        <f>ROUND((IF('F Intl Con Plus Base'!$I$120&gt;ROUND(((1-'F Intl Con Plus Base'!$I$117)*'F Intl Con Plus Base'!I68),2),ROUND('F Intl Con Plus Base'!$I$120*(1+International_Fuel_Surcharge),2),ROUND(((1-'F Intl Con Plus Base'!$I$117)*'F Intl Con Plus Base'!I68)*(1+International_Fuel_Surcharge),2)))*(1+FedEx_Markup),2)</f>
        <v>277.18</v>
      </c>
      <c r="J71" s="307">
        <f>ROUND((IF('F Intl Con Plus Base'!$J$120&gt;ROUND(((1-'F Intl Con Plus Base'!$J$117)*'F Intl Con Plus Base'!J68),2),ROUND('F Intl Con Plus Base'!$J$120*(1+International_Fuel_Surcharge),2),ROUND(((1-'F Intl Con Plus Base'!$J$117)*'F Intl Con Plus Base'!J68)*(1+International_Fuel_Surcharge),2)))*(1+FedEx_Markup),2)</f>
        <v>162.86000000000001</v>
      </c>
      <c r="K71" s="307">
        <f>ROUND((IF('F Intl Con Plus Base'!$K$120&gt;ROUND(((1-'F Intl Con Plus Base'!$K$117)*'F Intl Con Plus Base'!K68),2),ROUND('F Intl Con Plus Base'!$K$120*(1+International_Fuel_Surcharge),2),ROUND(((1-'F Intl Con Plus Base'!$K$117)*'F Intl Con Plus Base'!K68)*(1+International_Fuel_Surcharge),2)))*(1+FedEx_Markup),2)</f>
        <v>343.08</v>
      </c>
      <c r="L71" s="307">
        <f>ROUND((IF('F Intl Con Plus Base'!$L$120&gt;ROUND(((1-'F Intl Con Plus Base'!$L$117)*'F Intl Con Plus Base'!L68),2),ROUND('F Intl Con Plus Base'!$L$120*(1+International_Fuel_Surcharge),2),ROUND(((1-'F Intl Con Plus Base'!$L$117)*'F Intl Con Plus Base'!L68)*(1+International_Fuel_Surcharge),2)))*(1+FedEx_Markup),2)</f>
        <v>286.35000000000002</v>
      </c>
      <c r="M71" s="307">
        <f>ROUND((IF('F Intl Con Plus Base'!$M$120&gt;ROUND(((1-'F Intl Con Plus Base'!$M$117)*'F Intl Con Plus Base'!M68),2),ROUND('F Intl Con Plus Base'!$M$120*(1+International_Fuel_Surcharge),2),ROUND(((1-'F Intl Con Plus Base'!$M$117)*'F Intl Con Plus Base'!M68)*(1+International_Fuel_Surcharge),2)))*(1+FedEx_Markup),2)</f>
        <v>366</v>
      </c>
      <c r="N71" s="307">
        <f>ROUND((IF('F Intl Con Plus Base'!$N$120&gt;ROUND(((1-'F Intl Con Plus Base'!$N$117)*'F Intl Con Plus Base'!N68),2),ROUND('F Intl Con Plus Base'!$N$120*(1+International_Fuel_Surcharge),2),ROUND(((1-'F Intl Con Plus Base'!$N$117)*'F Intl Con Plus Base'!N68)*(1+International_Fuel_Surcharge),2)))*(1+FedEx_Markup),2)</f>
        <v>384.48</v>
      </c>
      <c r="O71" s="307">
        <f>ROUND((IF('F Intl Con Plus Base'!$O$120&gt;ROUND(((1-'F Intl Con Plus Base'!$O$117)*'F Intl Con Plus Base'!O68),2),ROUND('F Intl Con Plus Base'!$O$120*(1+International_Fuel_Surcharge),2),ROUND(((1-'F Intl Con Plus Base'!$O$117)*'F Intl Con Plus Base'!O68)*(1+International_Fuel_Surcharge),2)))*(1+FedEx_Markup),2)</f>
        <v>275.69</v>
      </c>
      <c r="P71" s="307">
        <f>ROUND((IF('F Intl Con Plus Base'!$P$120&gt;ROUND(((1-'F Intl Con Plus Base'!$P$117)*'F Intl Con Plus Base'!P68),2),ROUND('F Intl Con Plus Base'!$P$120*(1+International_Fuel_Surcharge),2),ROUND(((1-'F Intl Con Plus Base'!$P$117)*'F Intl Con Plus Base'!P68)*(1+International_Fuel_Surcharge),2)))*(1+FedEx_Markup),2)</f>
        <v>295.63</v>
      </c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2.75" customHeight="1">
      <c r="A72" s="306">
        <v>67</v>
      </c>
      <c r="B72" s="307">
        <f>ROUND((IF('F Intl Con Plus Base'!$B$120&gt;ROUND(((1-'F Intl Con Plus Base'!$B$117)*'F Intl Con Plus Base'!B69),2),ROUND('F Intl Con Plus Base'!$B$120*(1+International_Fuel_Surcharge),2),ROUND(((1-'F Intl Con Plus Base'!$B$117)*'F Intl Con Plus Base'!B69)*(1+International_Fuel_Surcharge),2)))*(1+FedEx_Markup),2)</f>
        <v>156.46</v>
      </c>
      <c r="C72" s="307">
        <f>ROUND((IF('F Intl Con Plus Base'!$C$120&gt;ROUND(((1-'F Intl Con Plus Base'!$C$117)*'F Intl Con Plus Base'!C69),2),ROUND('F Intl Con Plus Base'!$C$120*(1+International_Fuel_Surcharge),2),ROUND(((1-'F Intl Con Plus Base'!$C$117)*'F Intl Con Plus Base'!C69)*(1+International_Fuel_Surcharge),2)))*(1+FedEx_Markup),2)</f>
        <v>175.13</v>
      </c>
      <c r="D72" s="307">
        <f>ROUND((IF('F Intl Con Plus Base'!$D$120&gt;ROUND(((1-'F Intl Con Plus Base'!$D$117)*'F Intl Con Plus Base'!D69),2),ROUND('F Intl Con Plus Base'!$D$120*(1+International_Fuel_Surcharge),2),ROUND(((1-'F Intl Con Plus Base'!$D$117)*'F Intl Con Plus Base'!D69)*(1+International_Fuel_Surcharge),2)))*(1+FedEx_Markup),2)</f>
        <v>112.99</v>
      </c>
      <c r="E72" s="307">
        <f>ROUND((IF('F Intl Con Plus Base'!$E$120&gt;ROUND(((1-'F Intl Con Plus Base'!$E$117)*'F Intl Con Plus Base'!E69),2),ROUND('F Intl Con Plus Base'!$E$120*(1+International_Fuel_Surcharge),2),ROUND(((1-'F Intl Con Plus Base'!$E$117)*'F Intl Con Plus Base'!E69)*(1+International_Fuel_Surcharge),2)))*(1+FedEx_Markup),2)</f>
        <v>199.5</v>
      </c>
      <c r="F72" s="307">
        <f>ROUND((IF('F Intl Con Plus Base'!$F$120&gt;ROUND(((1-'F Intl Con Plus Base'!$F$117)*'F Intl Con Plus Base'!F69),2),ROUND('F Intl Con Plus Base'!$F$120*(1+International_Fuel_Surcharge),2),ROUND(((1-'F Intl Con Plus Base'!$F$117)*'F Intl Con Plus Base'!F69)*(1+International_Fuel_Surcharge),2)))*(1+FedEx_Markup),2)</f>
        <v>420.87</v>
      </c>
      <c r="G72" s="307">
        <f>ROUND((IF('F Intl Con Plus Base'!$G$120&gt;ROUND(((1-'F Intl Con Plus Base'!$G$117)*'F Intl Con Plus Base'!G69),2),ROUND('F Intl Con Plus Base'!$G$120*(1+International_Fuel_Surcharge),2),ROUND(((1-'F Intl Con Plus Base'!$G$117)*'F Intl Con Plus Base'!G69)*(1+International_Fuel_Surcharge),2)))*(1+FedEx_Markup),2)</f>
        <v>229.57</v>
      </c>
      <c r="H72" s="307">
        <f>ROUND((IF('F Intl Con Plus Base'!$H$120&gt;ROUND(((1-'F Intl Con Plus Base'!$H$117)*'F Intl Con Plus Base'!H69),2),ROUND('F Intl Con Plus Base'!$H$120*(1+International_Fuel_Surcharge),2),ROUND(((1-'F Intl Con Plus Base'!$H$117)*'F Intl Con Plus Base'!H69)*(1+International_Fuel_Surcharge),2)))*(1+FedEx_Markup),2)</f>
        <v>234.93</v>
      </c>
      <c r="I72" s="307">
        <f>ROUND((IF('F Intl Con Plus Base'!$I$120&gt;ROUND(((1-'F Intl Con Plus Base'!$I$117)*'F Intl Con Plus Base'!I69),2),ROUND('F Intl Con Plus Base'!$I$120*(1+International_Fuel_Surcharge),2),ROUND(((1-'F Intl Con Plus Base'!$I$117)*'F Intl Con Plus Base'!I69)*(1+International_Fuel_Surcharge),2)))*(1+FedEx_Markup),2)</f>
        <v>277.73</v>
      </c>
      <c r="J72" s="307">
        <f>ROUND((IF('F Intl Con Plus Base'!$J$120&gt;ROUND(((1-'F Intl Con Plus Base'!$J$117)*'F Intl Con Plus Base'!J69),2),ROUND('F Intl Con Plus Base'!$J$120*(1+International_Fuel_Surcharge),2),ROUND(((1-'F Intl Con Plus Base'!$J$117)*'F Intl Con Plus Base'!J69)*(1+International_Fuel_Surcharge),2)))*(1+FedEx_Markup),2)</f>
        <v>163.15</v>
      </c>
      <c r="K72" s="307">
        <f>ROUND((IF('F Intl Con Plus Base'!$K$120&gt;ROUND(((1-'F Intl Con Plus Base'!$K$117)*'F Intl Con Plus Base'!K69),2),ROUND('F Intl Con Plus Base'!$K$120*(1+International_Fuel_Surcharge),2),ROUND(((1-'F Intl Con Plus Base'!$K$117)*'F Intl Con Plus Base'!K69)*(1+International_Fuel_Surcharge),2)))*(1+FedEx_Markup),2)</f>
        <v>344.26</v>
      </c>
      <c r="L72" s="307">
        <f>ROUND((IF('F Intl Con Plus Base'!$L$120&gt;ROUND(((1-'F Intl Con Plus Base'!$L$117)*'F Intl Con Plus Base'!L69),2),ROUND('F Intl Con Plus Base'!$L$120*(1+International_Fuel_Surcharge),2),ROUND(((1-'F Intl Con Plus Base'!$L$117)*'F Intl Con Plus Base'!L69)*(1+International_Fuel_Surcharge),2)))*(1+FedEx_Markup),2)</f>
        <v>291.17</v>
      </c>
      <c r="M72" s="307">
        <f>ROUND((IF('F Intl Con Plus Base'!$M$120&gt;ROUND(((1-'F Intl Con Plus Base'!$M$117)*'F Intl Con Plus Base'!M69),2),ROUND('F Intl Con Plus Base'!$M$120*(1+International_Fuel_Surcharge),2),ROUND(((1-'F Intl Con Plus Base'!$M$117)*'F Intl Con Plus Base'!M69)*(1+International_Fuel_Surcharge),2)))*(1+FedEx_Markup),2)</f>
        <v>366.94</v>
      </c>
      <c r="N72" s="307">
        <f>ROUND((IF('F Intl Con Plus Base'!$N$120&gt;ROUND(((1-'F Intl Con Plus Base'!$N$117)*'F Intl Con Plus Base'!N69),2),ROUND('F Intl Con Plus Base'!$N$120*(1+International_Fuel_Surcharge),2),ROUND(((1-'F Intl Con Plus Base'!$N$117)*'F Intl Con Plus Base'!N69)*(1+International_Fuel_Surcharge),2)))*(1+FedEx_Markup),2)</f>
        <v>386.02</v>
      </c>
      <c r="O72" s="307">
        <f>ROUND((IF('F Intl Con Plus Base'!$O$120&gt;ROUND(((1-'F Intl Con Plus Base'!$O$117)*'F Intl Con Plus Base'!O69),2),ROUND('F Intl Con Plus Base'!$O$120*(1+International_Fuel_Surcharge),2),ROUND(((1-'F Intl Con Plus Base'!$O$117)*'F Intl Con Plus Base'!O69)*(1+International_Fuel_Surcharge),2)))*(1+FedEx_Markup),2)</f>
        <v>275.75</v>
      </c>
      <c r="P72" s="307">
        <f>ROUND((IF('F Intl Con Plus Base'!$P$120&gt;ROUND(((1-'F Intl Con Plus Base'!$P$117)*'F Intl Con Plus Base'!P69),2),ROUND('F Intl Con Plus Base'!$P$120*(1+International_Fuel_Surcharge),2),ROUND(((1-'F Intl Con Plus Base'!$P$117)*'F Intl Con Plus Base'!P69)*(1+International_Fuel_Surcharge),2)))*(1+FedEx_Markup),2)</f>
        <v>295.73</v>
      </c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2.75" customHeight="1">
      <c r="A73" s="306">
        <v>68</v>
      </c>
      <c r="B73" s="307">
        <f>ROUND((IF('F Intl Con Plus Base'!$B$120&gt;ROUND(((1-'F Intl Con Plus Base'!$B$117)*'F Intl Con Plus Base'!B70),2),ROUND('F Intl Con Plus Base'!$B$120*(1+International_Fuel_Surcharge),2),ROUND(((1-'F Intl Con Plus Base'!$B$117)*'F Intl Con Plus Base'!B70)*(1+International_Fuel_Surcharge),2)))*(1+FedEx_Markup),2)</f>
        <v>157.63999999999999</v>
      </c>
      <c r="C73" s="307">
        <f>ROUND((IF('F Intl Con Plus Base'!$C$120&gt;ROUND(((1-'F Intl Con Plus Base'!$C$117)*'F Intl Con Plus Base'!C70),2),ROUND('F Intl Con Plus Base'!$C$120*(1+International_Fuel_Surcharge),2),ROUND(((1-'F Intl Con Plus Base'!$C$117)*'F Intl Con Plus Base'!C70)*(1+International_Fuel_Surcharge),2)))*(1+FedEx_Markup),2)</f>
        <v>175.43</v>
      </c>
      <c r="D73" s="307">
        <f>ROUND((IF('F Intl Con Plus Base'!$D$120&gt;ROUND(((1-'F Intl Con Plus Base'!$D$117)*'F Intl Con Plus Base'!D70),2),ROUND('F Intl Con Plus Base'!$D$120*(1+International_Fuel_Surcharge),2),ROUND(((1-'F Intl Con Plus Base'!$D$117)*'F Intl Con Plus Base'!D70)*(1+International_Fuel_Surcharge),2)))*(1+FedEx_Markup),2)</f>
        <v>113.3</v>
      </c>
      <c r="E73" s="307">
        <f>ROUND((IF('F Intl Con Plus Base'!$E$120&gt;ROUND(((1-'F Intl Con Plus Base'!$E$117)*'F Intl Con Plus Base'!E70),2),ROUND('F Intl Con Plus Base'!$E$120*(1+International_Fuel_Surcharge),2),ROUND(((1-'F Intl Con Plus Base'!$E$117)*'F Intl Con Plus Base'!E70)*(1+International_Fuel_Surcharge),2)))*(1+FedEx_Markup),2)</f>
        <v>207.51</v>
      </c>
      <c r="F73" s="307">
        <f>ROUND((IF('F Intl Con Plus Base'!$F$120&gt;ROUND(((1-'F Intl Con Plus Base'!$F$117)*'F Intl Con Plus Base'!F70),2),ROUND('F Intl Con Plus Base'!$F$120*(1+International_Fuel_Surcharge),2),ROUND(((1-'F Intl Con Plus Base'!$F$117)*'F Intl Con Plus Base'!F70)*(1+International_Fuel_Surcharge),2)))*(1+FedEx_Markup),2)</f>
        <v>420.92</v>
      </c>
      <c r="G73" s="307">
        <f>ROUND((IF('F Intl Con Plus Base'!$G$120&gt;ROUND(((1-'F Intl Con Plus Base'!$G$117)*'F Intl Con Plus Base'!G70),2),ROUND('F Intl Con Plus Base'!$G$120*(1+International_Fuel_Surcharge),2),ROUND(((1-'F Intl Con Plus Base'!$G$117)*'F Intl Con Plus Base'!G70)*(1+International_Fuel_Surcharge),2)))*(1+FedEx_Markup),2)</f>
        <v>230.33</v>
      </c>
      <c r="H73" s="307">
        <f>ROUND((IF('F Intl Con Plus Base'!$H$120&gt;ROUND(((1-'F Intl Con Plus Base'!$H$117)*'F Intl Con Plus Base'!H70),2),ROUND('F Intl Con Plus Base'!$H$120*(1+International_Fuel_Surcharge),2),ROUND(((1-'F Intl Con Plus Base'!$H$117)*'F Intl Con Plus Base'!H70)*(1+International_Fuel_Surcharge),2)))*(1+FedEx_Markup),2)</f>
        <v>236.64</v>
      </c>
      <c r="I73" s="307">
        <f>ROUND((IF('F Intl Con Plus Base'!$I$120&gt;ROUND(((1-'F Intl Con Plus Base'!$I$117)*'F Intl Con Plus Base'!I70),2),ROUND('F Intl Con Plus Base'!$I$120*(1+International_Fuel_Surcharge),2),ROUND(((1-'F Intl Con Plus Base'!$I$117)*'F Intl Con Plus Base'!I70)*(1+International_Fuel_Surcharge),2)))*(1+FedEx_Markup),2)</f>
        <v>277.77999999999997</v>
      </c>
      <c r="J73" s="307">
        <f>ROUND((IF('F Intl Con Plus Base'!$J$120&gt;ROUND(((1-'F Intl Con Plus Base'!$J$117)*'F Intl Con Plus Base'!J70),2),ROUND('F Intl Con Plus Base'!$J$120*(1+International_Fuel_Surcharge),2),ROUND(((1-'F Intl Con Plus Base'!$J$117)*'F Intl Con Plus Base'!J70)*(1+International_Fuel_Surcharge),2)))*(1+FedEx_Markup),2)</f>
        <v>166.14</v>
      </c>
      <c r="K73" s="307">
        <f>ROUND((IF('F Intl Con Plus Base'!$K$120&gt;ROUND(((1-'F Intl Con Plus Base'!$K$117)*'F Intl Con Plus Base'!K70),2),ROUND('F Intl Con Plus Base'!$K$120*(1+International_Fuel_Surcharge),2),ROUND(((1-'F Intl Con Plus Base'!$K$117)*'F Intl Con Plus Base'!K70)*(1+International_Fuel_Surcharge),2)))*(1+FedEx_Markup),2)</f>
        <v>345.45</v>
      </c>
      <c r="L73" s="307">
        <f>ROUND((IF('F Intl Con Plus Base'!$L$120&gt;ROUND(((1-'F Intl Con Plus Base'!$L$117)*'F Intl Con Plus Base'!L70),2),ROUND('F Intl Con Plus Base'!$L$120*(1+International_Fuel_Surcharge),2),ROUND(((1-'F Intl Con Plus Base'!$L$117)*'F Intl Con Plus Base'!L70)*(1+International_Fuel_Surcharge),2)))*(1+FedEx_Markup),2)</f>
        <v>292.07</v>
      </c>
      <c r="M73" s="307">
        <f>ROUND((IF('F Intl Con Plus Base'!$M$120&gt;ROUND(((1-'F Intl Con Plus Base'!$M$117)*'F Intl Con Plus Base'!M70),2),ROUND('F Intl Con Plus Base'!$M$120*(1+International_Fuel_Surcharge),2),ROUND(((1-'F Intl Con Plus Base'!$M$117)*'F Intl Con Plus Base'!M70)*(1+International_Fuel_Surcharge),2)))*(1+FedEx_Markup),2)</f>
        <v>381.12</v>
      </c>
      <c r="N73" s="307">
        <f>ROUND((IF('F Intl Con Plus Base'!$N$120&gt;ROUND(((1-'F Intl Con Plus Base'!$N$117)*'F Intl Con Plus Base'!N70),2),ROUND('F Intl Con Plus Base'!$N$120*(1+International_Fuel_Surcharge),2),ROUND(((1-'F Intl Con Plus Base'!$N$117)*'F Intl Con Plus Base'!N70)*(1+International_Fuel_Surcharge),2)))*(1+FedEx_Markup),2)</f>
        <v>386.18</v>
      </c>
      <c r="O73" s="307">
        <f>ROUND((IF('F Intl Con Plus Base'!$O$120&gt;ROUND(((1-'F Intl Con Plus Base'!$O$117)*'F Intl Con Plus Base'!O70),2),ROUND('F Intl Con Plus Base'!$O$120*(1+International_Fuel_Surcharge),2),ROUND(((1-'F Intl Con Plus Base'!$O$117)*'F Intl Con Plus Base'!O70)*(1+International_Fuel_Surcharge),2)))*(1+FedEx_Markup),2)</f>
        <v>275.82</v>
      </c>
      <c r="P73" s="307">
        <f>ROUND((IF('F Intl Con Plus Base'!$P$120&gt;ROUND(((1-'F Intl Con Plus Base'!$P$117)*'F Intl Con Plus Base'!P70),2),ROUND('F Intl Con Plus Base'!$P$120*(1+International_Fuel_Surcharge),2),ROUND(((1-'F Intl Con Plus Base'!$P$117)*'F Intl Con Plus Base'!P70)*(1+International_Fuel_Surcharge),2)))*(1+FedEx_Markup),2)</f>
        <v>296.18</v>
      </c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2.75" customHeight="1">
      <c r="A74" s="306">
        <v>69</v>
      </c>
      <c r="B74" s="307">
        <f>ROUND((IF('F Intl Con Plus Base'!$B$120&gt;ROUND(((1-'F Intl Con Plus Base'!$B$117)*'F Intl Con Plus Base'!B71),2),ROUND('F Intl Con Plus Base'!$B$120*(1+International_Fuel_Surcharge),2),ROUND(((1-'F Intl Con Plus Base'!$B$117)*'F Intl Con Plus Base'!B71)*(1+International_Fuel_Surcharge),2)))*(1+FedEx_Markup),2)</f>
        <v>157.76</v>
      </c>
      <c r="C74" s="307">
        <f>ROUND((IF('F Intl Con Plus Base'!$C$120&gt;ROUND(((1-'F Intl Con Plus Base'!$C$117)*'F Intl Con Plus Base'!C71),2),ROUND('F Intl Con Plus Base'!$C$120*(1+International_Fuel_Surcharge),2),ROUND(((1-'F Intl Con Plus Base'!$C$117)*'F Intl Con Plus Base'!C71)*(1+International_Fuel_Surcharge),2)))*(1+FedEx_Markup),2)</f>
        <v>176.7</v>
      </c>
      <c r="D74" s="307">
        <f>ROUND((IF('F Intl Con Plus Base'!$D$120&gt;ROUND(((1-'F Intl Con Plus Base'!$D$117)*'F Intl Con Plus Base'!D71),2),ROUND('F Intl Con Plus Base'!$D$120*(1+International_Fuel_Surcharge),2),ROUND(((1-'F Intl Con Plus Base'!$D$117)*'F Intl Con Plus Base'!D71)*(1+International_Fuel_Surcharge),2)))*(1+FedEx_Markup),2)</f>
        <v>113.39</v>
      </c>
      <c r="E74" s="307">
        <f>ROUND((IF('F Intl Con Plus Base'!$E$120&gt;ROUND(((1-'F Intl Con Plus Base'!$E$117)*'F Intl Con Plus Base'!E71),2),ROUND('F Intl Con Plus Base'!$E$120*(1+International_Fuel_Surcharge),2),ROUND(((1-'F Intl Con Plus Base'!$E$117)*'F Intl Con Plus Base'!E71)*(1+International_Fuel_Surcharge),2)))*(1+FedEx_Markup),2)</f>
        <v>208.31</v>
      </c>
      <c r="F74" s="307">
        <f>ROUND((IF('F Intl Con Plus Base'!$F$120&gt;ROUND(((1-'F Intl Con Plus Base'!$F$117)*'F Intl Con Plus Base'!F71),2),ROUND('F Intl Con Plus Base'!$F$120*(1+International_Fuel_Surcharge),2),ROUND(((1-'F Intl Con Plus Base'!$F$117)*'F Intl Con Plus Base'!F71)*(1+International_Fuel_Surcharge),2)))*(1+FedEx_Markup),2)</f>
        <v>421.03</v>
      </c>
      <c r="G74" s="307">
        <f>ROUND((IF('F Intl Con Plus Base'!$G$120&gt;ROUND(((1-'F Intl Con Plus Base'!$G$117)*'F Intl Con Plus Base'!G71),2),ROUND('F Intl Con Plus Base'!$G$120*(1+International_Fuel_Surcharge),2),ROUND(((1-'F Intl Con Plus Base'!$G$117)*'F Intl Con Plus Base'!G71)*(1+International_Fuel_Surcharge),2)))*(1+FedEx_Markup),2)</f>
        <v>230.41</v>
      </c>
      <c r="H74" s="307">
        <f>ROUND((IF('F Intl Con Plus Base'!$H$120&gt;ROUND(((1-'F Intl Con Plus Base'!$H$117)*'F Intl Con Plus Base'!H71),2),ROUND('F Intl Con Plus Base'!$H$120*(1+International_Fuel_Surcharge),2),ROUND(((1-'F Intl Con Plus Base'!$H$117)*'F Intl Con Plus Base'!H71)*(1+International_Fuel_Surcharge),2)))*(1+FedEx_Markup),2)</f>
        <v>238.35</v>
      </c>
      <c r="I74" s="307">
        <f>ROUND((IF('F Intl Con Plus Base'!$I$120&gt;ROUND(((1-'F Intl Con Plus Base'!$I$117)*'F Intl Con Plus Base'!I71),2),ROUND('F Intl Con Plus Base'!$I$120*(1+International_Fuel_Surcharge),2),ROUND(((1-'F Intl Con Plus Base'!$I$117)*'F Intl Con Plus Base'!I71)*(1+International_Fuel_Surcharge),2)))*(1+FedEx_Markup),2)</f>
        <v>277.86</v>
      </c>
      <c r="J74" s="307">
        <f>ROUND((IF('F Intl Con Plus Base'!$J$120&gt;ROUND(((1-'F Intl Con Plus Base'!$J$117)*'F Intl Con Plus Base'!J71),2),ROUND('F Intl Con Plus Base'!$J$120*(1+International_Fuel_Surcharge),2),ROUND(((1-'F Intl Con Plus Base'!$J$117)*'F Intl Con Plus Base'!J71)*(1+International_Fuel_Surcharge),2)))*(1+FedEx_Markup),2)</f>
        <v>166.45</v>
      </c>
      <c r="K74" s="307">
        <f>ROUND((IF('F Intl Con Plus Base'!$K$120&gt;ROUND(((1-'F Intl Con Plus Base'!$K$117)*'F Intl Con Plus Base'!K71),2),ROUND('F Intl Con Plus Base'!$K$120*(1+International_Fuel_Surcharge),2),ROUND(((1-'F Intl Con Plus Base'!$K$117)*'F Intl Con Plus Base'!K71)*(1+International_Fuel_Surcharge),2)))*(1+FedEx_Markup),2)</f>
        <v>345.62</v>
      </c>
      <c r="L74" s="307">
        <f>ROUND((IF('F Intl Con Plus Base'!$L$120&gt;ROUND(((1-'F Intl Con Plus Base'!$L$117)*'F Intl Con Plus Base'!L71),2),ROUND('F Intl Con Plus Base'!$L$120*(1+International_Fuel_Surcharge),2),ROUND(((1-'F Intl Con Plus Base'!$L$117)*'F Intl Con Plus Base'!L71)*(1+International_Fuel_Surcharge),2)))*(1+FedEx_Markup),2)</f>
        <v>295.11</v>
      </c>
      <c r="M74" s="307">
        <f>ROUND((IF('F Intl Con Plus Base'!$M$120&gt;ROUND(((1-'F Intl Con Plus Base'!$M$117)*'F Intl Con Plus Base'!M71),2),ROUND('F Intl Con Plus Base'!$M$120*(1+International_Fuel_Surcharge),2),ROUND(((1-'F Intl Con Plus Base'!$M$117)*'F Intl Con Plus Base'!M71)*(1+International_Fuel_Surcharge),2)))*(1+FedEx_Markup),2)</f>
        <v>382.54</v>
      </c>
      <c r="N74" s="307">
        <f>ROUND((IF('F Intl Con Plus Base'!$N$120&gt;ROUND(((1-'F Intl Con Plus Base'!$N$117)*'F Intl Con Plus Base'!N71),2),ROUND('F Intl Con Plus Base'!$N$120*(1+International_Fuel_Surcharge),2),ROUND(((1-'F Intl Con Plus Base'!$N$117)*'F Intl Con Plus Base'!N71)*(1+International_Fuel_Surcharge),2)))*(1+FedEx_Markup),2)</f>
        <v>386.29</v>
      </c>
      <c r="O74" s="307">
        <f>ROUND((IF('F Intl Con Plus Base'!$O$120&gt;ROUND(((1-'F Intl Con Plus Base'!$O$117)*'F Intl Con Plus Base'!O71),2),ROUND('F Intl Con Plus Base'!$O$120*(1+International_Fuel_Surcharge),2),ROUND(((1-'F Intl Con Plus Base'!$O$117)*'F Intl Con Plus Base'!O71)*(1+International_Fuel_Surcharge),2)))*(1+FedEx_Markup),2)</f>
        <v>275.89</v>
      </c>
      <c r="P74" s="307">
        <f>ROUND((IF('F Intl Con Plus Base'!$P$120&gt;ROUND(((1-'F Intl Con Plus Base'!$P$117)*'F Intl Con Plus Base'!P71),2),ROUND('F Intl Con Plus Base'!$P$120*(1+International_Fuel_Surcharge),2),ROUND(((1-'F Intl Con Plus Base'!$P$117)*'F Intl Con Plus Base'!P71)*(1+International_Fuel_Surcharge),2)))*(1+FedEx_Markup),2)</f>
        <v>305.22000000000003</v>
      </c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2.75" customHeight="1">
      <c r="A75" s="306">
        <v>70</v>
      </c>
      <c r="B75" s="307">
        <f>ROUND((IF('F Intl Con Plus Base'!$B$120&gt;ROUND(((1-'F Intl Con Plus Base'!$B$117)*'F Intl Con Plus Base'!B72),2),ROUND('F Intl Con Plus Base'!$B$120*(1+International_Fuel_Surcharge),2),ROUND(((1-'F Intl Con Plus Base'!$B$117)*'F Intl Con Plus Base'!B72)*(1+International_Fuel_Surcharge),2)))*(1+FedEx_Markup),2)</f>
        <v>158.63999999999999</v>
      </c>
      <c r="C75" s="307">
        <f>ROUND((IF('F Intl Con Plus Base'!$C$120&gt;ROUND(((1-'F Intl Con Plus Base'!$C$117)*'F Intl Con Plus Base'!C72),2),ROUND('F Intl Con Plus Base'!$C$120*(1+International_Fuel_Surcharge),2),ROUND(((1-'F Intl Con Plus Base'!$C$117)*'F Intl Con Plus Base'!C72)*(1+International_Fuel_Surcharge),2)))*(1+FedEx_Markup),2)</f>
        <v>177.58</v>
      </c>
      <c r="D75" s="307">
        <f>ROUND((IF('F Intl Con Plus Base'!$D$120&gt;ROUND(((1-'F Intl Con Plus Base'!$D$117)*'F Intl Con Plus Base'!D72),2),ROUND('F Intl Con Plus Base'!$D$120*(1+International_Fuel_Surcharge),2),ROUND(((1-'F Intl Con Plus Base'!$D$117)*'F Intl Con Plus Base'!D72)*(1+International_Fuel_Surcharge),2)))*(1+FedEx_Markup),2)</f>
        <v>115.16</v>
      </c>
      <c r="E75" s="307">
        <f>ROUND((IF('F Intl Con Plus Base'!$E$120&gt;ROUND(((1-'F Intl Con Plus Base'!$E$117)*'F Intl Con Plus Base'!E72),2),ROUND('F Intl Con Plus Base'!$E$120*(1+International_Fuel_Surcharge),2),ROUND(((1-'F Intl Con Plus Base'!$E$117)*'F Intl Con Plus Base'!E72)*(1+International_Fuel_Surcharge),2)))*(1+FedEx_Markup),2)</f>
        <v>212.23</v>
      </c>
      <c r="F75" s="307">
        <f>ROUND((IF('F Intl Con Plus Base'!$F$120&gt;ROUND(((1-'F Intl Con Plus Base'!$F$117)*'F Intl Con Plus Base'!F72),2),ROUND('F Intl Con Plus Base'!$F$120*(1+International_Fuel_Surcharge),2),ROUND(((1-'F Intl Con Plus Base'!$F$117)*'F Intl Con Plus Base'!F72)*(1+International_Fuel_Surcharge),2)))*(1+FedEx_Markup),2)</f>
        <v>423.17</v>
      </c>
      <c r="G75" s="307">
        <f>ROUND((IF('F Intl Con Plus Base'!$G$120&gt;ROUND(((1-'F Intl Con Plus Base'!$G$117)*'F Intl Con Plus Base'!G72),2),ROUND('F Intl Con Plus Base'!$G$120*(1+International_Fuel_Surcharge),2),ROUND(((1-'F Intl Con Plus Base'!$G$117)*'F Intl Con Plus Base'!G72)*(1+International_Fuel_Surcharge),2)))*(1+FedEx_Markup),2)</f>
        <v>232.02</v>
      </c>
      <c r="H75" s="307">
        <f>ROUND((IF('F Intl Con Plus Base'!$H$120&gt;ROUND(((1-'F Intl Con Plus Base'!$H$117)*'F Intl Con Plus Base'!H72),2),ROUND('F Intl Con Plus Base'!$H$120*(1+International_Fuel_Surcharge),2),ROUND(((1-'F Intl Con Plus Base'!$H$117)*'F Intl Con Plus Base'!H72)*(1+International_Fuel_Surcharge),2)))*(1+FedEx_Markup),2)</f>
        <v>240.06</v>
      </c>
      <c r="I75" s="307">
        <f>ROUND((IF('F Intl Con Plus Base'!$I$120&gt;ROUND(((1-'F Intl Con Plus Base'!$I$117)*'F Intl Con Plus Base'!I72),2),ROUND('F Intl Con Plus Base'!$I$120*(1+International_Fuel_Surcharge),2),ROUND(((1-'F Intl Con Plus Base'!$I$117)*'F Intl Con Plus Base'!I72)*(1+International_Fuel_Surcharge),2)))*(1+FedEx_Markup),2)</f>
        <v>279.27</v>
      </c>
      <c r="J75" s="307">
        <f>ROUND((IF('F Intl Con Plus Base'!$J$120&gt;ROUND(((1-'F Intl Con Plus Base'!$J$117)*'F Intl Con Plus Base'!J72),2),ROUND('F Intl Con Plus Base'!$J$120*(1+International_Fuel_Surcharge),2),ROUND(((1-'F Intl Con Plus Base'!$J$117)*'F Intl Con Plus Base'!J72)*(1+International_Fuel_Surcharge),2)))*(1+FedEx_Markup),2)</f>
        <v>168.08</v>
      </c>
      <c r="K75" s="307">
        <f>ROUND((IF('F Intl Con Plus Base'!$K$120&gt;ROUND(((1-'F Intl Con Plus Base'!$K$117)*'F Intl Con Plus Base'!K72),2),ROUND('F Intl Con Plus Base'!$K$120*(1+International_Fuel_Surcharge),2),ROUND(((1-'F Intl Con Plus Base'!$K$117)*'F Intl Con Plus Base'!K72)*(1+International_Fuel_Surcharge),2)))*(1+FedEx_Markup),2)</f>
        <v>347.36</v>
      </c>
      <c r="L75" s="307">
        <f>ROUND((IF('F Intl Con Plus Base'!$L$120&gt;ROUND(((1-'F Intl Con Plus Base'!$L$117)*'F Intl Con Plus Base'!L72),2),ROUND('F Intl Con Plus Base'!$L$120*(1+International_Fuel_Surcharge),2),ROUND(((1-'F Intl Con Plus Base'!$L$117)*'F Intl Con Plus Base'!L72)*(1+International_Fuel_Surcharge),2)))*(1+FedEx_Markup),2)</f>
        <v>301.43</v>
      </c>
      <c r="M75" s="307">
        <f>ROUND((IF('F Intl Con Plus Base'!$M$120&gt;ROUND(((1-'F Intl Con Plus Base'!$M$117)*'F Intl Con Plus Base'!M72),2),ROUND('F Intl Con Plus Base'!$M$120*(1+International_Fuel_Surcharge),2),ROUND(((1-'F Intl Con Plus Base'!$M$117)*'F Intl Con Plus Base'!M72)*(1+International_Fuel_Surcharge),2)))*(1+FedEx_Markup),2)</f>
        <v>384.47</v>
      </c>
      <c r="N75" s="307">
        <f>ROUND((IF('F Intl Con Plus Base'!$N$120&gt;ROUND(((1-'F Intl Con Plus Base'!$N$117)*'F Intl Con Plus Base'!N72),2),ROUND('F Intl Con Plus Base'!$N$120*(1+International_Fuel_Surcharge),2),ROUND(((1-'F Intl Con Plus Base'!$N$117)*'F Intl Con Plus Base'!N72)*(1+International_Fuel_Surcharge),2)))*(1+FedEx_Markup),2)</f>
        <v>388.32</v>
      </c>
      <c r="O75" s="307">
        <f>ROUND((IF('F Intl Con Plus Base'!$O$120&gt;ROUND(((1-'F Intl Con Plus Base'!$O$117)*'F Intl Con Plus Base'!O72),2),ROUND('F Intl Con Plus Base'!$O$120*(1+International_Fuel_Surcharge),2),ROUND(((1-'F Intl Con Plus Base'!$O$117)*'F Intl Con Plus Base'!O72)*(1+International_Fuel_Surcharge),2)))*(1+FedEx_Markup),2)</f>
        <v>277.3</v>
      </c>
      <c r="P75" s="307">
        <f>ROUND((IF('F Intl Con Plus Base'!$P$120&gt;ROUND(((1-'F Intl Con Plus Base'!$P$117)*'F Intl Con Plus Base'!P72),2),ROUND('F Intl Con Plus Base'!$P$120*(1+International_Fuel_Surcharge),2),ROUND(((1-'F Intl Con Plus Base'!$P$117)*'F Intl Con Plus Base'!P72)*(1+International_Fuel_Surcharge),2)))*(1+FedEx_Markup),2)</f>
        <v>318.56</v>
      </c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2.75" customHeight="1">
      <c r="A76" s="306">
        <v>71</v>
      </c>
      <c r="B76" s="307">
        <f>ROUND((IF('F Intl Con Plus Base'!$B$120&gt;ROUND(((1-'F Intl Con Plus Base'!$B$117)*'F Intl Con Plus Base'!B73),2),ROUND('F Intl Con Plus Base'!$B$120*(1+International_Fuel_Surcharge),2),ROUND(((1-'F Intl Con Plus Base'!$B$117)*'F Intl Con Plus Base'!B73)*(1+International_Fuel_Surcharge),2)))*(1+FedEx_Markup),2)</f>
        <v>176.35</v>
      </c>
      <c r="C76" s="307">
        <f>ROUND((IF('F Intl Con Plus Base'!$C$120&gt;ROUND(((1-'F Intl Con Plus Base'!$C$117)*'F Intl Con Plus Base'!C73),2),ROUND('F Intl Con Plus Base'!$C$120*(1+International_Fuel_Surcharge),2),ROUND(((1-'F Intl Con Plus Base'!$C$117)*'F Intl Con Plus Base'!C73)*(1+International_Fuel_Surcharge),2)))*(1+FedEx_Markup),2)</f>
        <v>195.44</v>
      </c>
      <c r="D76" s="307">
        <f>ROUND((IF('F Intl Con Plus Base'!$D$120&gt;ROUND(((1-'F Intl Con Plus Base'!$D$117)*'F Intl Con Plus Base'!D73),2),ROUND('F Intl Con Plus Base'!$D$120*(1+International_Fuel_Surcharge),2),ROUND(((1-'F Intl Con Plus Base'!$D$117)*'F Intl Con Plus Base'!D73)*(1+International_Fuel_Surcharge),2)))*(1+FedEx_Markup),2)</f>
        <v>129.38999999999999</v>
      </c>
      <c r="E76" s="307">
        <f>ROUND((IF('F Intl Con Plus Base'!$E$120&gt;ROUND(((1-'F Intl Con Plus Base'!$E$117)*'F Intl Con Plus Base'!E73),2),ROUND('F Intl Con Plus Base'!$E$120*(1+International_Fuel_Surcharge),2),ROUND(((1-'F Intl Con Plus Base'!$E$117)*'F Intl Con Plus Base'!E73)*(1+International_Fuel_Surcharge),2)))*(1+FedEx_Markup),2)</f>
        <v>233.86</v>
      </c>
      <c r="F76" s="307">
        <f>ROUND((IF('F Intl Con Plus Base'!$F$120&gt;ROUND(((1-'F Intl Con Plus Base'!$F$117)*'F Intl Con Plus Base'!F73),2),ROUND('F Intl Con Plus Base'!$F$120*(1+International_Fuel_Surcharge),2),ROUND(((1-'F Intl Con Plus Base'!$F$117)*'F Intl Con Plus Base'!F73)*(1+International_Fuel_Surcharge),2)))*(1+FedEx_Markup),2)</f>
        <v>465.69</v>
      </c>
      <c r="G76" s="307">
        <f>ROUND((IF('F Intl Con Plus Base'!$G$120&gt;ROUND(((1-'F Intl Con Plus Base'!$G$117)*'F Intl Con Plus Base'!G73),2),ROUND('F Intl Con Plus Base'!$G$120*(1+International_Fuel_Surcharge),2),ROUND(((1-'F Intl Con Plus Base'!$G$117)*'F Intl Con Plus Base'!G73)*(1+International_Fuel_Surcharge),2)))*(1+FedEx_Markup),2)</f>
        <v>264.11</v>
      </c>
      <c r="H76" s="307">
        <f>ROUND((IF('F Intl Con Plus Base'!$H$120&gt;ROUND(((1-'F Intl Con Plus Base'!$H$117)*'F Intl Con Plus Base'!H73),2),ROUND('F Intl Con Plus Base'!$H$120*(1+International_Fuel_Surcharge),2),ROUND(((1-'F Intl Con Plus Base'!$H$117)*'F Intl Con Plus Base'!H73)*(1+International_Fuel_Surcharge),2)))*(1+FedEx_Markup),2)</f>
        <v>268</v>
      </c>
      <c r="I76" s="307">
        <f>ROUND((IF('F Intl Con Plus Base'!$I$120&gt;ROUND(((1-'F Intl Con Plus Base'!$I$117)*'F Intl Con Plus Base'!I73),2),ROUND('F Intl Con Plus Base'!$I$120*(1+International_Fuel_Surcharge),2),ROUND(((1-'F Intl Con Plus Base'!$I$117)*'F Intl Con Plus Base'!I73)*(1+International_Fuel_Surcharge),2)))*(1+FedEx_Markup),2)</f>
        <v>307.33</v>
      </c>
      <c r="J76" s="307">
        <f>ROUND((IF('F Intl Con Plus Base'!$J$120&gt;ROUND(((1-'F Intl Con Plus Base'!$J$117)*'F Intl Con Plus Base'!J73),2),ROUND('F Intl Con Plus Base'!$J$120*(1+International_Fuel_Surcharge),2),ROUND(((1-'F Intl Con Plus Base'!$J$117)*'F Intl Con Plus Base'!J73)*(1+International_Fuel_Surcharge),2)))*(1+FedEx_Markup),2)</f>
        <v>187.32</v>
      </c>
      <c r="K76" s="307">
        <f>ROUND((IF('F Intl Con Plus Base'!$K$120&gt;ROUND(((1-'F Intl Con Plus Base'!$K$117)*'F Intl Con Plus Base'!K73),2),ROUND('F Intl Con Plus Base'!$K$120*(1+International_Fuel_Surcharge),2),ROUND(((1-'F Intl Con Plus Base'!$K$117)*'F Intl Con Plus Base'!K73)*(1+International_Fuel_Surcharge),2)))*(1+FedEx_Markup),2)</f>
        <v>382.27</v>
      </c>
      <c r="L76" s="307">
        <f>ROUND((IF('F Intl Con Plus Base'!$L$120&gt;ROUND(((1-'F Intl Con Plus Base'!$L$117)*'F Intl Con Plus Base'!L73),2),ROUND('F Intl Con Plus Base'!$L$120*(1+International_Fuel_Surcharge),2),ROUND(((1-'F Intl Con Plus Base'!$L$117)*'F Intl Con Plus Base'!L73)*(1+International_Fuel_Surcharge),2)))*(1+FedEx_Markup),2)</f>
        <v>332.22</v>
      </c>
      <c r="M76" s="307">
        <f>ROUND((IF('F Intl Con Plus Base'!$M$120&gt;ROUND(((1-'F Intl Con Plus Base'!$M$117)*'F Intl Con Plus Base'!M73),2),ROUND('F Intl Con Plus Base'!$M$120*(1+International_Fuel_Surcharge),2),ROUND(((1-'F Intl Con Plus Base'!$M$117)*'F Intl Con Plus Base'!M73)*(1+International_Fuel_Surcharge),2)))*(1+FedEx_Markup),2)</f>
        <v>423.11</v>
      </c>
      <c r="N76" s="307">
        <f>ROUND((IF('F Intl Con Plus Base'!$N$120&gt;ROUND(((1-'F Intl Con Plus Base'!$N$117)*'F Intl Con Plus Base'!N73),2),ROUND('F Intl Con Plus Base'!$N$120*(1+International_Fuel_Surcharge),2),ROUND(((1-'F Intl Con Plus Base'!$N$117)*'F Intl Con Plus Base'!N73)*(1+International_Fuel_Surcharge),2)))*(1+FedEx_Markup),2)</f>
        <v>428.98</v>
      </c>
      <c r="O76" s="307">
        <f>ROUND((IF('F Intl Con Plus Base'!$O$120&gt;ROUND(((1-'F Intl Con Plus Base'!$O$117)*'F Intl Con Plus Base'!O73),2),ROUND('F Intl Con Plus Base'!$O$120*(1+International_Fuel_Surcharge),2),ROUND(((1-'F Intl Con Plus Base'!$O$117)*'F Intl Con Plus Base'!O73)*(1+International_Fuel_Surcharge),2)))*(1+FedEx_Markup),2)</f>
        <v>305.52999999999997</v>
      </c>
      <c r="P76" s="307">
        <f>ROUND((IF('F Intl Con Plus Base'!$P$120&gt;ROUND(((1-'F Intl Con Plus Base'!$P$117)*'F Intl Con Plus Base'!P73),2),ROUND('F Intl Con Plus Base'!$P$120*(1+International_Fuel_Surcharge),2),ROUND(((1-'F Intl Con Plus Base'!$P$117)*'F Intl Con Plus Base'!P73)*(1+International_Fuel_Surcharge),2)))*(1+FedEx_Markup),2)</f>
        <v>351.89</v>
      </c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2.75" customHeight="1">
      <c r="A77" s="306">
        <v>72</v>
      </c>
      <c r="B77" s="307">
        <f>ROUND((IF('F Intl Con Plus Base'!$B$120&gt;ROUND(((1-'F Intl Con Plus Base'!$B$117)*'F Intl Con Plus Base'!B74),2),ROUND('F Intl Con Plus Base'!$B$120*(1+International_Fuel_Surcharge),2),ROUND(((1-'F Intl Con Plus Base'!$B$117)*'F Intl Con Plus Base'!B74)*(1+International_Fuel_Surcharge),2)))*(1+FedEx_Markup),2)</f>
        <v>178.12</v>
      </c>
      <c r="C77" s="307">
        <f>ROUND((IF('F Intl Con Plus Base'!$C$120&gt;ROUND(((1-'F Intl Con Plus Base'!$C$117)*'F Intl Con Plus Base'!C74),2),ROUND('F Intl Con Plus Base'!$C$120*(1+International_Fuel_Surcharge),2),ROUND(((1-'F Intl Con Plus Base'!$C$117)*'F Intl Con Plus Base'!C74)*(1+International_Fuel_Surcharge),2)))*(1+FedEx_Markup),2)</f>
        <v>197.23</v>
      </c>
      <c r="D77" s="307">
        <f>ROUND((IF('F Intl Con Plus Base'!$D$120&gt;ROUND(((1-'F Intl Con Plus Base'!$D$117)*'F Intl Con Plus Base'!D74),2),ROUND('F Intl Con Plus Base'!$D$120*(1+International_Fuel_Surcharge),2),ROUND(((1-'F Intl Con Plus Base'!$D$117)*'F Intl Con Plus Base'!D74)*(1+International_Fuel_Surcharge),2)))*(1+FedEx_Markup),2)</f>
        <v>130.81</v>
      </c>
      <c r="E77" s="307">
        <f>ROUND((IF('F Intl Con Plus Base'!$E$120&gt;ROUND(((1-'F Intl Con Plus Base'!$E$117)*'F Intl Con Plus Base'!E74),2),ROUND('F Intl Con Plus Base'!$E$120*(1+International_Fuel_Surcharge),2),ROUND(((1-'F Intl Con Plus Base'!$E$117)*'F Intl Con Plus Base'!E74)*(1+International_Fuel_Surcharge),2)))*(1+FedEx_Markup),2)</f>
        <v>236.03</v>
      </c>
      <c r="F77" s="307">
        <f>ROUND((IF('F Intl Con Plus Base'!$F$120&gt;ROUND(((1-'F Intl Con Plus Base'!$F$117)*'F Intl Con Plus Base'!F74),2),ROUND('F Intl Con Plus Base'!$F$120*(1+International_Fuel_Surcharge),2),ROUND(((1-'F Intl Con Plus Base'!$F$117)*'F Intl Con Plus Base'!F74)*(1+International_Fuel_Surcharge),2)))*(1+FedEx_Markup),2)</f>
        <v>469.95</v>
      </c>
      <c r="G77" s="307">
        <f>ROUND((IF('F Intl Con Plus Base'!$G$120&gt;ROUND(((1-'F Intl Con Plus Base'!$G$117)*'F Intl Con Plus Base'!G74),2),ROUND('F Intl Con Plus Base'!$G$120*(1+International_Fuel_Surcharge),2),ROUND(((1-'F Intl Con Plus Base'!$G$117)*'F Intl Con Plus Base'!G74)*(1+International_Fuel_Surcharge),2)))*(1+FedEx_Markup),2)</f>
        <v>267.67</v>
      </c>
      <c r="H77" s="307">
        <f>ROUND((IF('F Intl Con Plus Base'!$H$120&gt;ROUND(((1-'F Intl Con Plus Base'!$H$117)*'F Intl Con Plus Base'!H74),2),ROUND('F Intl Con Plus Base'!$H$120*(1+International_Fuel_Surcharge),2),ROUND(((1-'F Intl Con Plus Base'!$H$117)*'F Intl Con Plus Base'!H74)*(1+International_Fuel_Surcharge),2)))*(1+FedEx_Markup),2)</f>
        <v>270.79000000000002</v>
      </c>
      <c r="I77" s="307">
        <f>ROUND((IF('F Intl Con Plus Base'!$I$120&gt;ROUND(((1-'F Intl Con Plus Base'!$I$117)*'F Intl Con Plus Base'!I74),2),ROUND('F Intl Con Plus Base'!$I$120*(1+International_Fuel_Surcharge),2),ROUND(((1-'F Intl Con Plus Base'!$I$117)*'F Intl Con Plus Base'!I74)*(1+International_Fuel_Surcharge),2)))*(1+FedEx_Markup),2)</f>
        <v>310.14</v>
      </c>
      <c r="J77" s="307">
        <f>ROUND((IF('F Intl Con Plus Base'!$J$120&gt;ROUND(((1-'F Intl Con Plus Base'!$J$117)*'F Intl Con Plus Base'!J74),2),ROUND('F Intl Con Plus Base'!$J$120*(1+International_Fuel_Surcharge),2),ROUND(((1-'F Intl Con Plus Base'!$J$117)*'F Intl Con Plus Base'!J74)*(1+International_Fuel_Surcharge),2)))*(1+FedEx_Markup),2)</f>
        <v>194.84</v>
      </c>
      <c r="K77" s="307">
        <f>ROUND((IF('F Intl Con Plus Base'!$K$120&gt;ROUND(((1-'F Intl Con Plus Base'!$K$117)*'F Intl Con Plus Base'!K74),2),ROUND('F Intl Con Plus Base'!$K$120*(1+International_Fuel_Surcharge),2),ROUND(((1-'F Intl Con Plus Base'!$K$117)*'F Intl Con Plus Base'!K74)*(1+International_Fuel_Surcharge),2)))*(1+FedEx_Markup),2)</f>
        <v>385.77</v>
      </c>
      <c r="L77" s="307">
        <f>ROUND((IF('F Intl Con Plus Base'!$L$120&gt;ROUND(((1-'F Intl Con Plus Base'!$L$117)*'F Intl Con Plus Base'!L74),2),ROUND('F Intl Con Plus Base'!$L$120*(1+International_Fuel_Surcharge),2),ROUND(((1-'F Intl Con Plus Base'!$L$117)*'F Intl Con Plus Base'!L74)*(1+International_Fuel_Surcharge),2)))*(1+FedEx_Markup),2)</f>
        <v>335.31</v>
      </c>
      <c r="M77" s="307">
        <f>ROUND((IF('F Intl Con Plus Base'!$M$120&gt;ROUND(((1-'F Intl Con Plus Base'!$M$117)*'F Intl Con Plus Base'!M74),2),ROUND('F Intl Con Plus Base'!$M$120*(1+International_Fuel_Surcharge),2),ROUND(((1-'F Intl Con Plus Base'!$M$117)*'F Intl Con Plus Base'!M74)*(1+International_Fuel_Surcharge),2)))*(1+FedEx_Markup),2)</f>
        <v>426.97</v>
      </c>
      <c r="N77" s="307">
        <f>ROUND((IF('F Intl Con Plus Base'!$N$120&gt;ROUND(((1-'F Intl Con Plus Base'!$N$117)*'F Intl Con Plus Base'!N74),2),ROUND('F Intl Con Plus Base'!$N$120*(1+International_Fuel_Surcharge),2),ROUND(((1-'F Intl Con Plus Base'!$N$117)*'F Intl Con Plus Base'!N74)*(1+International_Fuel_Surcharge),2)))*(1+FedEx_Markup),2)</f>
        <v>433.04</v>
      </c>
      <c r="O77" s="307">
        <f>ROUND((IF('F Intl Con Plus Base'!$O$120&gt;ROUND(((1-'F Intl Con Plus Base'!$O$117)*'F Intl Con Plus Base'!O74),2),ROUND('F Intl Con Plus Base'!$O$120*(1+International_Fuel_Surcharge),2),ROUND(((1-'F Intl Con Plus Base'!$O$117)*'F Intl Con Plus Base'!O74)*(1+International_Fuel_Surcharge),2)))*(1+FedEx_Markup),2)</f>
        <v>308.36</v>
      </c>
      <c r="P77" s="307">
        <f>ROUND((IF('F Intl Con Plus Base'!$P$120&gt;ROUND(((1-'F Intl Con Plus Base'!$P$117)*'F Intl Con Plus Base'!P74),2),ROUND('F Intl Con Plus Base'!$P$120*(1+International_Fuel_Surcharge),2),ROUND(((1-'F Intl Con Plus Base'!$P$117)*'F Intl Con Plus Base'!P74)*(1+International_Fuel_Surcharge),2)))*(1+FedEx_Markup),2)</f>
        <v>355.22</v>
      </c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2.75" customHeight="1">
      <c r="A78" s="306">
        <v>73</v>
      </c>
      <c r="B78" s="307">
        <f>ROUND((IF('F Intl Con Plus Base'!$B$120&gt;ROUND(((1-'F Intl Con Plus Base'!$B$117)*'F Intl Con Plus Base'!B75),2),ROUND('F Intl Con Plus Base'!$B$120*(1+International_Fuel_Surcharge),2),ROUND(((1-'F Intl Con Plus Base'!$B$117)*'F Intl Con Plus Base'!B75)*(1+International_Fuel_Surcharge),2)))*(1+FedEx_Markup),2)</f>
        <v>182.82</v>
      </c>
      <c r="C78" s="307">
        <f>ROUND((IF('F Intl Con Plus Base'!$C$120&gt;ROUND(((1-'F Intl Con Plus Base'!$C$117)*'F Intl Con Plus Base'!C75),2),ROUND('F Intl Con Plus Base'!$C$120*(1+International_Fuel_Surcharge),2),ROUND(((1-'F Intl Con Plus Base'!$C$117)*'F Intl Con Plus Base'!C75)*(1+International_Fuel_Surcharge),2)))*(1+FedEx_Markup),2)</f>
        <v>197.41</v>
      </c>
      <c r="D78" s="307">
        <f>ROUND((IF('F Intl Con Plus Base'!$D$120&gt;ROUND(((1-'F Intl Con Plus Base'!$D$117)*'F Intl Con Plus Base'!D75),2),ROUND('F Intl Con Plus Base'!$D$120*(1+International_Fuel_Surcharge),2),ROUND(((1-'F Intl Con Plus Base'!$D$117)*'F Intl Con Plus Base'!D75)*(1+International_Fuel_Surcharge),2)))*(1+FedEx_Markup),2)</f>
        <v>130.96</v>
      </c>
      <c r="E78" s="307">
        <f>ROUND((IF('F Intl Con Plus Base'!$E$120&gt;ROUND(((1-'F Intl Con Plus Base'!$E$117)*'F Intl Con Plus Base'!E75),2),ROUND('F Intl Con Plus Base'!$E$120*(1+International_Fuel_Surcharge),2),ROUND(((1-'F Intl Con Plus Base'!$E$117)*'F Intl Con Plus Base'!E75)*(1+International_Fuel_Surcharge),2)))*(1+FedEx_Markup),2)</f>
        <v>247.31</v>
      </c>
      <c r="F78" s="307">
        <f>ROUND((IF('F Intl Con Plus Base'!$F$120&gt;ROUND(((1-'F Intl Con Plus Base'!$F$117)*'F Intl Con Plus Base'!F75),2),ROUND('F Intl Con Plus Base'!$F$120*(1+International_Fuel_Surcharge),2),ROUND(((1-'F Intl Con Plus Base'!$F$117)*'F Intl Con Plus Base'!F75)*(1+International_Fuel_Surcharge),2)))*(1+FedEx_Markup),2)</f>
        <v>470.37</v>
      </c>
      <c r="G78" s="307">
        <f>ROUND((IF('F Intl Con Plus Base'!$G$120&gt;ROUND(((1-'F Intl Con Plus Base'!$G$117)*'F Intl Con Plus Base'!G75),2),ROUND('F Intl Con Plus Base'!$G$120*(1+International_Fuel_Surcharge),2),ROUND(((1-'F Intl Con Plus Base'!$G$117)*'F Intl Con Plus Base'!G75)*(1+International_Fuel_Surcharge),2)))*(1+FedEx_Markup),2)</f>
        <v>268.49</v>
      </c>
      <c r="H78" s="307">
        <f>ROUND((IF('F Intl Con Plus Base'!$H$120&gt;ROUND(((1-'F Intl Con Plus Base'!$H$117)*'F Intl Con Plus Base'!H75),2),ROUND('F Intl Con Plus Base'!$H$120*(1+International_Fuel_Surcharge),2),ROUND(((1-'F Intl Con Plus Base'!$H$117)*'F Intl Con Plus Base'!H75)*(1+International_Fuel_Surcharge),2)))*(1+FedEx_Markup),2)</f>
        <v>272.7</v>
      </c>
      <c r="I78" s="307">
        <f>ROUND((IF('F Intl Con Plus Base'!$I$120&gt;ROUND(((1-'F Intl Con Plus Base'!$I$117)*'F Intl Con Plus Base'!I75),2),ROUND('F Intl Con Plus Base'!$I$120*(1+International_Fuel_Surcharge),2),ROUND(((1-'F Intl Con Plus Base'!$I$117)*'F Intl Con Plus Base'!I75)*(1+International_Fuel_Surcharge),2)))*(1+FedEx_Markup),2)</f>
        <v>319.07</v>
      </c>
      <c r="J78" s="307">
        <f>ROUND((IF('F Intl Con Plus Base'!$J$120&gt;ROUND(((1-'F Intl Con Plus Base'!$J$117)*'F Intl Con Plus Base'!J75),2),ROUND('F Intl Con Plus Base'!$J$120*(1+International_Fuel_Surcharge),2),ROUND(((1-'F Intl Con Plus Base'!$J$117)*'F Intl Con Plus Base'!J75)*(1+International_Fuel_Surcharge),2)))*(1+FedEx_Markup),2)</f>
        <v>195.59</v>
      </c>
      <c r="K78" s="307">
        <f>ROUND((IF('F Intl Con Plus Base'!$K$120&gt;ROUND(((1-'F Intl Con Plus Base'!$K$117)*'F Intl Con Plus Base'!K75),2),ROUND('F Intl Con Plus Base'!$K$120*(1+International_Fuel_Surcharge),2),ROUND(((1-'F Intl Con Plus Base'!$K$117)*'F Intl Con Plus Base'!K75)*(1+International_Fuel_Surcharge),2)))*(1+FedEx_Markup),2)</f>
        <v>387.07</v>
      </c>
      <c r="L78" s="307">
        <f>ROUND((IF('F Intl Con Plus Base'!$L$120&gt;ROUND(((1-'F Intl Con Plus Base'!$L$117)*'F Intl Con Plus Base'!L75),2),ROUND('F Intl Con Plus Base'!$L$120*(1+International_Fuel_Surcharge),2),ROUND(((1-'F Intl Con Plus Base'!$L$117)*'F Intl Con Plus Base'!L75)*(1+International_Fuel_Surcharge),2)))*(1+FedEx_Markup),2)</f>
        <v>335.62</v>
      </c>
      <c r="M78" s="307">
        <f>ROUND((IF('F Intl Con Plus Base'!$M$120&gt;ROUND(((1-'F Intl Con Plus Base'!$M$117)*'F Intl Con Plus Base'!M75),2),ROUND('F Intl Con Plus Base'!$M$120*(1+International_Fuel_Surcharge),2),ROUND(((1-'F Intl Con Plus Base'!$M$117)*'F Intl Con Plus Base'!M75)*(1+International_Fuel_Surcharge),2)))*(1+FedEx_Markup),2)</f>
        <v>427.36</v>
      </c>
      <c r="N78" s="307">
        <f>ROUND((IF('F Intl Con Plus Base'!$N$120&gt;ROUND(((1-'F Intl Con Plus Base'!$N$117)*'F Intl Con Plus Base'!N75),2),ROUND('F Intl Con Plus Base'!$N$120*(1+International_Fuel_Surcharge),2),ROUND(((1-'F Intl Con Plus Base'!$N$117)*'F Intl Con Plus Base'!N75)*(1+International_Fuel_Surcharge),2)))*(1+FedEx_Markup),2)</f>
        <v>433.46</v>
      </c>
      <c r="O78" s="307">
        <f>ROUND((IF('F Intl Con Plus Base'!$O$120&gt;ROUND(((1-'F Intl Con Plus Base'!$O$117)*'F Intl Con Plus Base'!O75),2),ROUND('F Intl Con Plus Base'!$O$120*(1+International_Fuel_Surcharge),2),ROUND(((1-'F Intl Con Plus Base'!$O$117)*'F Intl Con Plus Base'!O75)*(1+International_Fuel_Surcharge),2)))*(1+FedEx_Markup),2)</f>
        <v>308.64</v>
      </c>
      <c r="P78" s="307">
        <f>ROUND((IF('F Intl Con Plus Base'!$P$120&gt;ROUND(((1-'F Intl Con Plus Base'!$P$117)*'F Intl Con Plus Base'!P75),2),ROUND('F Intl Con Plus Base'!$P$120*(1+International_Fuel_Surcharge),2),ROUND(((1-'F Intl Con Plus Base'!$P$117)*'F Intl Con Plus Base'!P75)*(1+International_Fuel_Surcharge),2)))*(1+FedEx_Markup),2)</f>
        <v>355.56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>
      <c r="A79" s="306">
        <v>74</v>
      </c>
      <c r="B79" s="307">
        <f>ROUND((IF('F Intl Con Plus Base'!$B$120&gt;ROUND(((1-'F Intl Con Plus Base'!$B$117)*'F Intl Con Plus Base'!B76),2),ROUND('F Intl Con Plus Base'!$B$120*(1+International_Fuel_Surcharge),2),ROUND(((1-'F Intl Con Plus Base'!$B$117)*'F Intl Con Plus Base'!B76)*(1+International_Fuel_Surcharge),2)))*(1+FedEx_Markup),2)</f>
        <v>183.29</v>
      </c>
      <c r="C79" s="307">
        <f>ROUND((IF('F Intl Con Plus Base'!$C$120&gt;ROUND(((1-'F Intl Con Plus Base'!$C$117)*'F Intl Con Plus Base'!C76),2),ROUND('F Intl Con Plus Base'!$C$120*(1+International_Fuel_Surcharge),2),ROUND(((1-'F Intl Con Plus Base'!$C$117)*'F Intl Con Plus Base'!C76)*(1+International_Fuel_Surcharge),2)))*(1+FedEx_Markup),2)</f>
        <v>197.47</v>
      </c>
      <c r="D79" s="307">
        <f>ROUND((IF('F Intl Con Plus Base'!$D$120&gt;ROUND(((1-'F Intl Con Plus Base'!$D$117)*'F Intl Con Plus Base'!D76),2),ROUND('F Intl Con Plus Base'!$D$120*(1+International_Fuel_Surcharge),2),ROUND(((1-'F Intl Con Plus Base'!$D$117)*'F Intl Con Plus Base'!D76)*(1+International_Fuel_Surcharge),2)))*(1+FedEx_Markup),2)</f>
        <v>131.1</v>
      </c>
      <c r="E79" s="307">
        <f>ROUND((IF('F Intl Con Plus Base'!$E$120&gt;ROUND(((1-'F Intl Con Plus Base'!$E$117)*'F Intl Con Plus Base'!E76),2),ROUND('F Intl Con Plus Base'!$E$120*(1+International_Fuel_Surcharge),2),ROUND(((1-'F Intl Con Plus Base'!$E$117)*'F Intl Con Plus Base'!E76)*(1+International_Fuel_Surcharge),2)))*(1+FedEx_Markup),2)</f>
        <v>248.43</v>
      </c>
      <c r="F79" s="307">
        <f>ROUND((IF('F Intl Con Plus Base'!$F$120&gt;ROUND(((1-'F Intl Con Plus Base'!$F$117)*'F Intl Con Plus Base'!F76),2),ROUND('F Intl Con Plus Base'!$F$120*(1+International_Fuel_Surcharge),2),ROUND(((1-'F Intl Con Plus Base'!$F$117)*'F Intl Con Plus Base'!F76)*(1+International_Fuel_Surcharge),2)))*(1+FedEx_Markup),2)</f>
        <v>470.48</v>
      </c>
      <c r="G79" s="307">
        <f>ROUND((IF('F Intl Con Plus Base'!$G$120&gt;ROUND(((1-'F Intl Con Plus Base'!$G$117)*'F Intl Con Plus Base'!G76),2),ROUND('F Intl Con Plus Base'!$G$120*(1+International_Fuel_Surcharge),2),ROUND(((1-'F Intl Con Plus Base'!$G$117)*'F Intl Con Plus Base'!G76)*(1+International_Fuel_Surcharge),2)))*(1+FedEx_Markup),2)</f>
        <v>284.82</v>
      </c>
      <c r="H79" s="307">
        <f>ROUND((IF('F Intl Con Plus Base'!$H$120&gt;ROUND(((1-'F Intl Con Plus Base'!$H$117)*'F Intl Con Plus Base'!H76),2),ROUND('F Intl Con Plus Base'!$H$120*(1+International_Fuel_Surcharge),2),ROUND(((1-'F Intl Con Plus Base'!$H$117)*'F Intl Con Plus Base'!H76)*(1+International_Fuel_Surcharge),2)))*(1+FedEx_Markup),2)</f>
        <v>274.58999999999997</v>
      </c>
      <c r="I79" s="307">
        <f>ROUND((IF('F Intl Con Plus Base'!$I$120&gt;ROUND(((1-'F Intl Con Plus Base'!$I$117)*'F Intl Con Plus Base'!I76),2),ROUND('F Intl Con Plus Base'!$I$120*(1+International_Fuel_Surcharge),2),ROUND(((1-'F Intl Con Plus Base'!$I$117)*'F Intl Con Plus Base'!I76)*(1+International_Fuel_Surcharge),2)))*(1+FedEx_Markup),2)</f>
        <v>319.95999999999998</v>
      </c>
      <c r="J79" s="307">
        <f>ROUND((IF('F Intl Con Plus Base'!$J$120&gt;ROUND(((1-'F Intl Con Plus Base'!$J$117)*'F Intl Con Plus Base'!J76),2),ROUND('F Intl Con Plus Base'!$J$120*(1+International_Fuel_Surcharge),2),ROUND(((1-'F Intl Con Plus Base'!$J$117)*'F Intl Con Plus Base'!J76)*(1+International_Fuel_Surcharge),2)))*(1+FedEx_Markup),2)</f>
        <v>195.67</v>
      </c>
      <c r="K79" s="307">
        <f>ROUND((IF('F Intl Con Plus Base'!$K$120&gt;ROUND(((1-'F Intl Con Plus Base'!$K$117)*'F Intl Con Plus Base'!K76),2),ROUND('F Intl Con Plus Base'!$K$120*(1+International_Fuel_Surcharge),2),ROUND(((1-'F Intl Con Plus Base'!$K$117)*'F Intl Con Plus Base'!K76)*(1+International_Fuel_Surcharge),2)))*(1+FedEx_Markup),2)</f>
        <v>388.37</v>
      </c>
      <c r="L79" s="307">
        <f>ROUND((IF('F Intl Con Plus Base'!$L$120&gt;ROUND(((1-'F Intl Con Plus Base'!$L$117)*'F Intl Con Plus Base'!L76),2),ROUND('F Intl Con Plus Base'!$L$120*(1+International_Fuel_Surcharge),2),ROUND(((1-'F Intl Con Plus Base'!$L$117)*'F Intl Con Plus Base'!L76)*(1+International_Fuel_Surcharge),2)))*(1+FedEx_Markup),2)</f>
        <v>335.69</v>
      </c>
      <c r="M79" s="307">
        <f>ROUND((IF('F Intl Con Plus Base'!$M$120&gt;ROUND(((1-'F Intl Con Plus Base'!$M$117)*'F Intl Con Plus Base'!M76),2),ROUND('F Intl Con Plus Base'!$M$120*(1+International_Fuel_Surcharge),2),ROUND(((1-'F Intl Con Plus Base'!$M$117)*'F Intl Con Plus Base'!M76)*(1+International_Fuel_Surcharge),2)))*(1+FedEx_Markup),2)</f>
        <v>427.46</v>
      </c>
      <c r="N79" s="307">
        <f>ROUND((IF('F Intl Con Plus Base'!$N$120&gt;ROUND(((1-'F Intl Con Plus Base'!$N$117)*'F Intl Con Plus Base'!N76),2),ROUND('F Intl Con Plus Base'!$N$120*(1+International_Fuel_Surcharge),2),ROUND(((1-'F Intl Con Plus Base'!$N$117)*'F Intl Con Plus Base'!N76)*(1+International_Fuel_Surcharge),2)))*(1+FedEx_Markup),2)</f>
        <v>433.53</v>
      </c>
      <c r="O79" s="307">
        <f>ROUND((IF('F Intl Con Plus Base'!$O$120&gt;ROUND(((1-'F Intl Con Plus Base'!$O$117)*'F Intl Con Plus Base'!O76),2),ROUND('F Intl Con Plus Base'!$O$120*(1+International_Fuel_Surcharge),2),ROUND(((1-'F Intl Con Plus Base'!$O$117)*'F Intl Con Plus Base'!O76)*(1+International_Fuel_Surcharge),2)))*(1+FedEx_Markup),2)</f>
        <v>308.72000000000003</v>
      </c>
      <c r="P79" s="307">
        <f>ROUND((IF('F Intl Con Plus Base'!$P$120&gt;ROUND(((1-'F Intl Con Plus Base'!$P$117)*'F Intl Con Plus Base'!P76),2),ROUND('F Intl Con Plus Base'!$P$120*(1+International_Fuel_Surcharge),2),ROUND(((1-'F Intl Con Plus Base'!$P$117)*'F Intl Con Plus Base'!P76)*(1+International_Fuel_Surcharge),2)))*(1+FedEx_Markup),2)</f>
        <v>357.02</v>
      </c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2.75" customHeight="1">
      <c r="A80" s="306">
        <v>75</v>
      </c>
      <c r="B80" s="307">
        <f>ROUND((IF('F Intl Con Plus Base'!$B$120&gt;ROUND(((1-'F Intl Con Plus Base'!$B$117)*'F Intl Con Plus Base'!B77),2),ROUND('F Intl Con Plus Base'!$B$120*(1+International_Fuel_Surcharge),2),ROUND(((1-'F Intl Con Plus Base'!$B$117)*'F Intl Con Plus Base'!B77)*(1+International_Fuel_Surcharge),2)))*(1+FedEx_Markup),2)</f>
        <v>187.46</v>
      </c>
      <c r="C80" s="307">
        <f>ROUND((IF('F Intl Con Plus Base'!$C$120&gt;ROUND(((1-'F Intl Con Plus Base'!$C$117)*'F Intl Con Plus Base'!C77),2),ROUND('F Intl Con Plus Base'!$C$120*(1+International_Fuel_Surcharge),2),ROUND(((1-'F Intl Con Plus Base'!$C$117)*'F Intl Con Plus Base'!C77)*(1+International_Fuel_Surcharge),2)))*(1+FedEx_Markup),2)</f>
        <v>197.52</v>
      </c>
      <c r="D80" s="307">
        <f>ROUND((IF('F Intl Con Plus Base'!$D$120&gt;ROUND(((1-'F Intl Con Plus Base'!$D$117)*'F Intl Con Plus Base'!D77),2),ROUND('F Intl Con Plus Base'!$D$120*(1+International_Fuel_Surcharge),2),ROUND(((1-'F Intl Con Plus Base'!$D$117)*'F Intl Con Plus Base'!D77)*(1+International_Fuel_Surcharge),2)))*(1+FedEx_Markup),2)</f>
        <v>133.94</v>
      </c>
      <c r="E80" s="307">
        <f>ROUND((IF('F Intl Con Plus Base'!$E$120&gt;ROUND(((1-'F Intl Con Plus Base'!$E$117)*'F Intl Con Plus Base'!E77),2),ROUND('F Intl Con Plus Base'!$E$120*(1+International_Fuel_Surcharge),2),ROUND(((1-'F Intl Con Plus Base'!$E$117)*'F Intl Con Plus Base'!E77)*(1+International_Fuel_Surcharge),2)))*(1+FedEx_Markup),2)</f>
        <v>248.55</v>
      </c>
      <c r="F80" s="307">
        <f>ROUND((IF('F Intl Con Plus Base'!$F$120&gt;ROUND(((1-'F Intl Con Plus Base'!$F$117)*'F Intl Con Plus Base'!F77),2),ROUND('F Intl Con Plus Base'!$F$120*(1+International_Fuel_Surcharge),2),ROUND(((1-'F Intl Con Plus Base'!$F$117)*'F Intl Con Plus Base'!F77)*(1+International_Fuel_Surcharge),2)))*(1+FedEx_Markup),2)</f>
        <v>472.49</v>
      </c>
      <c r="G80" s="307">
        <f>ROUND((IF('F Intl Con Plus Base'!$G$120&gt;ROUND(((1-'F Intl Con Plus Base'!$G$117)*'F Intl Con Plus Base'!G77),2),ROUND('F Intl Con Plus Base'!$G$120*(1+International_Fuel_Surcharge),2),ROUND(((1-'F Intl Con Plus Base'!$G$117)*'F Intl Con Plus Base'!G77)*(1+International_Fuel_Surcharge),2)))*(1+FedEx_Markup),2)</f>
        <v>286.47000000000003</v>
      </c>
      <c r="H80" s="307">
        <f>ROUND((IF('F Intl Con Plus Base'!$H$120&gt;ROUND(((1-'F Intl Con Plus Base'!$H$117)*'F Intl Con Plus Base'!H77),2),ROUND('F Intl Con Plus Base'!$H$120*(1+International_Fuel_Surcharge),2),ROUND(((1-'F Intl Con Plus Base'!$H$117)*'F Intl Con Plus Base'!H77)*(1+International_Fuel_Surcharge),2)))*(1+FedEx_Markup),2)</f>
        <v>274.77999999999997</v>
      </c>
      <c r="I80" s="307">
        <f>ROUND((IF('F Intl Con Plus Base'!$I$120&gt;ROUND(((1-'F Intl Con Plus Base'!$I$117)*'F Intl Con Plus Base'!I77),2),ROUND('F Intl Con Plus Base'!$I$120*(1+International_Fuel_Surcharge),2),ROUND(((1-'F Intl Con Plus Base'!$I$117)*'F Intl Con Plus Base'!I77)*(1+International_Fuel_Surcharge),2)))*(1+FedEx_Markup),2)</f>
        <v>320.06</v>
      </c>
      <c r="J80" s="307">
        <f>ROUND((IF('F Intl Con Plus Base'!$J$120&gt;ROUND(((1-'F Intl Con Plus Base'!$J$117)*'F Intl Con Plus Base'!J77),2),ROUND('F Intl Con Plus Base'!$J$120*(1+International_Fuel_Surcharge),2),ROUND(((1-'F Intl Con Plus Base'!$J$117)*'F Intl Con Plus Base'!J77)*(1+International_Fuel_Surcharge),2)))*(1+FedEx_Markup),2)</f>
        <v>196.01</v>
      </c>
      <c r="K80" s="307">
        <f>ROUND((IF('F Intl Con Plus Base'!$K$120&gt;ROUND(((1-'F Intl Con Plus Base'!$K$117)*'F Intl Con Plus Base'!K77),2),ROUND('F Intl Con Plus Base'!$K$120*(1+International_Fuel_Surcharge),2),ROUND(((1-'F Intl Con Plus Base'!$K$117)*'F Intl Con Plus Base'!K77)*(1+International_Fuel_Surcharge),2)))*(1+FedEx_Markup),2)</f>
        <v>389.67</v>
      </c>
      <c r="L80" s="307">
        <f>ROUND((IF('F Intl Con Plus Base'!$L$120&gt;ROUND(((1-'F Intl Con Plus Base'!$L$117)*'F Intl Con Plus Base'!L77),2),ROUND('F Intl Con Plus Base'!$L$120*(1+International_Fuel_Surcharge),2),ROUND(((1-'F Intl Con Plus Base'!$L$117)*'F Intl Con Plus Base'!L77)*(1+International_Fuel_Surcharge),2)))*(1+FedEx_Markup),2)</f>
        <v>336.25</v>
      </c>
      <c r="M80" s="307">
        <f>ROUND((IF('F Intl Con Plus Base'!$M$120&gt;ROUND(((1-'F Intl Con Plus Base'!$M$117)*'F Intl Con Plus Base'!M77),2),ROUND('F Intl Con Plus Base'!$M$120*(1+International_Fuel_Surcharge),2),ROUND(((1-'F Intl Con Plus Base'!$M$117)*'F Intl Con Plus Base'!M77)*(1+International_Fuel_Surcharge),2)))*(1+FedEx_Markup),2)</f>
        <v>427.55</v>
      </c>
      <c r="N80" s="307">
        <f>ROUND((IF('F Intl Con Plus Base'!$N$120&gt;ROUND(((1-'F Intl Con Plus Base'!$N$117)*'F Intl Con Plus Base'!N77),2),ROUND('F Intl Con Plus Base'!$N$120*(1+International_Fuel_Surcharge),2),ROUND(((1-'F Intl Con Plus Base'!$N$117)*'F Intl Con Plus Base'!N77)*(1+International_Fuel_Surcharge),2)))*(1+FedEx_Markup),2)</f>
        <v>433.6</v>
      </c>
      <c r="O80" s="307">
        <f>ROUND((IF('F Intl Con Plus Base'!$O$120&gt;ROUND(((1-'F Intl Con Plus Base'!$O$117)*'F Intl Con Plus Base'!O77),2),ROUND('F Intl Con Plus Base'!$O$120*(1+International_Fuel_Surcharge),2),ROUND(((1-'F Intl Con Plus Base'!$O$117)*'F Intl Con Plus Base'!O77)*(1+International_Fuel_Surcharge),2)))*(1+FedEx_Markup),2)</f>
        <v>308.8</v>
      </c>
      <c r="P80" s="307">
        <f>ROUND((IF('F Intl Con Plus Base'!$P$120&gt;ROUND(((1-'F Intl Con Plus Base'!$P$117)*'F Intl Con Plus Base'!P77),2),ROUND('F Intl Con Plus Base'!$P$120*(1+International_Fuel_Surcharge),2),ROUND(((1-'F Intl Con Plus Base'!$P$117)*'F Intl Con Plus Base'!P77)*(1+International_Fuel_Surcharge),2)))*(1+FedEx_Markup),2)</f>
        <v>374.53</v>
      </c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2.75" customHeight="1">
      <c r="A81" s="306">
        <v>76</v>
      </c>
      <c r="B81" s="307">
        <f>ROUND((IF('F Intl Con Plus Base'!$B$120&gt;ROUND(((1-'F Intl Con Plus Base'!$B$117)*'F Intl Con Plus Base'!B78),2),ROUND('F Intl Con Plus Base'!$B$120*(1+International_Fuel_Surcharge),2),ROUND(((1-'F Intl Con Plus Base'!$B$117)*'F Intl Con Plus Base'!B78)*(1+International_Fuel_Surcharge),2)))*(1+FedEx_Markup),2)</f>
        <v>189.19</v>
      </c>
      <c r="C81" s="307">
        <f>ROUND((IF('F Intl Con Plus Base'!$C$120&gt;ROUND(((1-'F Intl Con Plus Base'!$C$117)*'F Intl Con Plus Base'!C78),2),ROUND('F Intl Con Plus Base'!$C$120*(1+International_Fuel_Surcharge),2),ROUND(((1-'F Intl Con Plus Base'!$C$117)*'F Intl Con Plus Base'!C78)*(1+International_Fuel_Surcharge),2)))*(1+FedEx_Markup),2)</f>
        <v>197.58</v>
      </c>
      <c r="D81" s="307">
        <f>ROUND((IF('F Intl Con Plus Base'!$D$120&gt;ROUND(((1-'F Intl Con Plus Base'!$D$117)*'F Intl Con Plus Base'!D78),2),ROUND('F Intl Con Plus Base'!$D$120*(1+International_Fuel_Surcharge),2),ROUND(((1-'F Intl Con Plus Base'!$D$117)*'F Intl Con Plus Base'!D78)*(1+International_Fuel_Surcharge),2)))*(1+FedEx_Markup),2)</f>
        <v>137.22999999999999</v>
      </c>
      <c r="E81" s="307">
        <f>ROUND((IF('F Intl Con Plus Base'!$E$120&gt;ROUND(((1-'F Intl Con Plus Base'!$E$117)*'F Intl Con Plus Base'!E78),2),ROUND('F Intl Con Plus Base'!$E$120*(1+International_Fuel_Surcharge),2),ROUND(((1-'F Intl Con Plus Base'!$E$117)*'F Intl Con Plus Base'!E78)*(1+International_Fuel_Surcharge),2)))*(1+FedEx_Markup),2)</f>
        <v>248.63</v>
      </c>
      <c r="F81" s="307">
        <f>ROUND((IF('F Intl Con Plus Base'!$F$120&gt;ROUND(((1-'F Intl Con Plus Base'!$F$117)*'F Intl Con Plus Base'!F78),2),ROUND('F Intl Con Plus Base'!$F$120*(1+International_Fuel_Surcharge),2),ROUND(((1-'F Intl Con Plus Base'!$F$117)*'F Intl Con Plus Base'!F78)*(1+International_Fuel_Surcharge),2)))*(1+FedEx_Markup),2)</f>
        <v>472.71</v>
      </c>
      <c r="G81" s="307">
        <f>ROUND((IF('F Intl Con Plus Base'!$G$120&gt;ROUND(((1-'F Intl Con Plus Base'!$G$117)*'F Intl Con Plus Base'!G78),2),ROUND('F Intl Con Plus Base'!$G$120*(1+International_Fuel_Surcharge),2),ROUND(((1-'F Intl Con Plus Base'!$G$117)*'F Intl Con Plus Base'!G78)*(1+International_Fuel_Surcharge),2)))*(1+FedEx_Markup),2)</f>
        <v>289.44</v>
      </c>
      <c r="H81" s="307">
        <f>ROUND((IF('F Intl Con Plus Base'!$H$120&gt;ROUND(((1-'F Intl Con Plus Base'!$H$117)*'F Intl Con Plus Base'!H78),2),ROUND('F Intl Con Plus Base'!$H$120*(1+International_Fuel_Surcharge),2),ROUND(((1-'F Intl Con Plus Base'!$H$117)*'F Intl Con Plus Base'!H78)*(1+International_Fuel_Surcharge),2)))*(1+FedEx_Markup),2)</f>
        <v>278.39</v>
      </c>
      <c r="I81" s="307">
        <f>ROUND((IF('F Intl Con Plus Base'!$I$120&gt;ROUND(((1-'F Intl Con Plus Base'!$I$117)*'F Intl Con Plus Base'!I78),2),ROUND('F Intl Con Plus Base'!$I$120*(1+International_Fuel_Surcharge),2),ROUND(((1-'F Intl Con Plus Base'!$I$117)*'F Intl Con Plus Base'!I78)*(1+International_Fuel_Surcharge),2)))*(1+FedEx_Markup),2)</f>
        <v>320.14</v>
      </c>
      <c r="J81" s="307">
        <f>ROUND((IF('F Intl Con Plus Base'!$J$120&gt;ROUND(((1-'F Intl Con Plus Base'!$J$117)*'F Intl Con Plus Base'!J78),2),ROUND('F Intl Con Plus Base'!$J$120*(1+International_Fuel_Surcharge),2),ROUND(((1-'F Intl Con Plus Base'!$J$117)*'F Intl Con Plus Base'!J78)*(1+International_Fuel_Surcharge),2)))*(1+FedEx_Markup),2)</f>
        <v>202.56</v>
      </c>
      <c r="K81" s="307">
        <f>ROUND((IF('F Intl Con Plus Base'!$K$120&gt;ROUND(((1-'F Intl Con Plus Base'!$K$117)*'F Intl Con Plus Base'!K78),2),ROUND('F Intl Con Plus Base'!$K$120*(1+International_Fuel_Surcharge),2),ROUND(((1-'F Intl Con Plus Base'!$K$117)*'F Intl Con Plus Base'!K78)*(1+International_Fuel_Surcharge),2)))*(1+FedEx_Markup),2)</f>
        <v>390.97</v>
      </c>
      <c r="L81" s="307">
        <f>ROUND((IF('F Intl Con Plus Base'!$L$120&gt;ROUND(((1-'F Intl Con Plus Base'!$L$117)*'F Intl Con Plus Base'!L78),2),ROUND('F Intl Con Plus Base'!$L$120*(1+International_Fuel_Surcharge),2),ROUND(((1-'F Intl Con Plus Base'!$L$117)*'F Intl Con Plus Base'!L78)*(1+International_Fuel_Surcharge),2)))*(1+FedEx_Markup),2)</f>
        <v>347.35</v>
      </c>
      <c r="M81" s="307">
        <f>ROUND((IF('F Intl Con Plus Base'!$M$120&gt;ROUND(((1-'F Intl Con Plus Base'!$M$117)*'F Intl Con Plus Base'!M78),2),ROUND('F Intl Con Plus Base'!$M$120*(1+International_Fuel_Surcharge),2),ROUND(((1-'F Intl Con Plus Base'!$M$117)*'F Intl Con Plus Base'!M78)*(1+International_Fuel_Surcharge),2)))*(1+FedEx_Markup),2)</f>
        <v>427.63</v>
      </c>
      <c r="N81" s="307">
        <f>ROUND((IF('F Intl Con Plus Base'!$N$120&gt;ROUND(((1-'F Intl Con Plus Base'!$N$117)*'F Intl Con Plus Base'!N78),2),ROUND('F Intl Con Plus Base'!$N$120*(1+International_Fuel_Surcharge),2),ROUND(((1-'F Intl Con Plus Base'!$N$117)*'F Intl Con Plus Base'!N78)*(1+International_Fuel_Surcharge),2)))*(1+FedEx_Markup),2)</f>
        <v>433.67</v>
      </c>
      <c r="O81" s="307">
        <f>ROUND((IF('F Intl Con Plus Base'!$O$120&gt;ROUND(((1-'F Intl Con Plus Base'!$O$117)*'F Intl Con Plus Base'!O78),2),ROUND('F Intl Con Plus Base'!$O$120*(1+International_Fuel_Surcharge),2),ROUND(((1-'F Intl Con Plus Base'!$O$117)*'F Intl Con Plus Base'!O78)*(1+International_Fuel_Surcharge),2)))*(1+FedEx_Markup),2)</f>
        <v>308.88</v>
      </c>
      <c r="P81" s="307">
        <f>ROUND((IF('F Intl Con Plus Base'!$P$120&gt;ROUND(((1-'F Intl Con Plus Base'!$P$117)*'F Intl Con Plus Base'!P78),2),ROUND('F Intl Con Plus Base'!$P$120*(1+International_Fuel_Surcharge),2),ROUND(((1-'F Intl Con Plus Base'!$P$117)*'F Intl Con Plus Base'!P78)*(1+International_Fuel_Surcharge),2)))*(1+FedEx_Markup),2)</f>
        <v>376.28</v>
      </c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2.75" customHeight="1">
      <c r="A82" s="306">
        <v>77</v>
      </c>
      <c r="B82" s="307">
        <f>ROUND((IF('F Intl Con Plus Base'!$B$120&gt;ROUND(((1-'F Intl Con Plus Base'!$B$117)*'F Intl Con Plus Base'!B79),2),ROUND('F Intl Con Plus Base'!$B$120*(1+International_Fuel_Surcharge),2),ROUND(((1-'F Intl Con Plus Base'!$B$117)*'F Intl Con Plus Base'!B79)*(1+International_Fuel_Surcharge),2)))*(1+FedEx_Markup),2)</f>
        <v>189.37</v>
      </c>
      <c r="C82" s="307">
        <f>ROUND((IF('F Intl Con Plus Base'!$C$120&gt;ROUND(((1-'F Intl Con Plus Base'!$C$117)*'F Intl Con Plus Base'!C79),2),ROUND('F Intl Con Plus Base'!$C$120*(1+International_Fuel_Surcharge),2),ROUND(((1-'F Intl Con Plus Base'!$C$117)*'F Intl Con Plus Base'!C79)*(1+International_Fuel_Surcharge),2)))*(1+FedEx_Markup),2)</f>
        <v>197.65</v>
      </c>
      <c r="D82" s="307">
        <f>ROUND((IF('F Intl Con Plus Base'!$D$120&gt;ROUND(((1-'F Intl Con Plus Base'!$D$117)*'F Intl Con Plus Base'!D79),2),ROUND('F Intl Con Plus Base'!$D$120*(1+International_Fuel_Surcharge),2),ROUND(((1-'F Intl Con Plus Base'!$D$117)*'F Intl Con Plus Base'!D79)*(1+International_Fuel_Surcharge),2)))*(1+FedEx_Markup),2)</f>
        <v>137.56</v>
      </c>
      <c r="E82" s="307">
        <f>ROUND((IF('F Intl Con Plus Base'!$E$120&gt;ROUND(((1-'F Intl Con Plus Base'!$E$117)*'F Intl Con Plus Base'!E79),2),ROUND('F Intl Con Plus Base'!$E$120*(1+International_Fuel_Surcharge),2),ROUND(((1-'F Intl Con Plus Base'!$E$117)*'F Intl Con Plus Base'!E79)*(1+International_Fuel_Surcharge),2)))*(1+FedEx_Markup),2)</f>
        <v>248.81</v>
      </c>
      <c r="F82" s="307">
        <f>ROUND((IF('F Intl Con Plus Base'!$F$120&gt;ROUND(((1-'F Intl Con Plus Base'!$F$117)*'F Intl Con Plus Base'!F79),2),ROUND('F Intl Con Plus Base'!$F$120*(1+International_Fuel_Surcharge),2),ROUND(((1-'F Intl Con Plus Base'!$F$117)*'F Intl Con Plus Base'!F79)*(1+International_Fuel_Surcharge),2)))*(1+FedEx_Markup),2)</f>
        <v>472.78</v>
      </c>
      <c r="G82" s="307">
        <f>ROUND((IF('F Intl Con Plus Base'!$G$120&gt;ROUND(((1-'F Intl Con Plus Base'!$G$117)*'F Intl Con Plus Base'!G79),2),ROUND('F Intl Con Plus Base'!$G$120*(1+International_Fuel_Surcharge),2),ROUND(((1-'F Intl Con Plus Base'!$G$117)*'F Intl Con Plus Base'!G79)*(1+International_Fuel_Surcharge),2)))*(1+FedEx_Markup),2)</f>
        <v>291.74</v>
      </c>
      <c r="H82" s="307">
        <f>ROUND((IF('F Intl Con Plus Base'!$H$120&gt;ROUND(((1-'F Intl Con Plus Base'!$H$117)*'F Intl Con Plus Base'!H79),2),ROUND('F Intl Con Plus Base'!$H$120*(1+International_Fuel_Surcharge),2),ROUND(((1-'F Intl Con Plus Base'!$H$117)*'F Intl Con Plus Base'!H79)*(1+International_Fuel_Surcharge),2)))*(1+FedEx_Markup),2)</f>
        <v>280.29000000000002</v>
      </c>
      <c r="I82" s="307">
        <f>ROUND((IF('F Intl Con Plus Base'!$I$120&gt;ROUND(((1-'F Intl Con Plus Base'!$I$117)*'F Intl Con Plus Base'!I79),2),ROUND('F Intl Con Plus Base'!$I$120*(1+International_Fuel_Surcharge),2),ROUND(((1-'F Intl Con Plus Base'!$I$117)*'F Intl Con Plus Base'!I79)*(1+International_Fuel_Surcharge),2)))*(1+FedEx_Markup),2)</f>
        <v>320.20999999999998</v>
      </c>
      <c r="J82" s="307">
        <f>ROUND((IF('F Intl Con Plus Base'!$J$120&gt;ROUND(((1-'F Intl Con Plus Base'!$J$117)*'F Intl Con Plus Base'!J79),2),ROUND('F Intl Con Plus Base'!$J$120*(1+International_Fuel_Surcharge),2),ROUND(((1-'F Intl Con Plus Base'!$J$117)*'F Intl Con Plus Base'!J79)*(1+International_Fuel_Surcharge),2)))*(1+FedEx_Markup),2)</f>
        <v>203.22</v>
      </c>
      <c r="K82" s="307">
        <f>ROUND((IF('F Intl Con Plus Base'!$K$120&gt;ROUND(((1-'F Intl Con Plus Base'!$K$117)*'F Intl Con Plus Base'!K79),2),ROUND('F Intl Con Plus Base'!$K$120*(1+International_Fuel_Surcharge),2),ROUND(((1-'F Intl Con Plus Base'!$K$117)*'F Intl Con Plus Base'!K79)*(1+International_Fuel_Surcharge),2)))*(1+FedEx_Markup),2)</f>
        <v>392.27</v>
      </c>
      <c r="L82" s="307">
        <f>ROUND((IF('F Intl Con Plus Base'!$L$120&gt;ROUND(((1-'F Intl Con Plus Base'!$L$117)*'F Intl Con Plus Base'!L79),2),ROUND('F Intl Con Plus Base'!$L$120*(1+International_Fuel_Surcharge),2),ROUND(((1-'F Intl Con Plus Base'!$L$117)*'F Intl Con Plus Base'!L79)*(1+International_Fuel_Surcharge),2)))*(1+FedEx_Markup),2)</f>
        <v>348.46</v>
      </c>
      <c r="M82" s="307">
        <f>ROUND((IF('F Intl Con Plus Base'!$M$120&gt;ROUND(((1-'F Intl Con Plus Base'!$M$117)*'F Intl Con Plus Base'!M79),2),ROUND('F Intl Con Plus Base'!$M$120*(1+International_Fuel_Surcharge),2),ROUND(((1-'F Intl Con Plus Base'!$M$117)*'F Intl Con Plus Base'!M79)*(1+International_Fuel_Surcharge),2)))*(1+FedEx_Markup),2)</f>
        <v>427.71</v>
      </c>
      <c r="N82" s="307">
        <f>ROUND((IF('F Intl Con Plus Base'!$N$120&gt;ROUND(((1-'F Intl Con Plus Base'!$N$117)*'F Intl Con Plus Base'!N79),2),ROUND('F Intl Con Plus Base'!$N$120*(1+International_Fuel_Surcharge),2),ROUND(((1-'F Intl Con Plus Base'!$N$117)*'F Intl Con Plus Base'!N79)*(1+International_Fuel_Surcharge),2)))*(1+FedEx_Markup),2)</f>
        <v>433.73</v>
      </c>
      <c r="O82" s="307">
        <f>ROUND((IF('F Intl Con Plus Base'!$O$120&gt;ROUND(((1-'F Intl Con Plus Base'!$O$117)*'F Intl Con Plus Base'!O79),2),ROUND('F Intl Con Plus Base'!$O$120*(1+International_Fuel_Surcharge),2),ROUND(((1-'F Intl Con Plus Base'!$O$117)*'F Intl Con Plus Base'!O79)*(1+International_Fuel_Surcharge),2)))*(1+FedEx_Markup),2)</f>
        <v>308.95</v>
      </c>
      <c r="P82" s="307">
        <f>ROUND((IF('F Intl Con Plus Base'!$P$120&gt;ROUND(((1-'F Intl Con Plus Base'!$P$117)*'F Intl Con Plus Base'!P79),2),ROUND('F Intl Con Plus Base'!$P$120*(1+International_Fuel_Surcharge),2),ROUND(((1-'F Intl Con Plus Base'!$P$117)*'F Intl Con Plus Base'!P79)*(1+International_Fuel_Surcharge),2)))*(1+FedEx_Markup),2)</f>
        <v>376.46</v>
      </c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2.75" customHeight="1">
      <c r="A83" s="306">
        <v>78</v>
      </c>
      <c r="B83" s="307">
        <f>ROUND((IF('F Intl Con Plus Base'!$B$120&gt;ROUND(((1-'F Intl Con Plus Base'!$B$117)*'F Intl Con Plus Base'!B80),2),ROUND('F Intl Con Plus Base'!$B$120*(1+International_Fuel_Surcharge),2),ROUND(((1-'F Intl Con Plus Base'!$B$117)*'F Intl Con Plus Base'!B80)*(1+International_Fuel_Surcharge),2)))*(1+FedEx_Markup),2)</f>
        <v>189.44</v>
      </c>
      <c r="C83" s="307">
        <f>ROUND((IF('F Intl Con Plus Base'!$C$120&gt;ROUND(((1-'F Intl Con Plus Base'!$C$117)*'F Intl Con Plus Base'!C80),2),ROUND('F Intl Con Plus Base'!$C$120*(1+International_Fuel_Surcharge),2),ROUND(((1-'F Intl Con Plus Base'!$C$117)*'F Intl Con Plus Base'!C80)*(1+International_Fuel_Surcharge),2)))*(1+FedEx_Markup),2)</f>
        <v>197.71</v>
      </c>
      <c r="D83" s="307">
        <f>ROUND((IF('F Intl Con Plus Base'!$D$120&gt;ROUND(((1-'F Intl Con Plus Base'!$D$117)*'F Intl Con Plus Base'!D80),2),ROUND('F Intl Con Plus Base'!$D$120*(1+International_Fuel_Surcharge),2),ROUND(((1-'F Intl Con Plus Base'!$D$117)*'F Intl Con Plus Base'!D80)*(1+International_Fuel_Surcharge),2)))*(1+FedEx_Markup),2)</f>
        <v>138.82</v>
      </c>
      <c r="E83" s="307">
        <f>ROUND((IF('F Intl Con Plus Base'!$E$120&gt;ROUND(((1-'F Intl Con Plus Base'!$E$117)*'F Intl Con Plus Base'!E80),2),ROUND('F Intl Con Plus Base'!$E$120*(1+International_Fuel_Surcharge),2),ROUND(((1-'F Intl Con Plus Base'!$E$117)*'F Intl Con Plus Base'!E80)*(1+International_Fuel_Surcharge),2)))*(1+FedEx_Markup),2)</f>
        <v>248.89</v>
      </c>
      <c r="F83" s="307">
        <f>ROUND((IF('F Intl Con Plus Base'!$F$120&gt;ROUND(((1-'F Intl Con Plus Base'!$F$117)*'F Intl Con Plus Base'!F80),2),ROUND('F Intl Con Plus Base'!$F$120*(1+International_Fuel_Surcharge),2),ROUND(((1-'F Intl Con Plus Base'!$F$117)*'F Intl Con Plus Base'!F80)*(1+International_Fuel_Surcharge),2)))*(1+FedEx_Markup),2)</f>
        <v>472.85</v>
      </c>
      <c r="G83" s="307">
        <f>ROUND((IF('F Intl Con Plus Base'!$G$120&gt;ROUND(((1-'F Intl Con Plus Base'!$G$117)*'F Intl Con Plus Base'!G80),2),ROUND('F Intl Con Plus Base'!$G$120*(1+International_Fuel_Surcharge),2),ROUND(((1-'F Intl Con Plus Base'!$G$117)*'F Intl Con Plus Base'!G80)*(1+International_Fuel_Surcharge),2)))*(1+FedEx_Markup),2)</f>
        <v>294.06</v>
      </c>
      <c r="H83" s="307">
        <f>ROUND((IF('F Intl Con Plus Base'!$H$120&gt;ROUND(((1-'F Intl Con Plus Base'!$H$117)*'F Intl Con Plus Base'!H80),2),ROUND('F Intl Con Plus Base'!$H$120*(1+International_Fuel_Surcharge),2),ROUND(((1-'F Intl Con Plus Base'!$H$117)*'F Intl Con Plus Base'!H80)*(1+International_Fuel_Surcharge),2)))*(1+FedEx_Markup),2)</f>
        <v>282.19</v>
      </c>
      <c r="I83" s="307">
        <f>ROUND((IF('F Intl Con Plus Base'!$I$120&gt;ROUND(((1-'F Intl Con Plus Base'!$I$117)*'F Intl Con Plus Base'!I80),2),ROUND('F Intl Con Plus Base'!$I$120*(1+International_Fuel_Surcharge),2),ROUND(((1-'F Intl Con Plus Base'!$I$117)*'F Intl Con Plus Base'!I80)*(1+International_Fuel_Surcharge),2)))*(1+FedEx_Markup),2)</f>
        <v>320.27999999999997</v>
      </c>
      <c r="J83" s="307">
        <f>ROUND((IF('F Intl Con Plus Base'!$J$120&gt;ROUND(((1-'F Intl Con Plus Base'!$J$117)*'F Intl Con Plus Base'!J80),2),ROUND('F Intl Con Plus Base'!$J$120*(1+International_Fuel_Surcharge),2),ROUND(((1-'F Intl Con Plus Base'!$J$117)*'F Intl Con Plus Base'!J80)*(1+International_Fuel_Surcharge),2)))*(1+FedEx_Markup),2)</f>
        <v>204.01</v>
      </c>
      <c r="K83" s="307">
        <f>ROUND((IF('F Intl Con Plus Base'!$K$120&gt;ROUND(((1-'F Intl Con Plus Base'!$K$117)*'F Intl Con Plus Base'!K80),2),ROUND('F Intl Con Plus Base'!$K$120*(1+International_Fuel_Surcharge),2),ROUND(((1-'F Intl Con Plus Base'!$K$117)*'F Intl Con Plus Base'!K80)*(1+International_Fuel_Surcharge),2)))*(1+FedEx_Markup),2)</f>
        <v>393.31</v>
      </c>
      <c r="L83" s="307">
        <f>ROUND((IF('F Intl Con Plus Base'!$L$120&gt;ROUND(((1-'F Intl Con Plus Base'!$L$117)*'F Intl Con Plus Base'!L80),2),ROUND('F Intl Con Plus Base'!$L$120*(1+International_Fuel_Surcharge),2),ROUND(((1-'F Intl Con Plus Base'!$L$117)*'F Intl Con Plus Base'!L80)*(1+International_Fuel_Surcharge),2)))*(1+FedEx_Markup),2)</f>
        <v>348.57</v>
      </c>
      <c r="M83" s="307">
        <f>ROUND((IF('F Intl Con Plus Base'!$M$120&gt;ROUND(((1-'F Intl Con Plus Base'!$M$117)*'F Intl Con Plus Base'!M80),2),ROUND('F Intl Con Plus Base'!$M$120*(1+International_Fuel_Surcharge),2),ROUND(((1-'F Intl Con Plus Base'!$M$117)*'F Intl Con Plus Base'!M80)*(1+International_Fuel_Surcharge),2)))*(1+FedEx_Markup),2)</f>
        <v>428.84</v>
      </c>
      <c r="N83" s="307">
        <f>ROUND((IF('F Intl Con Plus Base'!$N$120&gt;ROUND(((1-'F Intl Con Plus Base'!$N$117)*'F Intl Con Plus Base'!N80),2),ROUND('F Intl Con Plus Base'!$N$120*(1+International_Fuel_Surcharge),2),ROUND(((1-'F Intl Con Plus Base'!$N$117)*'F Intl Con Plus Base'!N80)*(1+International_Fuel_Surcharge),2)))*(1+FedEx_Markup),2)</f>
        <v>433.81</v>
      </c>
      <c r="O83" s="307">
        <f>ROUND((IF('F Intl Con Plus Base'!$O$120&gt;ROUND(((1-'F Intl Con Plus Base'!$O$117)*'F Intl Con Plus Base'!O80),2),ROUND('F Intl Con Plus Base'!$O$120*(1+International_Fuel_Surcharge),2),ROUND(((1-'F Intl Con Plus Base'!$O$117)*'F Intl Con Plus Base'!O80)*(1+International_Fuel_Surcharge),2)))*(1+FedEx_Markup),2)</f>
        <v>309.02999999999997</v>
      </c>
      <c r="P83" s="307">
        <f>ROUND((IF('F Intl Con Plus Base'!$P$120&gt;ROUND(((1-'F Intl Con Plus Base'!$P$117)*'F Intl Con Plus Base'!P80),2),ROUND('F Intl Con Plus Base'!$P$120*(1+International_Fuel_Surcharge),2),ROUND(((1-'F Intl Con Plus Base'!$P$117)*'F Intl Con Plus Base'!P80)*(1+International_Fuel_Surcharge),2)))*(1+FedEx_Markup),2)</f>
        <v>376.53</v>
      </c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2.75" customHeight="1">
      <c r="A84" s="306">
        <v>79</v>
      </c>
      <c r="B84" s="307">
        <f>ROUND((IF('F Intl Con Plus Base'!$B$120&gt;ROUND(((1-'F Intl Con Plus Base'!$B$117)*'F Intl Con Plus Base'!B81),2),ROUND('F Intl Con Plus Base'!$B$120*(1+International_Fuel_Surcharge),2),ROUND(((1-'F Intl Con Plus Base'!$B$117)*'F Intl Con Plus Base'!B81)*(1+International_Fuel_Surcharge),2)))*(1+FedEx_Markup),2)</f>
        <v>189.5</v>
      </c>
      <c r="C84" s="307">
        <f>ROUND((IF('F Intl Con Plus Base'!$C$120&gt;ROUND(((1-'F Intl Con Plus Base'!$C$117)*'F Intl Con Plus Base'!C81),2),ROUND('F Intl Con Plus Base'!$C$120*(1+International_Fuel_Surcharge),2),ROUND(((1-'F Intl Con Plus Base'!$C$117)*'F Intl Con Plus Base'!C81)*(1+International_Fuel_Surcharge),2)))*(1+FedEx_Markup),2)</f>
        <v>197.77</v>
      </c>
      <c r="D84" s="307">
        <f>ROUND((IF('F Intl Con Plus Base'!$D$120&gt;ROUND(((1-'F Intl Con Plus Base'!$D$117)*'F Intl Con Plus Base'!D81),2),ROUND('F Intl Con Plus Base'!$D$120*(1+International_Fuel_Surcharge),2),ROUND(((1-'F Intl Con Plus Base'!$D$117)*'F Intl Con Plus Base'!D81)*(1+International_Fuel_Surcharge),2)))*(1+FedEx_Markup),2)</f>
        <v>140.84</v>
      </c>
      <c r="E84" s="307">
        <f>ROUND((IF('F Intl Con Plus Base'!$E$120&gt;ROUND(((1-'F Intl Con Plus Base'!$E$117)*'F Intl Con Plus Base'!E81),2),ROUND('F Intl Con Plus Base'!$E$120*(1+International_Fuel_Surcharge),2),ROUND(((1-'F Intl Con Plus Base'!$E$117)*'F Intl Con Plus Base'!E81)*(1+International_Fuel_Surcharge),2)))*(1+FedEx_Markup),2)</f>
        <v>248.98</v>
      </c>
      <c r="F84" s="307">
        <f>ROUND((IF('F Intl Con Plus Base'!$F$120&gt;ROUND(((1-'F Intl Con Plus Base'!$F$117)*'F Intl Con Plus Base'!F81),2),ROUND('F Intl Con Plus Base'!$F$120*(1+International_Fuel_Surcharge),2),ROUND(((1-'F Intl Con Plus Base'!$F$117)*'F Intl Con Plus Base'!F81)*(1+International_Fuel_Surcharge),2)))*(1+FedEx_Markup),2)</f>
        <v>472.91</v>
      </c>
      <c r="G84" s="307">
        <f>ROUND((IF('F Intl Con Plus Base'!$G$120&gt;ROUND(((1-'F Intl Con Plus Base'!$G$117)*'F Intl Con Plus Base'!G81),2),ROUND('F Intl Con Plus Base'!$G$120*(1+International_Fuel_Surcharge),2),ROUND(((1-'F Intl Con Plus Base'!$G$117)*'F Intl Con Plus Base'!G81)*(1+International_Fuel_Surcharge),2)))*(1+FedEx_Markup),2)</f>
        <v>294.86</v>
      </c>
      <c r="H84" s="307">
        <f>ROUND((IF('F Intl Con Plus Base'!$H$120&gt;ROUND(((1-'F Intl Con Plus Base'!$H$117)*'F Intl Con Plus Base'!H81),2),ROUND('F Intl Con Plus Base'!$H$120*(1+International_Fuel_Surcharge),2),ROUND(((1-'F Intl Con Plus Base'!$H$117)*'F Intl Con Plus Base'!H81)*(1+International_Fuel_Surcharge),2)))*(1+FedEx_Markup),2)</f>
        <v>284.08</v>
      </c>
      <c r="I84" s="307">
        <f>ROUND((IF('F Intl Con Plus Base'!$I$120&gt;ROUND(((1-'F Intl Con Plus Base'!$I$117)*'F Intl Con Plus Base'!I81),2),ROUND('F Intl Con Plus Base'!$I$120*(1+International_Fuel_Surcharge),2),ROUND(((1-'F Intl Con Plus Base'!$I$117)*'F Intl Con Plus Base'!I81)*(1+International_Fuel_Surcharge),2)))*(1+FedEx_Markup),2)</f>
        <v>320.33999999999997</v>
      </c>
      <c r="J84" s="307">
        <f>ROUND((IF('F Intl Con Plus Base'!$J$120&gt;ROUND(((1-'F Intl Con Plus Base'!$J$117)*'F Intl Con Plus Base'!J81),2),ROUND('F Intl Con Plus Base'!$J$120*(1+International_Fuel_Surcharge),2),ROUND(((1-'F Intl Con Plus Base'!$J$117)*'F Intl Con Plus Base'!J81)*(1+International_Fuel_Surcharge),2)))*(1+FedEx_Markup),2)</f>
        <v>204.09</v>
      </c>
      <c r="K84" s="307">
        <f>ROUND((IF('F Intl Con Plus Base'!$K$120&gt;ROUND(((1-'F Intl Con Plus Base'!$K$117)*'F Intl Con Plus Base'!K81),2),ROUND('F Intl Con Plus Base'!$K$120*(1+International_Fuel_Surcharge),2),ROUND(((1-'F Intl Con Plus Base'!$K$117)*'F Intl Con Plus Base'!K81)*(1+International_Fuel_Surcharge),2)))*(1+FedEx_Markup),2)</f>
        <v>393.43</v>
      </c>
      <c r="L84" s="307">
        <f>ROUND((IF('F Intl Con Plus Base'!$L$120&gt;ROUND(((1-'F Intl Con Plus Base'!$L$117)*'F Intl Con Plus Base'!L81),2),ROUND('F Intl Con Plus Base'!$L$120*(1+International_Fuel_Surcharge),2),ROUND(((1-'F Intl Con Plus Base'!$L$117)*'F Intl Con Plus Base'!L81)*(1+International_Fuel_Surcharge),2)))*(1+FedEx_Markup),2)</f>
        <v>348.65</v>
      </c>
      <c r="M84" s="307">
        <f>ROUND((IF('F Intl Con Plus Base'!$M$120&gt;ROUND(((1-'F Intl Con Plus Base'!$M$117)*'F Intl Con Plus Base'!M81),2),ROUND('F Intl Con Plus Base'!$M$120*(1+International_Fuel_Surcharge),2),ROUND(((1-'F Intl Con Plus Base'!$M$117)*'F Intl Con Plus Base'!M81)*(1+International_Fuel_Surcharge),2)))*(1+FedEx_Markup),2)</f>
        <v>451.36</v>
      </c>
      <c r="N84" s="307">
        <f>ROUND((IF('F Intl Con Plus Base'!$N$120&gt;ROUND(((1-'F Intl Con Plus Base'!$N$117)*'F Intl Con Plus Base'!N81),2),ROUND('F Intl Con Plus Base'!$N$120*(1+International_Fuel_Surcharge),2),ROUND(((1-'F Intl Con Plus Base'!$N$117)*'F Intl Con Plus Base'!N81)*(1+International_Fuel_Surcharge),2)))*(1+FedEx_Markup),2)</f>
        <v>435.53</v>
      </c>
      <c r="O84" s="307">
        <f>ROUND((IF('F Intl Con Plus Base'!$O$120&gt;ROUND(((1-'F Intl Con Plus Base'!$O$117)*'F Intl Con Plus Base'!O81),2),ROUND('F Intl Con Plus Base'!$O$120*(1+International_Fuel_Surcharge),2),ROUND(((1-'F Intl Con Plus Base'!$O$117)*'F Intl Con Plus Base'!O81)*(1+International_Fuel_Surcharge),2)))*(1+FedEx_Markup),2)</f>
        <v>309.10000000000002</v>
      </c>
      <c r="P84" s="307">
        <f>ROUND((IF('F Intl Con Plus Base'!$P$120&gt;ROUND(((1-'F Intl Con Plus Base'!$P$117)*'F Intl Con Plus Base'!P81),2),ROUND('F Intl Con Plus Base'!$P$120*(1+International_Fuel_Surcharge),2),ROUND(((1-'F Intl Con Plus Base'!$P$117)*'F Intl Con Plus Base'!P81)*(1+International_Fuel_Surcharge),2)))*(1+FedEx_Markup),2)</f>
        <v>376.6</v>
      </c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2.75" customHeight="1">
      <c r="A85" s="306">
        <v>80</v>
      </c>
      <c r="B85" s="307">
        <f>ROUND((IF('F Intl Con Plus Base'!$B$120&gt;ROUND(((1-'F Intl Con Plus Base'!$B$117)*'F Intl Con Plus Base'!B82),2),ROUND('F Intl Con Plus Base'!$B$120*(1+International_Fuel_Surcharge),2),ROUND(((1-'F Intl Con Plus Base'!$B$117)*'F Intl Con Plus Base'!B82)*(1+International_Fuel_Surcharge),2)))*(1+FedEx_Markup),2)</f>
        <v>189.55</v>
      </c>
      <c r="C85" s="307">
        <f>ROUND((IF('F Intl Con Plus Base'!$C$120&gt;ROUND(((1-'F Intl Con Plus Base'!$C$117)*'F Intl Con Plus Base'!C82),2),ROUND('F Intl Con Plus Base'!$C$120*(1+International_Fuel_Surcharge),2),ROUND(((1-'F Intl Con Plus Base'!$C$117)*'F Intl Con Plus Base'!C82)*(1+International_Fuel_Surcharge),2)))*(1+FedEx_Markup),2)</f>
        <v>197.83</v>
      </c>
      <c r="D85" s="307">
        <f>ROUND((IF('F Intl Con Plus Base'!$D$120&gt;ROUND(((1-'F Intl Con Plus Base'!$D$117)*'F Intl Con Plus Base'!D82),2),ROUND('F Intl Con Plus Base'!$D$120*(1+International_Fuel_Surcharge),2),ROUND(((1-'F Intl Con Plus Base'!$D$117)*'F Intl Con Plus Base'!D82)*(1+International_Fuel_Surcharge),2)))*(1+FedEx_Markup),2)</f>
        <v>141.05000000000001</v>
      </c>
      <c r="E85" s="307">
        <f>ROUND((IF('F Intl Con Plus Base'!$E$120&gt;ROUND(((1-'F Intl Con Plus Base'!$E$117)*'F Intl Con Plus Base'!E82),2),ROUND('F Intl Con Plus Base'!$E$120*(1+International_Fuel_Surcharge),2),ROUND(((1-'F Intl Con Plus Base'!$E$117)*'F Intl Con Plus Base'!E82)*(1+International_Fuel_Surcharge),2)))*(1+FedEx_Markup),2)</f>
        <v>249.06</v>
      </c>
      <c r="F85" s="307">
        <f>ROUND((IF('F Intl Con Plus Base'!$F$120&gt;ROUND(((1-'F Intl Con Plus Base'!$F$117)*'F Intl Con Plus Base'!F82),2),ROUND('F Intl Con Plus Base'!$F$120*(1+International_Fuel_Surcharge),2),ROUND(((1-'F Intl Con Plus Base'!$F$117)*'F Intl Con Plus Base'!F82)*(1+International_Fuel_Surcharge),2)))*(1+FedEx_Markup),2)</f>
        <v>472.98</v>
      </c>
      <c r="G85" s="307">
        <f>ROUND((IF('F Intl Con Plus Base'!$G$120&gt;ROUND(((1-'F Intl Con Plus Base'!$G$117)*'F Intl Con Plus Base'!G82),2),ROUND('F Intl Con Plus Base'!$G$120*(1+International_Fuel_Surcharge),2),ROUND(((1-'F Intl Con Plus Base'!$G$117)*'F Intl Con Plus Base'!G82)*(1+International_Fuel_Surcharge),2)))*(1+FedEx_Markup),2)</f>
        <v>294.94</v>
      </c>
      <c r="H85" s="307">
        <f>ROUND((IF('F Intl Con Plus Base'!$H$120&gt;ROUND(((1-'F Intl Con Plus Base'!$H$117)*'F Intl Con Plus Base'!H82),2),ROUND('F Intl Con Plus Base'!$H$120*(1+International_Fuel_Surcharge),2),ROUND(((1-'F Intl Con Plus Base'!$H$117)*'F Intl Con Plus Base'!H82)*(1+International_Fuel_Surcharge),2)))*(1+FedEx_Markup),2)</f>
        <v>284.27999999999997</v>
      </c>
      <c r="I85" s="307">
        <f>ROUND((IF('F Intl Con Plus Base'!$I$120&gt;ROUND(((1-'F Intl Con Plus Base'!$I$117)*'F Intl Con Plus Base'!I82),2),ROUND('F Intl Con Plus Base'!$I$120*(1+International_Fuel_Surcharge),2),ROUND(((1-'F Intl Con Plus Base'!$I$117)*'F Intl Con Plus Base'!I82)*(1+International_Fuel_Surcharge),2)))*(1+FedEx_Markup),2)</f>
        <v>320.41000000000003</v>
      </c>
      <c r="J85" s="307">
        <f>ROUND((IF('F Intl Con Plus Base'!$J$120&gt;ROUND(((1-'F Intl Con Plus Base'!$J$117)*'F Intl Con Plus Base'!J82),2),ROUND('F Intl Con Plus Base'!$J$120*(1+International_Fuel_Surcharge),2),ROUND(((1-'F Intl Con Plus Base'!$J$117)*'F Intl Con Plus Base'!J82)*(1+International_Fuel_Surcharge),2)))*(1+FedEx_Markup),2)</f>
        <v>204.17</v>
      </c>
      <c r="K85" s="307">
        <f>ROUND((IF('F Intl Con Plus Base'!$K$120&gt;ROUND(((1-'F Intl Con Plus Base'!$K$117)*'F Intl Con Plus Base'!K82),2),ROUND('F Intl Con Plus Base'!$K$120*(1+International_Fuel_Surcharge),2),ROUND(((1-'F Intl Con Plus Base'!$K$117)*'F Intl Con Plus Base'!K82)*(1+International_Fuel_Surcharge),2)))*(1+FedEx_Markup),2)</f>
        <v>393.5</v>
      </c>
      <c r="L85" s="307">
        <f>ROUND((IF('F Intl Con Plus Base'!$L$120&gt;ROUND(((1-'F Intl Con Plus Base'!$L$117)*'F Intl Con Plus Base'!L82),2),ROUND('F Intl Con Plus Base'!$L$120*(1+International_Fuel_Surcharge),2),ROUND(((1-'F Intl Con Plus Base'!$L$117)*'F Intl Con Plus Base'!L82)*(1+International_Fuel_Surcharge),2)))*(1+FedEx_Markup),2)</f>
        <v>348.73</v>
      </c>
      <c r="M85" s="307">
        <f>ROUND((IF('F Intl Con Plus Base'!$M$120&gt;ROUND(((1-'F Intl Con Plus Base'!$M$117)*'F Intl Con Plus Base'!M82),2),ROUND('F Intl Con Plus Base'!$M$120*(1+International_Fuel_Surcharge),2),ROUND(((1-'F Intl Con Plus Base'!$M$117)*'F Intl Con Plus Base'!M82)*(1+International_Fuel_Surcharge),2)))*(1+FedEx_Markup),2)</f>
        <v>453.62</v>
      </c>
      <c r="N85" s="307">
        <f>ROUND((IF('F Intl Con Plus Base'!$N$120&gt;ROUND(((1-'F Intl Con Plus Base'!$N$117)*'F Intl Con Plus Base'!N82),2),ROUND('F Intl Con Plus Base'!$N$120*(1+International_Fuel_Surcharge),2),ROUND(((1-'F Intl Con Plus Base'!$N$117)*'F Intl Con Plus Base'!N82)*(1+International_Fuel_Surcharge),2)))*(1+FedEx_Markup),2)</f>
        <v>469.57</v>
      </c>
      <c r="O85" s="307">
        <f>ROUND((IF('F Intl Con Plus Base'!$O$120&gt;ROUND(((1-'F Intl Con Plus Base'!$O$117)*'F Intl Con Plus Base'!O82),2),ROUND('F Intl Con Plus Base'!$O$120*(1+International_Fuel_Surcharge),2),ROUND(((1-'F Intl Con Plus Base'!$O$117)*'F Intl Con Plus Base'!O82)*(1+International_Fuel_Surcharge),2)))*(1+FedEx_Markup),2)</f>
        <v>309.18</v>
      </c>
      <c r="P85" s="307">
        <f>ROUND((IF('F Intl Con Plus Base'!$P$120&gt;ROUND(((1-'F Intl Con Plus Base'!$P$117)*'F Intl Con Plus Base'!P82),2),ROUND('F Intl Con Plus Base'!$P$120*(1+International_Fuel_Surcharge),2),ROUND(((1-'F Intl Con Plus Base'!$P$117)*'F Intl Con Plus Base'!P82)*(1+International_Fuel_Surcharge),2)))*(1+FedEx_Markup),2)</f>
        <v>376.67</v>
      </c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2.75" customHeight="1">
      <c r="A86" s="306">
        <v>81</v>
      </c>
      <c r="B86" s="307">
        <f>ROUND((IF('F Intl Con Plus Base'!$B$120&gt;ROUND(((1-'F Intl Con Plus Base'!$B$117)*'F Intl Con Plus Base'!B83),2),ROUND('F Intl Con Plus Base'!$B$120*(1+International_Fuel_Surcharge),2),ROUND(((1-'F Intl Con Plus Base'!$B$117)*'F Intl Con Plus Base'!B83)*(1+International_Fuel_Surcharge),2)))*(1+FedEx_Markup),2)</f>
        <v>189.61</v>
      </c>
      <c r="C86" s="307">
        <f>ROUND((IF('F Intl Con Plus Base'!$C$120&gt;ROUND(((1-'F Intl Con Plus Base'!$C$117)*'F Intl Con Plus Base'!C83),2),ROUND('F Intl Con Plus Base'!$C$120*(1+International_Fuel_Surcharge),2),ROUND(((1-'F Intl Con Plus Base'!$C$117)*'F Intl Con Plus Base'!C83)*(1+International_Fuel_Surcharge),2)))*(1+FedEx_Markup),2)</f>
        <v>197.89</v>
      </c>
      <c r="D86" s="307">
        <f>ROUND((IF('F Intl Con Plus Base'!$D$120&gt;ROUND(((1-'F Intl Con Plus Base'!$D$117)*'F Intl Con Plus Base'!D83),2),ROUND('F Intl Con Plus Base'!$D$120*(1+International_Fuel_Surcharge),2),ROUND(((1-'F Intl Con Plus Base'!$D$117)*'F Intl Con Plus Base'!D83)*(1+International_Fuel_Surcharge),2)))*(1+FedEx_Markup),2)</f>
        <v>141.12</v>
      </c>
      <c r="E86" s="307">
        <f>ROUND((IF('F Intl Con Plus Base'!$E$120&gt;ROUND(((1-'F Intl Con Plus Base'!$E$117)*'F Intl Con Plus Base'!E83),2),ROUND('F Intl Con Plus Base'!$E$120*(1+International_Fuel_Surcharge),2),ROUND(((1-'F Intl Con Plus Base'!$E$117)*'F Intl Con Plus Base'!E83)*(1+International_Fuel_Surcharge),2)))*(1+FedEx_Markup),2)</f>
        <v>249.24</v>
      </c>
      <c r="F86" s="307">
        <f>ROUND((IF('F Intl Con Plus Base'!$F$120&gt;ROUND(((1-'F Intl Con Plus Base'!$F$117)*'F Intl Con Plus Base'!F83),2),ROUND('F Intl Con Plus Base'!$F$120*(1+International_Fuel_Surcharge),2),ROUND(((1-'F Intl Con Plus Base'!$F$117)*'F Intl Con Plus Base'!F83)*(1+International_Fuel_Surcharge),2)))*(1+FedEx_Markup),2)</f>
        <v>473.05</v>
      </c>
      <c r="G86" s="307">
        <f>ROUND((IF('F Intl Con Plus Base'!$G$120&gt;ROUND(((1-'F Intl Con Plus Base'!$G$117)*'F Intl Con Plus Base'!G83),2),ROUND('F Intl Con Plus Base'!$G$120*(1+International_Fuel_Surcharge),2),ROUND(((1-'F Intl Con Plus Base'!$G$117)*'F Intl Con Plus Base'!G83)*(1+International_Fuel_Surcharge),2)))*(1+FedEx_Markup),2)</f>
        <v>295.02999999999997</v>
      </c>
      <c r="H86" s="307">
        <f>ROUND((IF('F Intl Con Plus Base'!$H$120&gt;ROUND(((1-'F Intl Con Plus Base'!$H$117)*'F Intl Con Plus Base'!H83),2),ROUND('F Intl Con Plus Base'!$H$120*(1+International_Fuel_Surcharge),2),ROUND(((1-'F Intl Con Plus Base'!$H$117)*'F Intl Con Plus Base'!H83)*(1+International_Fuel_Surcharge),2)))*(1+FedEx_Markup),2)</f>
        <v>286.08999999999997</v>
      </c>
      <c r="I86" s="307">
        <f>ROUND((IF('F Intl Con Plus Base'!$I$120&gt;ROUND(((1-'F Intl Con Plus Base'!$I$117)*'F Intl Con Plus Base'!I83),2),ROUND('F Intl Con Plus Base'!$I$120*(1+International_Fuel_Surcharge),2),ROUND(((1-'F Intl Con Plus Base'!$I$117)*'F Intl Con Plus Base'!I83)*(1+International_Fuel_Surcharge),2)))*(1+FedEx_Markup),2)</f>
        <v>320.49</v>
      </c>
      <c r="J86" s="307">
        <f>ROUND((IF('F Intl Con Plus Base'!$J$120&gt;ROUND(((1-'F Intl Con Plus Base'!$J$117)*'F Intl Con Plus Base'!J83),2),ROUND('F Intl Con Plus Base'!$J$120*(1+International_Fuel_Surcharge),2),ROUND(((1-'F Intl Con Plus Base'!$J$117)*'F Intl Con Plus Base'!J83)*(1+International_Fuel_Surcharge),2)))*(1+FedEx_Markup),2)</f>
        <v>205.67</v>
      </c>
      <c r="K86" s="307">
        <f>ROUND((IF('F Intl Con Plus Base'!$K$120&gt;ROUND(((1-'F Intl Con Plus Base'!$K$117)*'F Intl Con Plus Base'!K83),2),ROUND('F Intl Con Plus Base'!$K$120*(1+International_Fuel_Surcharge),2),ROUND(((1-'F Intl Con Plus Base'!$K$117)*'F Intl Con Plus Base'!K83)*(1+International_Fuel_Surcharge),2)))*(1+FedEx_Markup),2)</f>
        <v>393.56</v>
      </c>
      <c r="L86" s="307">
        <f>ROUND((IF('F Intl Con Plus Base'!$L$120&gt;ROUND(((1-'F Intl Con Plus Base'!$L$117)*'F Intl Con Plus Base'!L83),2),ROUND('F Intl Con Plus Base'!$L$120*(1+International_Fuel_Surcharge),2),ROUND(((1-'F Intl Con Plus Base'!$L$117)*'F Intl Con Plus Base'!L83)*(1+International_Fuel_Surcharge),2)))*(1+FedEx_Markup),2)</f>
        <v>348.82</v>
      </c>
      <c r="M86" s="307">
        <f>ROUND((IF('F Intl Con Plus Base'!$M$120&gt;ROUND(((1-'F Intl Con Plus Base'!$M$117)*'F Intl Con Plus Base'!M83),2),ROUND('F Intl Con Plus Base'!$M$120*(1+International_Fuel_Surcharge),2),ROUND(((1-'F Intl Con Plus Base'!$M$117)*'F Intl Con Plus Base'!M83)*(1+International_Fuel_Surcharge),2)))*(1+FedEx_Markup),2)</f>
        <v>453.85</v>
      </c>
      <c r="N86" s="307">
        <f>ROUND((IF('F Intl Con Plus Base'!$N$120&gt;ROUND(((1-'F Intl Con Plus Base'!$N$117)*'F Intl Con Plus Base'!N83),2),ROUND('F Intl Con Plus Base'!$N$120*(1+International_Fuel_Surcharge),2),ROUND(((1-'F Intl Con Plus Base'!$N$117)*'F Intl Con Plus Base'!N83)*(1+International_Fuel_Surcharge),2)))*(1+FedEx_Markup),2)</f>
        <v>473.13</v>
      </c>
      <c r="O86" s="307">
        <f>ROUND((IF('F Intl Con Plus Base'!$O$120&gt;ROUND(((1-'F Intl Con Plus Base'!$O$117)*'F Intl Con Plus Base'!O83),2),ROUND('F Intl Con Plus Base'!$O$120*(1+International_Fuel_Surcharge),2),ROUND(((1-'F Intl Con Plus Base'!$O$117)*'F Intl Con Plus Base'!O83)*(1+International_Fuel_Surcharge),2)))*(1+FedEx_Markup),2)</f>
        <v>309.26</v>
      </c>
      <c r="P86" s="307">
        <f>ROUND((IF('F Intl Con Plus Base'!$P$120&gt;ROUND(((1-'F Intl Con Plus Base'!$P$117)*'F Intl Con Plus Base'!P83),2),ROUND('F Intl Con Plus Base'!$P$120*(1+International_Fuel_Surcharge),2),ROUND(((1-'F Intl Con Plus Base'!$P$117)*'F Intl Con Plus Base'!P83)*(1+International_Fuel_Surcharge),2)))*(1+FedEx_Markup),2)</f>
        <v>376.73</v>
      </c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2.75" customHeight="1">
      <c r="A87" s="306">
        <v>82</v>
      </c>
      <c r="B87" s="307">
        <f>ROUND((IF('F Intl Con Plus Base'!$B$120&gt;ROUND(((1-'F Intl Con Plus Base'!$B$117)*'F Intl Con Plus Base'!B84),2),ROUND('F Intl Con Plus Base'!$B$120*(1+International_Fuel_Surcharge),2),ROUND(((1-'F Intl Con Plus Base'!$B$117)*'F Intl Con Plus Base'!B84)*(1+International_Fuel_Surcharge),2)))*(1+FedEx_Markup),2)</f>
        <v>189.68</v>
      </c>
      <c r="C87" s="307">
        <f>ROUND((IF('F Intl Con Plus Base'!$C$120&gt;ROUND(((1-'F Intl Con Plus Base'!$C$117)*'F Intl Con Plus Base'!C84),2),ROUND('F Intl Con Plus Base'!$C$120*(1+International_Fuel_Surcharge),2),ROUND(((1-'F Intl Con Plus Base'!$C$117)*'F Intl Con Plus Base'!C84)*(1+International_Fuel_Surcharge),2)))*(1+FedEx_Markup),2)</f>
        <v>197.95</v>
      </c>
      <c r="D87" s="307">
        <f>ROUND((IF('F Intl Con Plus Base'!$D$120&gt;ROUND(((1-'F Intl Con Plus Base'!$D$117)*'F Intl Con Plus Base'!D84),2),ROUND('F Intl Con Plus Base'!$D$120*(1+International_Fuel_Surcharge),2),ROUND(((1-'F Intl Con Plus Base'!$D$117)*'F Intl Con Plus Base'!D84)*(1+International_Fuel_Surcharge),2)))*(1+FedEx_Markup),2)</f>
        <v>141.22999999999999</v>
      </c>
      <c r="E87" s="307">
        <f>ROUND((IF('F Intl Con Plus Base'!$E$120&gt;ROUND(((1-'F Intl Con Plus Base'!$E$117)*'F Intl Con Plus Base'!E84),2),ROUND('F Intl Con Plus Base'!$E$120*(1+International_Fuel_Surcharge),2),ROUND(((1-'F Intl Con Plus Base'!$E$117)*'F Intl Con Plus Base'!E84)*(1+International_Fuel_Surcharge),2)))*(1+FedEx_Markup),2)</f>
        <v>252.86</v>
      </c>
      <c r="F87" s="307">
        <f>ROUND((IF('F Intl Con Plus Base'!$F$120&gt;ROUND(((1-'F Intl Con Plus Base'!$F$117)*'F Intl Con Plus Base'!F84),2),ROUND('F Intl Con Plus Base'!$F$120*(1+International_Fuel_Surcharge),2),ROUND(((1-'F Intl Con Plus Base'!$F$117)*'F Intl Con Plus Base'!F84)*(1+International_Fuel_Surcharge),2)))*(1+FedEx_Markup),2)</f>
        <v>473.11</v>
      </c>
      <c r="G87" s="307">
        <f>ROUND((IF('F Intl Con Plus Base'!$G$120&gt;ROUND(((1-'F Intl Con Plus Base'!$G$117)*'F Intl Con Plus Base'!G84),2),ROUND('F Intl Con Plus Base'!$G$120*(1+International_Fuel_Surcharge),2),ROUND(((1-'F Intl Con Plus Base'!$G$117)*'F Intl Con Plus Base'!G84)*(1+International_Fuel_Surcharge),2)))*(1+FedEx_Markup),2)</f>
        <v>295.10000000000002</v>
      </c>
      <c r="H87" s="307">
        <f>ROUND((IF('F Intl Con Plus Base'!$H$120&gt;ROUND(((1-'F Intl Con Plus Base'!$H$117)*'F Intl Con Plus Base'!H84),2),ROUND('F Intl Con Plus Base'!$H$120*(1+International_Fuel_Surcharge),2),ROUND(((1-'F Intl Con Plus Base'!$H$117)*'F Intl Con Plus Base'!H84)*(1+International_Fuel_Surcharge),2)))*(1+FedEx_Markup),2)</f>
        <v>286.27</v>
      </c>
      <c r="I87" s="307">
        <f>ROUND((IF('F Intl Con Plus Base'!$I$120&gt;ROUND(((1-'F Intl Con Plus Base'!$I$117)*'F Intl Con Plus Base'!I84),2),ROUND('F Intl Con Plus Base'!$I$120*(1+International_Fuel_Surcharge),2),ROUND(((1-'F Intl Con Plus Base'!$I$117)*'F Intl Con Plus Base'!I84)*(1+International_Fuel_Surcharge),2)))*(1+FedEx_Markup),2)</f>
        <v>320.56</v>
      </c>
      <c r="J87" s="307">
        <f>ROUND((IF('F Intl Con Plus Base'!$J$120&gt;ROUND(((1-'F Intl Con Plus Base'!$J$117)*'F Intl Con Plus Base'!J84),2),ROUND('F Intl Con Plus Base'!$J$120*(1+International_Fuel_Surcharge),2),ROUND(((1-'F Intl Con Plus Base'!$J$117)*'F Intl Con Plus Base'!J84)*(1+International_Fuel_Surcharge),2)))*(1+FedEx_Markup),2)</f>
        <v>209.56</v>
      </c>
      <c r="K87" s="307">
        <f>ROUND((IF('F Intl Con Plus Base'!$K$120&gt;ROUND(((1-'F Intl Con Plus Base'!$K$117)*'F Intl Con Plus Base'!K84),2),ROUND('F Intl Con Plus Base'!$K$120*(1+International_Fuel_Surcharge),2),ROUND(((1-'F Intl Con Plus Base'!$K$117)*'F Intl Con Plus Base'!K84)*(1+International_Fuel_Surcharge),2)))*(1+FedEx_Markup),2)</f>
        <v>393.63</v>
      </c>
      <c r="L87" s="307">
        <f>ROUND((IF('F Intl Con Plus Base'!$L$120&gt;ROUND(((1-'F Intl Con Plus Base'!$L$117)*'F Intl Con Plus Base'!L84),2),ROUND('F Intl Con Plus Base'!$L$120*(1+International_Fuel_Surcharge),2),ROUND(((1-'F Intl Con Plus Base'!$L$117)*'F Intl Con Plus Base'!L84)*(1+International_Fuel_Surcharge),2)))*(1+FedEx_Markup),2)</f>
        <v>348.89</v>
      </c>
      <c r="M87" s="307">
        <f>ROUND((IF('F Intl Con Plus Base'!$M$120&gt;ROUND(((1-'F Intl Con Plus Base'!$M$117)*'F Intl Con Plus Base'!M84),2),ROUND('F Intl Con Plus Base'!$M$120*(1+International_Fuel_Surcharge),2),ROUND(((1-'F Intl Con Plus Base'!$M$117)*'F Intl Con Plus Base'!M84)*(1+International_Fuel_Surcharge),2)))*(1+FedEx_Markup),2)</f>
        <v>453.99</v>
      </c>
      <c r="N87" s="307">
        <f>ROUND((IF('F Intl Con Plus Base'!$N$120&gt;ROUND(((1-'F Intl Con Plus Base'!$N$117)*'F Intl Con Plus Base'!N84),2),ROUND('F Intl Con Plus Base'!$N$120*(1+International_Fuel_Surcharge),2),ROUND(((1-'F Intl Con Plus Base'!$N$117)*'F Intl Con Plus Base'!N84)*(1+International_Fuel_Surcharge),2)))*(1+FedEx_Markup),2)</f>
        <v>473.49</v>
      </c>
      <c r="O87" s="307">
        <f>ROUND((IF('F Intl Con Plus Base'!$O$120&gt;ROUND(((1-'F Intl Con Plus Base'!$O$117)*'F Intl Con Plus Base'!O84),2),ROUND('F Intl Con Plus Base'!$O$120*(1+International_Fuel_Surcharge),2),ROUND(((1-'F Intl Con Plus Base'!$O$117)*'F Intl Con Plus Base'!O84)*(1+International_Fuel_Surcharge),2)))*(1+FedEx_Markup),2)</f>
        <v>309.33</v>
      </c>
      <c r="P87" s="307">
        <f>ROUND((IF('F Intl Con Plus Base'!$P$120&gt;ROUND(((1-'F Intl Con Plus Base'!$P$117)*'F Intl Con Plus Base'!P84),2),ROUND('F Intl Con Plus Base'!$P$120*(1+International_Fuel_Surcharge),2),ROUND(((1-'F Intl Con Plus Base'!$P$117)*'F Intl Con Plus Base'!P84)*(1+International_Fuel_Surcharge),2)))*(1+FedEx_Markup),2)</f>
        <v>376.8</v>
      </c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2.75" customHeight="1">
      <c r="A88" s="306">
        <v>83</v>
      </c>
      <c r="B88" s="307">
        <f>ROUND((IF('F Intl Con Plus Base'!$B$120&gt;ROUND(((1-'F Intl Con Plus Base'!$B$117)*'F Intl Con Plus Base'!B85),2),ROUND('F Intl Con Plus Base'!$B$120*(1+International_Fuel_Surcharge),2),ROUND(((1-'F Intl Con Plus Base'!$B$117)*'F Intl Con Plus Base'!B85)*(1+International_Fuel_Surcharge),2)))*(1+FedEx_Markup),2)</f>
        <v>189.74</v>
      </c>
      <c r="C88" s="307">
        <f>ROUND((IF('F Intl Con Plus Base'!$C$120&gt;ROUND(((1-'F Intl Con Plus Base'!$C$117)*'F Intl Con Plus Base'!C85),2),ROUND('F Intl Con Plus Base'!$C$120*(1+International_Fuel_Surcharge),2),ROUND(((1-'F Intl Con Plus Base'!$C$117)*'F Intl Con Plus Base'!C85)*(1+International_Fuel_Surcharge),2)))*(1+FedEx_Markup),2)</f>
        <v>198.01</v>
      </c>
      <c r="D88" s="307">
        <f>ROUND((IF('F Intl Con Plus Base'!$D$120&gt;ROUND(((1-'F Intl Con Plus Base'!$D$117)*'F Intl Con Plus Base'!D85),2),ROUND('F Intl Con Plus Base'!$D$120*(1+International_Fuel_Surcharge),2),ROUND(((1-'F Intl Con Plus Base'!$D$117)*'F Intl Con Plus Base'!D85)*(1+International_Fuel_Surcharge),2)))*(1+FedEx_Markup),2)</f>
        <v>143.66</v>
      </c>
      <c r="E88" s="307">
        <f>ROUND((IF('F Intl Con Plus Base'!$E$120&gt;ROUND(((1-'F Intl Con Plus Base'!$E$117)*'F Intl Con Plus Base'!E85),2),ROUND('F Intl Con Plus Base'!$E$120*(1+International_Fuel_Surcharge),2),ROUND(((1-'F Intl Con Plus Base'!$E$117)*'F Intl Con Plus Base'!E85)*(1+International_Fuel_Surcharge),2)))*(1+FedEx_Markup),2)</f>
        <v>253.23</v>
      </c>
      <c r="F88" s="307">
        <f>ROUND((IF('F Intl Con Plus Base'!$F$120&gt;ROUND(((1-'F Intl Con Plus Base'!$F$117)*'F Intl Con Plus Base'!F85),2),ROUND('F Intl Con Plus Base'!$F$120*(1+International_Fuel_Surcharge),2),ROUND(((1-'F Intl Con Plus Base'!$F$117)*'F Intl Con Plus Base'!F85)*(1+International_Fuel_Surcharge),2)))*(1+FedEx_Markup),2)</f>
        <v>473.21</v>
      </c>
      <c r="G88" s="307">
        <f>ROUND((IF('F Intl Con Plus Base'!$G$120&gt;ROUND(((1-'F Intl Con Plus Base'!$G$117)*'F Intl Con Plus Base'!G85),2),ROUND('F Intl Con Plus Base'!$G$120*(1+International_Fuel_Surcharge),2),ROUND(((1-'F Intl Con Plus Base'!$G$117)*'F Intl Con Plus Base'!G85)*(1+International_Fuel_Surcharge),2)))*(1+FedEx_Markup),2)</f>
        <v>295.17</v>
      </c>
      <c r="H88" s="307">
        <f>ROUND((IF('F Intl Con Plus Base'!$H$120&gt;ROUND(((1-'F Intl Con Plus Base'!$H$117)*'F Intl Con Plus Base'!H85),2),ROUND('F Intl Con Plus Base'!$H$120*(1+International_Fuel_Surcharge),2),ROUND(((1-'F Intl Con Plus Base'!$H$117)*'F Intl Con Plus Base'!H85)*(1+International_Fuel_Surcharge),2)))*(1+FedEx_Markup),2)</f>
        <v>286.61</v>
      </c>
      <c r="I88" s="307">
        <f>ROUND((IF('F Intl Con Plus Base'!$I$120&gt;ROUND(((1-'F Intl Con Plus Base'!$I$117)*'F Intl Con Plus Base'!I85),2),ROUND('F Intl Con Plus Base'!$I$120*(1+International_Fuel_Surcharge),2),ROUND(((1-'F Intl Con Plus Base'!$I$117)*'F Intl Con Plus Base'!I85)*(1+International_Fuel_Surcharge),2)))*(1+FedEx_Markup),2)</f>
        <v>320.63</v>
      </c>
      <c r="J88" s="307">
        <f>ROUND((IF('F Intl Con Plus Base'!$J$120&gt;ROUND(((1-'F Intl Con Plus Base'!$J$117)*'F Intl Con Plus Base'!J85),2),ROUND('F Intl Con Plus Base'!$J$120*(1+International_Fuel_Surcharge),2),ROUND(((1-'F Intl Con Plus Base'!$J$117)*'F Intl Con Plus Base'!J85)*(1+International_Fuel_Surcharge),2)))*(1+FedEx_Markup),2)</f>
        <v>209.97</v>
      </c>
      <c r="K88" s="307">
        <f>ROUND((IF('F Intl Con Plus Base'!$K$120&gt;ROUND(((1-'F Intl Con Plus Base'!$K$117)*'F Intl Con Plus Base'!K85),2),ROUND('F Intl Con Plus Base'!$K$120*(1+International_Fuel_Surcharge),2),ROUND(((1-'F Intl Con Plus Base'!$K$117)*'F Intl Con Plus Base'!K85)*(1+International_Fuel_Surcharge),2)))*(1+FedEx_Markup),2)</f>
        <v>393.7</v>
      </c>
      <c r="L88" s="307">
        <f>ROUND((IF('F Intl Con Plus Base'!$L$120&gt;ROUND(((1-'F Intl Con Plus Base'!$L$117)*'F Intl Con Plus Base'!L85),2),ROUND('F Intl Con Plus Base'!$L$120*(1+International_Fuel_Surcharge),2),ROUND(((1-'F Intl Con Plus Base'!$L$117)*'F Intl Con Plus Base'!L85)*(1+International_Fuel_Surcharge),2)))*(1+FedEx_Markup),2)</f>
        <v>348.96</v>
      </c>
      <c r="M88" s="307">
        <f>ROUND((IF('F Intl Con Plus Base'!$M$120&gt;ROUND(((1-'F Intl Con Plus Base'!$M$117)*'F Intl Con Plus Base'!M85),2),ROUND('F Intl Con Plus Base'!$M$120*(1+International_Fuel_Surcharge),2),ROUND(((1-'F Intl Con Plus Base'!$M$117)*'F Intl Con Plus Base'!M85)*(1+International_Fuel_Surcharge),2)))*(1+FedEx_Markup),2)</f>
        <v>454.08</v>
      </c>
      <c r="N88" s="307">
        <f>ROUND((IF('F Intl Con Plus Base'!$N$120&gt;ROUND(((1-'F Intl Con Plus Base'!$N$117)*'F Intl Con Plus Base'!N85),2),ROUND('F Intl Con Plus Base'!$N$120*(1+International_Fuel_Surcharge),2),ROUND(((1-'F Intl Con Plus Base'!$N$117)*'F Intl Con Plus Base'!N85)*(1+International_Fuel_Surcharge),2)))*(1+FedEx_Markup),2)</f>
        <v>473.56</v>
      </c>
      <c r="O88" s="307">
        <f>ROUND((IF('F Intl Con Plus Base'!$O$120&gt;ROUND(((1-'F Intl Con Plus Base'!$O$117)*'F Intl Con Plus Base'!O85),2),ROUND('F Intl Con Plus Base'!$O$120*(1+International_Fuel_Surcharge),2),ROUND(((1-'F Intl Con Plus Base'!$O$117)*'F Intl Con Plus Base'!O85)*(1+International_Fuel_Surcharge),2)))*(1+FedEx_Markup),2)</f>
        <v>309.41000000000003</v>
      </c>
      <c r="P88" s="307">
        <f>ROUND((IF('F Intl Con Plus Base'!$P$120&gt;ROUND(((1-'F Intl Con Plus Base'!$P$117)*'F Intl Con Plus Base'!P85),2),ROUND('F Intl Con Plus Base'!$P$120*(1+International_Fuel_Surcharge),2),ROUND(((1-'F Intl Con Plus Base'!$P$117)*'F Intl Con Plus Base'!P85)*(1+International_Fuel_Surcharge),2)))*(1+FedEx_Markup),2)</f>
        <v>376.87</v>
      </c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2.75" customHeight="1">
      <c r="A89" s="306">
        <v>84</v>
      </c>
      <c r="B89" s="307">
        <f>ROUND((IF('F Intl Con Plus Base'!$B$120&gt;ROUND(((1-'F Intl Con Plus Base'!$B$117)*'F Intl Con Plus Base'!B86),2),ROUND('F Intl Con Plus Base'!$B$120*(1+International_Fuel_Surcharge),2),ROUND(((1-'F Intl Con Plus Base'!$B$117)*'F Intl Con Plus Base'!B86)*(1+International_Fuel_Surcharge),2)))*(1+FedEx_Markup),2)</f>
        <v>189.8</v>
      </c>
      <c r="C89" s="307">
        <f>ROUND((IF('F Intl Con Plus Base'!$C$120&gt;ROUND(((1-'F Intl Con Plus Base'!$C$117)*'F Intl Con Plus Base'!C86),2),ROUND('F Intl Con Plus Base'!$C$120*(1+International_Fuel_Surcharge),2),ROUND(((1-'F Intl Con Plus Base'!$C$117)*'F Intl Con Plus Base'!C86)*(1+International_Fuel_Surcharge),2)))*(1+FedEx_Markup),2)</f>
        <v>198.08</v>
      </c>
      <c r="D89" s="307">
        <f>ROUND((IF('F Intl Con Plus Base'!$D$120&gt;ROUND(((1-'F Intl Con Plus Base'!$D$117)*'F Intl Con Plus Base'!D86),2),ROUND('F Intl Con Plus Base'!$D$120*(1+International_Fuel_Surcharge),2),ROUND(((1-'F Intl Con Plus Base'!$D$117)*'F Intl Con Plus Base'!D86)*(1+International_Fuel_Surcharge),2)))*(1+FedEx_Markup),2)</f>
        <v>143.9</v>
      </c>
      <c r="E89" s="307">
        <f>ROUND((IF('F Intl Con Plus Base'!$E$120&gt;ROUND(((1-'F Intl Con Plus Base'!$E$117)*'F Intl Con Plus Base'!E86),2),ROUND('F Intl Con Plus Base'!$E$120*(1+International_Fuel_Surcharge),2),ROUND(((1-'F Intl Con Plus Base'!$E$117)*'F Intl Con Plus Base'!E86)*(1+International_Fuel_Surcharge),2)))*(1+FedEx_Markup),2)</f>
        <v>253.61</v>
      </c>
      <c r="F89" s="307">
        <f>ROUND((IF('F Intl Con Plus Base'!$F$120&gt;ROUND(((1-'F Intl Con Plus Base'!$F$117)*'F Intl Con Plus Base'!F86),2),ROUND('F Intl Con Plus Base'!$F$120*(1+International_Fuel_Surcharge),2),ROUND(((1-'F Intl Con Plus Base'!$F$117)*'F Intl Con Plus Base'!F86)*(1+International_Fuel_Surcharge),2)))*(1+FedEx_Markup),2)</f>
        <v>473.28</v>
      </c>
      <c r="G89" s="307">
        <f>ROUND((IF('F Intl Con Plus Base'!$G$120&gt;ROUND(((1-'F Intl Con Plus Base'!$G$117)*'F Intl Con Plus Base'!G86),2),ROUND('F Intl Con Plus Base'!$G$120*(1+International_Fuel_Surcharge),2),ROUND(((1-'F Intl Con Plus Base'!$G$117)*'F Intl Con Plus Base'!G86)*(1+International_Fuel_Surcharge),2)))*(1+FedEx_Markup),2)</f>
        <v>295.24</v>
      </c>
      <c r="H89" s="307">
        <f>ROUND((IF('F Intl Con Plus Base'!$H$120&gt;ROUND(((1-'F Intl Con Plus Base'!$H$117)*'F Intl Con Plus Base'!H86),2),ROUND('F Intl Con Plus Base'!$H$120*(1+International_Fuel_Surcharge),2),ROUND(((1-'F Intl Con Plus Base'!$H$117)*'F Intl Con Plus Base'!H86)*(1+International_Fuel_Surcharge),2)))*(1+FedEx_Markup),2)</f>
        <v>293.60000000000002</v>
      </c>
      <c r="I89" s="307">
        <f>ROUND((IF('F Intl Con Plus Base'!$I$120&gt;ROUND(((1-'F Intl Con Plus Base'!$I$117)*'F Intl Con Plus Base'!I86),2),ROUND('F Intl Con Plus Base'!$I$120*(1+International_Fuel_Surcharge),2),ROUND(((1-'F Intl Con Plus Base'!$I$117)*'F Intl Con Plus Base'!I86)*(1+International_Fuel_Surcharge),2)))*(1+FedEx_Markup),2)</f>
        <v>320.7</v>
      </c>
      <c r="J89" s="307">
        <f>ROUND((IF('F Intl Con Plus Base'!$J$120&gt;ROUND(((1-'F Intl Con Plus Base'!$J$117)*'F Intl Con Plus Base'!J86),2),ROUND('F Intl Con Plus Base'!$J$120*(1+International_Fuel_Surcharge),2),ROUND(((1-'F Intl Con Plus Base'!$J$117)*'F Intl Con Plus Base'!J86)*(1+International_Fuel_Surcharge),2)))*(1+FedEx_Markup),2)</f>
        <v>210.09</v>
      </c>
      <c r="K89" s="307">
        <f>ROUND((IF('F Intl Con Plus Base'!$K$120&gt;ROUND(((1-'F Intl Con Plus Base'!$K$117)*'F Intl Con Plus Base'!K86),2),ROUND('F Intl Con Plus Base'!$K$120*(1+International_Fuel_Surcharge),2),ROUND(((1-'F Intl Con Plus Base'!$K$117)*'F Intl Con Plus Base'!K86)*(1+International_Fuel_Surcharge),2)))*(1+FedEx_Markup),2)</f>
        <v>393.77</v>
      </c>
      <c r="L89" s="307">
        <f>ROUND((IF('F Intl Con Plus Base'!$L$120&gt;ROUND(((1-'F Intl Con Plus Base'!$L$117)*'F Intl Con Plus Base'!L86),2),ROUND('F Intl Con Plus Base'!$L$120*(1+International_Fuel_Surcharge),2),ROUND(((1-'F Intl Con Plus Base'!$L$117)*'F Intl Con Plus Base'!L86)*(1+International_Fuel_Surcharge),2)))*(1+FedEx_Markup),2)</f>
        <v>349.06</v>
      </c>
      <c r="M89" s="307">
        <f>ROUND((IF('F Intl Con Plus Base'!$M$120&gt;ROUND(((1-'F Intl Con Plus Base'!$M$117)*'F Intl Con Plus Base'!M86),2),ROUND('F Intl Con Plus Base'!$M$120*(1+International_Fuel_Surcharge),2),ROUND(((1-'F Intl Con Plus Base'!$M$117)*'F Intl Con Plus Base'!M86)*(1+International_Fuel_Surcharge),2)))*(1+FedEx_Markup),2)</f>
        <v>454.16</v>
      </c>
      <c r="N89" s="307">
        <f>ROUND((IF('F Intl Con Plus Base'!$N$120&gt;ROUND(((1-'F Intl Con Plus Base'!$N$117)*'F Intl Con Plus Base'!N86),2),ROUND('F Intl Con Plus Base'!$N$120*(1+International_Fuel_Surcharge),2),ROUND(((1-'F Intl Con Plus Base'!$N$117)*'F Intl Con Plus Base'!N86)*(1+International_Fuel_Surcharge),2)))*(1+FedEx_Markup),2)</f>
        <v>473.65</v>
      </c>
      <c r="O89" s="307">
        <f>ROUND((IF('F Intl Con Plus Base'!$O$120&gt;ROUND(((1-'F Intl Con Plus Base'!$O$117)*'F Intl Con Plus Base'!O86),2),ROUND('F Intl Con Plus Base'!$O$120*(1+International_Fuel_Surcharge),2),ROUND(((1-'F Intl Con Plus Base'!$O$117)*'F Intl Con Plus Base'!O86)*(1+International_Fuel_Surcharge),2)))*(1+FedEx_Markup),2)</f>
        <v>309.49</v>
      </c>
      <c r="P89" s="307">
        <f>ROUND((IF('F Intl Con Plus Base'!$P$120&gt;ROUND(((1-'F Intl Con Plus Base'!$P$117)*'F Intl Con Plus Base'!P86),2),ROUND('F Intl Con Plus Base'!$P$120*(1+International_Fuel_Surcharge),2),ROUND(((1-'F Intl Con Plus Base'!$P$117)*'F Intl Con Plus Base'!P86)*(1+International_Fuel_Surcharge),2)))*(1+FedEx_Markup),2)</f>
        <v>376.94</v>
      </c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2.75" customHeight="1">
      <c r="A90" s="306">
        <v>85</v>
      </c>
      <c r="B90" s="307">
        <f>ROUND((IF('F Intl Con Plus Base'!$B$120&gt;ROUND(((1-'F Intl Con Plus Base'!$B$117)*'F Intl Con Plus Base'!B87),2),ROUND('F Intl Con Plus Base'!$B$120*(1+International_Fuel_Surcharge),2),ROUND(((1-'F Intl Con Plus Base'!$B$117)*'F Intl Con Plus Base'!B87)*(1+International_Fuel_Surcharge),2)))*(1+FedEx_Markup),2)</f>
        <v>189.87</v>
      </c>
      <c r="C90" s="307">
        <f>ROUND((IF('F Intl Con Plus Base'!$C$120&gt;ROUND(((1-'F Intl Con Plus Base'!$C$117)*'F Intl Con Plus Base'!C87),2),ROUND('F Intl Con Plus Base'!$C$120*(1+International_Fuel_Surcharge),2),ROUND(((1-'F Intl Con Plus Base'!$C$117)*'F Intl Con Plus Base'!C87)*(1+International_Fuel_Surcharge),2)))*(1+FedEx_Markup),2)</f>
        <v>198.13</v>
      </c>
      <c r="D90" s="307">
        <f>ROUND((IF('F Intl Con Plus Base'!$D$120&gt;ROUND(((1-'F Intl Con Plus Base'!$D$117)*'F Intl Con Plus Base'!D87),2),ROUND('F Intl Con Plus Base'!$D$120*(1+International_Fuel_Surcharge),2),ROUND(((1-'F Intl Con Plus Base'!$D$117)*'F Intl Con Plus Base'!D87)*(1+International_Fuel_Surcharge),2)))*(1+FedEx_Markup),2)</f>
        <v>147.75</v>
      </c>
      <c r="E90" s="307">
        <f>ROUND((IF('F Intl Con Plus Base'!$E$120&gt;ROUND(((1-'F Intl Con Plus Base'!$E$117)*'F Intl Con Plus Base'!E87),2),ROUND('F Intl Con Plus Base'!$E$120*(1+International_Fuel_Surcharge),2),ROUND(((1-'F Intl Con Plus Base'!$E$117)*'F Intl Con Plus Base'!E87)*(1+International_Fuel_Surcharge),2)))*(1+FedEx_Markup),2)</f>
        <v>255.88</v>
      </c>
      <c r="F90" s="307">
        <f>ROUND((IF('F Intl Con Plus Base'!$F$120&gt;ROUND(((1-'F Intl Con Plus Base'!$F$117)*'F Intl Con Plus Base'!F87),2),ROUND('F Intl Con Plus Base'!$F$120*(1+International_Fuel_Surcharge),2),ROUND(((1-'F Intl Con Plus Base'!$F$117)*'F Intl Con Plus Base'!F87)*(1+International_Fuel_Surcharge),2)))*(1+FedEx_Markup),2)</f>
        <v>473.35</v>
      </c>
      <c r="G90" s="307">
        <f>ROUND((IF('F Intl Con Plus Base'!$G$120&gt;ROUND(((1-'F Intl Con Plus Base'!$G$117)*'F Intl Con Plus Base'!G87),2),ROUND('F Intl Con Plus Base'!$G$120*(1+International_Fuel_Surcharge),2),ROUND(((1-'F Intl Con Plus Base'!$G$117)*'F Intl Con Plus Base'!G87)*(1+International_Fuel_Surcharge),2)))*(1+FedEx_Markup),2)</f>
        <v>295.35000000000002</v>
      </c>
      <c r="H90" s="307">
        <f>ROUND((IF('F Intl Con Plus Base'!$H$120&gt;ROUND(((1-'F Intl Con Plus Base'!$H$117)*'F Intl Con Plus Base'!H87),2),ROUND('F Intl Con Plus Base'!$H$120*(1+International_Fuel_Surcharge),2),ROUND(((1-'F Intl Con Plus Base'!$H$117)*'F Intl Con Plus Base'!H87)*(1+International_Fuel_Surcharge),2)))*(1+FedEx_Markup),2)</f>
        <v>295.49</v>
      </c>
      <c r="I90" s="307">
        <f>ROUND((IF('F Intl Con Plus Base'!$I$120&gt;ROUND(((1-'F Intl Con Plus Base'!$I$117)*'F Intl Con Plus Base'!I87),2),ROUND('F Intl Con Plus Base'!$I$120*(1+International_Fuel_Surcharge),2),ROUND(((1-'F Intl Con Plus Base'!$I$117)*'F Intl Con Plus Base'!I87)*(1+International_Fuel_Surcharge),2)))*(1+FedEx_Markup),2)</f>
        <v>320.77</v>
      </c>
      <c r="J90" s="307">
        <f>ROUND((IF('F Intl Con Plus Base'!$J$120&gt;ROUND(((1-'F Intl Con Plus Base'!$J$117)*'F Intl Con Plus Base'!J87),2),ROUND('F Intl Con Plus Base'!$J$120*(1+International_Fuel_Surcharge),2),ROUND(((1-'F Intl Con Plus Base'!$J$117)*'F Intl Con Plus Base'!J87)*(1+International_Fuel_Surcharge),2)))*(1+FedEx_Markup),2)</f>
        <v>212.8</v>
      </c>
      <c r="K90" s="307">
        <f>ROUND((IF('F Intl Con Plus Base'!$K$120&gt;ROUND(((1-'F Intl Con Plus Base'!$K$117)*'F Intl Con Plus Base'!K87),2),ROUND('F Intl Con Plus Base'!$K$120*(1+International_Fuel_Surcharge),2),ROUND(((1-'F Intl Con Plus Base'!$K$117)*'F Intl Con Plus Base'!K87)*(1+International_Fuel_Surcharge),2)))*(1+FedEx_Markup),2)</f>
        <v>393.84</v>
      </c>
      <c r="L90" s="307">
        <f>ROUND((IF('F Intl Con Plus Base'!$L$120&gt;ROUND(((1-'F Intl Con Plus Base'!$L$117)*'F Intl Con Plus Base'!L87),2),ROUND('F Intl Con Plus Base'!$L$120*(1+International_Fuel_Surcharge),2),ROUND(((1-'F Intl Con Plus Base'!$L$117)*'F Intl Con Plus Base'!L87)*(1+International_Fuel_Surcharge),2)))*(1+FedEx_Markup),2)</f>
        <v>349.14</v>
      </c>
      <c r="M90" s="307">
        <f>ROUND((IF('F Intl Con Plus Base'!$M$120&gt;ROUND(((1-'F Intl Con Plus Base'!$M$117)*'F Intl Con Plus Base'!M87),2),ROUND('F Intl Con Plus Base'!$M$120*(1+International_Fuel_Surcharge),2),ROUND(((1-'F Intl Con Plus Base'!$M$117)*'F Intl Con Plus Base'!M87)*(1+International_Fuel_Surcharge),2)))*(1+FedEx_Markup),2)</f>
        <v>454.25</v>
      </c>
      <c r="N90" s="307">
        <f>ROUND((IF('F Intl Con Plus Base'!$N$120&gt;ROUND(((1-'F Intl Con Plus Base'!$N$117)*'F Intl Con Plus Base'!N87),2),ROUND('F Intl Con Plus Base'!$N$120*(1+International_Fuel_Surcharge),2),ROUND(((1-'F Intl Con Plus Base'!$N$117)*'F Intl Con Plus Base'!N87)*(1+International_Fuel_Surcharge),2)))*(1+FedEx_Markup),2)</f>
        <v>473.73</v>
      </c>
      <c r="O90" s="307">
        <f>ROUND((IF('F Intl Con Plus Base'!$O$120&gt;ROUND(((1-'F Intl Con Plus Base'!$O$117)*'F Intl Con Plus Base'!O87),2),ROUND('F Intl Con Plus Base'!$O$120*(1+International_Fuel_Surcharge),2),ROUND(((1-'F Intl Con Plus Base'!$O$117)*'F Intl Con Plus Base'!O87)*(1+International_Fuel_Surcharge),2)))*(1+FedEx_Markup),2)</f>
        <v>309.57</v>
      </c>
      <c r="P90" s="307">
        <f>ROUND((IF('F Intl Con Plus Base'!$P$120&gt;ROUND(((1-'F Intl Con Plus Base'!$P$117)*'F Intl Con Plus Base'!P87),2),ROUND('F Intl Con Plus Base'!$P$120*(1+International_Fuel_Surcharge),2),ROUND(((1-'F Intl Con Plus Base'!$P$117)*'F Intl Con Plus Base'!P87)*(1+International_Fuel_Surcharge),2)))*(1+FedEx_Markup),2)</f>
        <v>377.58</v>
      </c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3.5" customHeight="1">
      <c r="A91" s="306">
        <v>86</v>
      </c>
      <c r="B91" s="307">
        <f>ROUND((IF('F Intl Con Plus Base'!$B$120&gt;ROUND(((1-'F Intl Con Plus Base'!$B$117)*'F Intl Con Plus Base'!B88),2),ROUND('F Intl Con Plus Base'!$B$120*(1+International_Fuel_Surcharge),2),ROUND(((1-'F Intl Con Plus Base'!$B$117)*'F Intl Con Plus Base'!B88)*(1+International_Fuel_Surcharge),2)))*(1+FedEx_Markup),2)</f>
        <v>189.92</v>
      </c>
      <c r="C91" s="307">
        <f>ROUND((IF('F Intl Con Plus Base'!$C$120&gt;ROUND(((1-'F Intl Con Plus Base'!$C$117)*'F Intl Con Plus Base'!C88),2),ROUND('F Intl Con Plus Base'!$C$120*(1+International_Fuel_Surcharge),2),ROUND(((1-'F Intl Con Plus Base'!$C$117)*'F Intl Con Plus Base'!C88)*(1+International_Fuel_Surcharge),2)))*(1+FedEx_Markup),2)</f>
        <v>198.19</v>
      </c>
      <c r="D91" s="307">
        <f>ROUND((IF('F Intl Con Plus Base'!$D$120&gt;ROUND(((1-'F Intl Con Plus Base'!$D$117)*'F Intl Con Plus Base'!D88),2),ROUND('F Intl Con Plus Base'!$D$120*(1+International_Fuel_Surcharge),2),ROUND(((1-'F Intl Con Plus Base'!$D$117)*'F Intl Con Plus Base'!D88)*(1+International_Fuel_Surcharge),2)))*(1+FedEx_Markup),2)</f>
        <v>149.27000000000001</v>
      </c>
      <c r="E91" s="307">
        <f>ROUND((IF('F Intl Con Plus Base'!$E$120&gt;ROUND(((1-'F Intl Con Plus Base'!$E$117)*'F Intl Con Plus Base'!E88),2),ROUND('F Intl Con Plus Base'!$E$120*(1+International_Fuel_Surcharge),2),ROUND(((1-'F Intl Con Plus Base'!$E$117)*'F Intl Con Plus Base'!E88)*(1+International_Fuel_Surcharge),2)))*(1+FedEx_Markup),2)</f>
        <v>256.08999999999997</v>
      </c>
      <c r="F91" s="307">
        <f>ROUND((IF('F Intl Con Plus Base'!$F$120&gt;ROUND(((1-'F Intl Con Plus Base'!$F$117)*'F Intl Con Plus Base'!F88),2),ROUND('F Intl Con Plus Base'!$F$120*(1+International_Fuel_Surcharge),2),ROUND(((1-'F Intl Con Plus Base'!$F$117)*'F Intl Con Plus Base'!F88)*(1+International_Fuel_Surcharge),2)))*(1+FedEx_Markup),2)</f>
        <v>473.47</v>
      </c>
      <c r="G91" s="307">
        <f>ROUND((IF('F Intl Con Plus Base'!$G$120&gt;ROUND(((1-'F Intl Con Plus Base'!$G$117)*'F Intl Con Plus Base'!G88),2),ROUND('F Intl Con Plus Base'!$G$120*(1+International_Fuel_Surcharge),2),ROUND(((1-'F Intl Con Plus Base'!$G$117)*'F Intl Con Plus Base'!G88)*(1+International_Fuel_Surcharge),2)))*(1+FedEx_Markup),2)</f>
        <v>297.85000000000002</v>
      </c>
      <c r="H91" s="307">
        <f>ROUND((IF('F Intl Con Plus Base'!$H$120&gt;ROUND(((1-'F Intl Con Plus Base'!$H$117)*'F Intl Con Plus Base'!H88),2),ROUND('F Intl Con Plus Base'!$H$120*(1+International_Fuel_Surcharge),2),ROUND(((1-'F Intl Con Plus Base'!$H$117)*'F Intl Con Plus Base'!H88)*(1+International_Fuel_Surcharge),2)))*(1+FedEx_Markup),2)</f>
        <v>297.39</v>
      </c>
      <c r="I91" s="307">
        <f>ROUND((IF('F Intl Con Plus Base'!$I$120&gt;ROUND(((1-'F Intl Con Plus Base'!$I$117)*'F Intl Con Plus Base'!I88),2),ROUND('F Intl Con Plus Base'!$I$120*(1+International_Fuel_Surcharge),2),ROUND(((1-'F Intl Con Plus Base'!$I$117)*'F Intl Con Plus Base'!I88)*(1+International_Fuel_Surcharge),2)))*(1+FedEx_Markup),2)</f>
        <v>320.85000000000002</v>
      </c>
      <c r="J91" s="307">
        <f>ROUND((IF('F Intl Con Plus Base'!$J$120&gt;ROUND(((1-'F Intl Con Plus Base'!$J$117)*'F Intl Con Plus Base'!J88),2),ROUND('F Intl Con Plus Base'!$J$120*(1+International_Fuel_Surcharge),2),ROUND(((1-'F Intl Con Plus Base'!$J$117)*'F Intl Con Plus Base'!J88)*(1+International_Fuel_Surcharge),2)))*(1+FedEx_Markup),2)</f>
        <v>213.07</v>
      </c>
      <c r="K91" s="307">
        <f>ROUND((IF('F Intl Con Plus Base'!$K$120&gt;ROUND(((1-'F Intl Con Plus Base'!$K$117)*'F Intl Con Plus Base'!K88),2),ROUND('F Intl Con Plus Base'!$K$120*(1+International_Fuel_Surcharge),2),ROUND(((1-'F Intl Con Plus Base'!$K$117)*'F Intl Con Plus Base'!K88)*(1+International_Fuel_Surcharge),2)))*(1+FedEx_Markup),2)</f>
        <v>393.91</v>
      </c>
      <c r="L91" s="307">
        <f>ROUND((IF('F Intl Con Plus Base'!$L$120&gt;ROUND(((1-'F Intl Con Plus Base'!$L$117)*'F Intl Con Plus Base'!L88),2),ROUND('F Intl Con Plus Base'!$L$120*(1+International_Fuel_Surcharge),2),ROUND(((1-'F Intl Con Plus Base'!$L$117)*'F Intl Con Plus Base'!L88)*(1+International_Fuel_Surcharge),2)))*(1+FedEx_Markup),2)</f>
        <v>349.22</v>
      </c>
      <c r="M91" s="307">
        <f>ROUND((IF('F Intl Con Plus Base'!$M$120&gt;ROUND(((1-'F Intl Con Plus Base'!$M$117)*'F Intl Con Plus Base'!M88),2),ROUND('F Intl Con Plus Base'!$M$120*(1+International_Fuel_Surcharge),2),ROUND(((1-'F Intl Con Plus Base'!$M$117)*'F Intl Con Plus Base'!M88)*(1+International_Fuel_Surcharge),2)))*(1+FedEx_Markup),2)</f>
        <v>454.32</v>
      </c>
      <c r="N91" s="307">
        <f>ROUND((IF('F Intl Con Plus Base'!$N$120&gt;ROUND(((1-'F Intl Con Plus Base'!$N$117)*'F Intl Con Plus Base'!N88),2),ROUND('F Intl Con Plus Base'!$N$120*(1+International_Fuel_Surcharge),2),ROUND(((1-'F Intl Con Plus Base'!$N$117)*'F Intl Con Plus Base'!N88)*(1+International_Fuel_Surcharge),2)))*(1+FedEx_Markup),2)</f>
        <v>474.82</v>
      </c>
      <c r="O91" s="307">
        <f>ROUND((IF('F Intl Con Plus Base'!$O$120&gt;ROUND(((1-'F Intl Con Plus Base'!$O$117)*'F Intl Con Plus Base'!O88),2),ROUND('F Intl Con Plus Base'!$O$120*(1+International_Fuel_Surcharge),2),ROUND(((1-'F Intl Con Plus Base'!$O$117)*'F Intl Con Plus Base'!O88)*(1+International_Fuel_Surcharge),2)))*(1+FedEx_Markup),2)</f>
        <v>309.64</v>
      </c>
      <c r="P91" s="307">
        <f>ROUND((IF('F Intl Con Plus Base'!$P$120&gt;ROUND(((1-'F Intl Con Plus Base'!$P$117)*'F Intl Con Plus Base'!P88),2),ROUND('F Intl Con Plus Base'!$P$120*(1+International_Fuel_Surcharge),2),ROUND(((1-'F Intl Con Plus Base'!$P$117)*'F Intl Con Plus Base'!P88)*(1+International_Fuel_Surcharge),2)))*(1+FedEx_Markup),2)</f>
        <v>390.37</v>
      </c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2.75" customHeight="1">
      <c r="A92" s="306">
        <v>87</v>
      </c>
      <c r="B92" s="307">
        <f>ROUND((IF('F Intl Con Plus Base'!$B$120&gt;ROUND(((1-'F Intl Con Plus Base'!$B$117)*'F Intl Con Plus Base'!B89),2),ROUND('F Intl Con Plus Base'!$B$120*(1+International_Fuel_Surcharge),2),ROUND(((1-'F Intl Con Plus Base'!$B$117)*'F Intl Con Plus Base'!B89)*(1+International_Fuel_Surcharge),2)))*(1+FedEx_Markup),2)</f>
        <v>189.98</v>
      </c>
      <c r="C92" s="307">
        <f>ROUND((IF('F Intl Con Plus Base'!$C$120&gt;ROUND(((1-'F Intl Con Plus Base'!$C$117)*'F Intl Con Plus Base'!C89),2),ROUND('F Intl Con Plus Base'!$C$120*(1+International_Fuel_Surcharge),2),ROUND(((1-'F Intl Con Plus Base'!$C$117)*'F Intl Con Plus Base'!C89)*(1+International_Fuel_Surcharge),2)))*(1+FedEx_Markup),2)</f>
        <v>198.26</v>
      </c>
      <c r="D92" s="307">
        <f>ROUND((IF('F Intl Con Plus Base'!$D$120&gt;ROUND(((1-'F Intl Con Plus Base'!$D$117)*'F Intl Con Plus Base'!D89),2),ROUND('F Intl Con Plus Base'!$D$120*(1+International_Fuel_Surcharge),2),ROUND(((1-'F Intl Con Plus Base'!$D$117)*'F Intl Con Plus Base'!D89)*(1+International_Fuel_Surcharge),2)))*(1+FedEx_Markup),2)</f>
        <v>152.52000000000001</v>
      </c>
      <c r="E92" s="307">
        <f>ROUND((IF('F Intl Con Plus Base'!$E$120&gt;ROUND(((1-'F Intl Con Plus Base'!$E$117)*'F Intl Con Plus Base'!E89),2),ROUND('F Intl Con Plus Base'!$E$120*(1+International_Fuel_Surcharge),2),ROUND(((1-'F Intl Con Plus Base'!$E$117)*'F Intl Con Plus Base'!E89)*(1+International_Fuel_Surcharge),2)))*(1+FedEx_Markup),2)</f>
        <v>256.73</v>
      </c>
      <c r="F92" s="307">
        <f>ROUND((IF('F Intl Con Plus Base'!$F$120&gt;ROUND(((1-'F Intl Con Plus Base'!$F$117)*'F Intl Con Plus Base'!F89),2),ROUND('F Intl Con Plus Base'!$F$120*(1+International_Fuel_Surcharge),2),ROUND(((1-'F Intl Con Plus Base'!$F$117)*'F Intl Con Plus Base'!F89)*(1+International_Fuel_Surcharge),2)))*(1+FedEx_Markup),2)</f>
        <v>475.69</v>
      </c>
      <c r="G92" s="307">
        <f>ROUND((IF('F Intl Con Plus Base'!$G$120&gt;ROUND(((1-'F Intl Con Plus Base'!$G$117)*'F Intl Con Plus Base'!G89),2),ROUND('F Intl Con Plus Base'!$G$120*(1+International_Fuel_Surcharge),2),ROUND(((1-'F Intl Con Plus Base'!$G$117)*'F Intl Con Plus Base'!G89)*(1+International_Fuel_Surcharge),2)))*(1+FedEx_Markup),2)</f>
        <v>298.83999999999997</v>
      </c>
      <c r="H92" s="307">
        <f>ROUND((IF('F Intl Con Plus Base'!$H$120&gt;ROUND(((1-'F Intl Con Plus Base'!$H$117)*'F Intl Con Plus Base'!H89),2),ROUND('F Intl Con Plus Base'!$H$120*(1+International_Fuel_Surcharge),2),ROUND(((1-'F Intl Con Plus Base'!$H$117)*'F Intl Con Plus Base'!H89)*(1+International_Fuel_Surcharge),2)))*(1+FedEx_Markup),2)</f>
        <v>298.24</v>
      </c>
      <c r="I92" s="307">
        <f>ROUND((IF('F Intl Con Plus Base'!$I$120&gt;ROUND(((1-'F Intl Con Plus Base'!$I$117)*'F Intl Con Plus Base'!I89),2),ROUND('F Intl Con Plus Base'!$I$120*(1+International_Fuel_Surcharge),2),ROUND(((1-'F Intl Con Plus Base'!$I$117)*'F Intl Con Plus Base'!I89)*(1+International_Fuel_Surcharge),2)))*(1+FedEx_Markup),2)</f>
        <v>320.92</v>
      </c>
      <c r="J92" s="307">
        <f>ROUND((IF('F Intl Con Plus Base'!$J$120&gt;ROUND(((1-'F Intl Con Plus Base'!$J$117)*'F Intl Con Plus Base'!J89),2),ROUND('F Intl Con Plus Base'!$J$120*(1+International_Fuel_Surcharge),2),ROUND(((1-'F Intl Con Plus Base'!$J$117)*'F Intl Con Plus Base'!J89)*(1+International_Fuel_Surcharge),2)))*(1+FedEx_Markup),2)</f>
        <v>213.21</v>
      </c>
      <c r="K92" s="307">
        <f>ROUND((IF('F Intl Con Plus Base'!$K$120&gt;ROUND(((1-'F Intl Con Plus Base'!$K$117)*'F Intl Con Plus Base'!K89),2),ROUND('F Intl Con Plus Base'!$K$120*(1+International_Fuel_Surcharge),2),ROUND(((1-'F Intl Con Plus Base'!$K$117)*'F Intl Con Plus Base'!K89)*(1+International_Fuel_Surcharge),2)))*(1+FedEx_Markup),2)</f>
        <v>393.98</v>
      </c>
      <c r="L92" s="307">
        <f>ROUND((IF('F Intl Con Plus Base'!$L$120&gt;ROUND(((1-'F Intl Con Plus Base'!$L$117)*'F Intl Con Plus Base'!L89),2),ROUND('F Intl Con Plus Base'!$L$120*(1+International_Fuel_Surcharge),2),ROUND(((1-'F Intl Con Plus Base'!$L$117)*'F Intl Con Plus Base'!L89)*(1+International_Fuel_Surcharge),2)))*(1+FedEx_Markup),2)</f>
        <v>349.3</v>
      </c>
      <c r="M92" s="307">
        <f>ROUND((IF('F Intl Con Plus Base'!$M$120&gt;ROUND(((1-'F Intl Con Plus Base'!$M$117)*'F Intl Con Plus Base'!M89),2),ROUND('F Intl Con Plus Base'!$M$120*(1+International_Fuel_Surcharge),2),ROUND(((1-'F Intl Con Plus Base'!$M$117)*'F Intl Con Plus Base'!M89)*(1+International_Fuel_Surcharge),2)))*(1+FedEx_Markup),2)</f>
        <v>454.39</v>
      </c>
      <c r="N92" s="307">
        <f>ROUND((IF('F Intl Con Plus Base'!$N$120&gt;ROUND(((1-'F Intl Con Plus Base'!$N$117)*'F Intl Con Plus Base'!N89),2),ROUND('F Intl Con Plus Base'!$N$120*(1+International_Fuel_Surcharge),2),ROUND(((1-'F Intl Con Plus Base'!$N$117)*'F Intl Con Plus Base'!N89)*(1+International_Fuel_Surcharge),2)))*(1+FedEx_Markup),2)</f>
        <v>496.67</v>
      </c>
      <c r="O92" s="307">
        <f>ROUND((IF('F Intl Con Plus Base'!$O$120&gt;ROUND(((1-'F Intl Con Plus Base'!$O$117)*'F Intl Con Plus Base'!O89),2),ROUND('F Intl Con Plus Base'!$O$120*(1+International_Fuel_Surcharge),2),ROUND(((1-'F Intl Con Plus Base'!$O$117)*'F Intl Con Plus Base'!O89)*(1+International_Fuel_Surcharge),2)))*(1+FedEx_Markup),2)</f>
        <v>309.72000000000003</v>
      </c>
      <c r="P92" s="307">
        <f>ROUND((IF('F Intl Con Plus Base'!$P$120&gt;ROUND(((1-'F Intl Con Plus Base'!$P$117)*'F Intl Con Plus Base'!P89),2),ROUND('F Intl Con Plus Base'!$P$120*(1+International_Fuel_Surcharge),2),ROUND(((1-'F Intl Con Plus Base'!$P$117)*'F Intl Con Plus Base'!P89)*(1+International_Fuel_Surcharge),2)))*(1+FedEx_Markup),2)</f>
        <v>391.64</v>
      </c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2.75" customHeight="1">
      <c r="A93" s="306">
        <v>88</v>
      </c>
      <c r="B93" s="307">
        <f>ROUND((IF('F Intl Con Plus Base'!$B$120&gt;ROUND(((1-'F Intl Con Plus Base'!$B$117)*'F Intl Con Plus Base'!B90),2),ROUND('F Intl Con Plus Base'!$B$120*(1+International_Fuel_Surcharge),2),ROUND(((1-'F Intl Con Plus Base'!$B$117)*'F Intl Con Plus Base'!B90)*(1+International_Fuel_Surcharge),2)))*(1+FedEx_Markup),2)</f>
        <v>190.04</v>
      </c>
      <c r="C93" s="307">
        <f>ROUND((IF('F Intl Con Plus Base'!$C$120&gt;ROUND(((1-'F Intl Con Plus Base'!$C$117)*'F Intl Con Plus Base'!C90),2),ROUND('F Intl Con Plus Base'!$C$120*(1+International_Fuel_Surcharge),2),ROUND(((1-'F Intl Con Plus Base'!$C$117)*'F Intl Con Plus Base'!C90)*(1+International_Fuel_Surcharge),2)))*(1+FedEx_Markup),2)</f>
        <v>198.32</v>
      </c>
      <c r="D93" s="307">
        <f>ROUND((IF('F Intl Con Plus Base'!$D$120&gt;ROUND(((1-'F Intl Con Plus Base'!$D$117)*'F Intl Con Plus Base'!D90),2),ROUND('F Intl Con Plus Base'!$D$120*(1+International_Fuel_Surcharge),2),ROUND(((1-'F Intl Con Plus Base'!$D$117)*'F Intl Con Plus Base'!D90)*(1+International_Fuel_Surcharge),2)))*(1+FedEx_Markup),2)</f>
        <v>152.85</v>
      </c>
      <c r="E93" s="307">
        <f>ROUND((IF('F Intl Con Plus Base'!$E$120&gt;ROUND(((1-'F Intl Con Plus Base'!$E$117)*'F Intl Con Plus Base'!E90),2),ROUND('F Intl Con Plus Base'!$E$120*(1+International_Fuel_Surcharge),2),ROUND(((1-'F Intl Con Plus Base'!$E$117)*'F Intl Con Plus Base'!E90)*(1+International_Fuel_Surcharge),2)))*(1+FedEx_Markup),2)</f>
        <v>256.77999999999997</v>
      </c>
      <c r="F93" s="307">
        <f>ROUND((IF('F Intl Con Plus Base'!$F$120&gt;ROUND(((1-'F Intl Con Plus Base'!$F$117)*'F Intl Con Plus Base'!F90),2),ROUND('F Intl Con Plus Base'!$F$120*(1+International_Fuel_Surcharge),2),ROUND(((1-'F Intl Con Plus Base'!$F$117)*'F Intl Con Plus Base'!F90)*(1+International_Fuel_Surcharge),2)))*(1+FedEx_Markup),2)</f>
        <v>505.48</v>
      </c>
      <c r="G93" s="307">
        <f>ROUND((IF('F Intl Con Plus Base'!$G$120&gt;ROUND(((1-'F Intl Con Plus Base'!$G$117)*'F Intl Con Plus Base'!G90),2),ROUND('F Intl Con Plus Base'!$G$120*(1+International_Fuel_Surcharge),2),ROUND(((1-'F Intl Con Plus Base'!$G$117)*'F Intl Con Plus Base'!G90)*(1+International_Fuel_Surcharge),2)))*(1+FedEx_Markup),2)</f>
        <v>298.99</v>
      </c>
      <c r="H93" s="307">
        <f>ROUND((IF('F Intl Con Plus Base'!$H$120&gt;ROUND(((1-'F Intl Con Plus Base'!$H$117)*'F Intl Con Plus Base'!H90),2),ROUND('F Intl Con Plus Base'!$H$120*(1+International_Fuel_Surcharge),2),ROUND(((1-'F Intl Con Plus Base'!$H$117)*'F Intl Con Plus Base'!H90)*(1+International_Fuel_Surcharge),2)))*(1+FedEx_Markup),2)</f>
        <v>298.32</v>
      </c>
      <c r="I93" s="307">
        <f>ROUND((IF('F Intl Con Plus Base'!$I$120&gt;ROUND(((1-'F Intl Con Plus Base'!$I$117)*'F Intl Con Plus Base'!I90),2),ROUND('F Intl Con Plus Base'!$I$120*(1+International_Fuel_Surcharge),2),ROUND(((1-'F Intl Con Plus Base'!$I$117)*'F Intl Con Plus Base'!I90)*(1+International_Fuel_Surcharge),2)))*(1+FedEx_Markup),2)</f>
        <v>320.99</v>
      </c>
      <c r="J93" s="307">
        <f>ROUND((IF('F Intl Con Plus Base'!$J$120&gt;ROUND(((1-'F Intl Con Plus Base'!$J$117)*'F Intl Con Plus Base'!J90),2),ROUND('F Intl Con Plus Base'!$J$120*(1+International_Fuel_Surcharge),2),ROUND(((1-'F Intl Con Plus Base'!$J$117)*'F Intl Con Plus Base'!J90)*(1+International_Fuel_Surcharge),2)))*(1+FedEx_Markup),2)</f>
        <v>216.04</v>
      </c>
      <c r="K93" s="307">
        <f>ROUND((IF('F Intl Con Plus Base'!$K$120&gt;ROUND(((1-'F Intl Con Plus Base'!$K$117)*'F Intl Con Plus Base'!K90),2),ROUND('F Intl Con Plus Base'!$K$120*(1+International_Fuel_Surcharge),2),ROUND(((1-'F Intl Con Plus Base'!$K$117)*'F Intl Con Plus Base'!K90)*(1+International_Fuel_Surcharge),2)))*(1+FedEx_Markup),2)</f>
        <v>394.05</v>
      </c>
      <c r="L93" s="307">
        <f>ROUND((IF('F Intl Con Plus Base'!$L$120&gt;ROUND(((1-'F Intl Con Plus Base'!$L$117)*'F Intl Con Plus Base'!L90),2),ROUND('F Intl Con Plus Base'!$L$120*(1+International_Fuel_Surcharge),2),ROUND(((1-'F Intl Con Plus Base'!$L$117)*'F Intl Con Plus Base'!L90)*(1+International_Fuel_Surcharge),2)))*(1+FedEx_Markup),2)</f>
        <v>349.47</v>
      </c>
      <c r="M93" s="307">
        <f>ROUND((IF('F Intl Con Plus Base'!$M$120&gt;ROUND(((1-'F Intl Con Plus Base'!$M$117)*'F Intl Con Plus Base'!M90),2),ROUND('F Intl Con Plus Base'!$M$120*(1+International_Fuel_Surcharge),2),ROUND(((1-'F Intl Con Plus Base'!$M$117)*'F Intl Con Plus Base'!M90)*(1+International_Fuel_Surcharge),2)))*(1+FedEx_Markup),2)</f>
        <v>454.5</v>
      </c>
      <c r="N93" s="307">
        <f>ROUND((IF('F Intl Con Plus Base'!$N$120&gt;ROUND(((1-'F Intl Con Plus Base'!$N$117)*'F Intl Con Plus Base'!N90),2),ROUND('F Intl Con Plus Base'!$N$120*(1+International_Fuel_Surcharge),2),ROUND(((1-'F Intl Con Plus Base'!$N$117)*'F Intl Con Plus Base'!N90)*(1+International_Fuel_Surcharge),2)))*(1+FedEx_Markup),2)</f>
        <v>498.86</v>
      </c>
      <c r="O93" s="307">
        <f>ROUND((IF('F Intl Con Plus Base'!$O$120&gt;ROUND(((1-'F Intl Con Plus Base'!$O$117)*'F Intl Con Plus Base'!O90),2),ROUND('F Intl Con Plus Base'!$O$120*(1+International_Fuel_Surcharge),2),ROUND(((1-'F Intl Con Plus Base'!$O$117)*'F Intl Con Plus Base'!O90)*(1+International_Fuel_Surcharge),2)))*(1+FedEx_Markup),2)</f>
        <v>310.24</v>
      </c>
      <c r="P93" s="307">
        <f>ROUND((IF('F Intl Con Plus Base'!$P$120&gt;ROUND(((1-'F Intl Con Plus Base'!$P$117)*'F Intl Con Plus Base'!P90),2),ROUND('F Intl Con Plus Base'!$P$120*(1+International_Fuel_Surcharge),2),ROUND(((1-'F Intl Con Plus Base'!$P$117)*'F Intl Con Plus Base'!P90)*(1+International_Fuel_Surcharge),2)))*(1+FedEx_Markup),2)</f>
        <v>391.77</v>
      </c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2.75" customHeight="1">
      <c r="A94" s="306">
        <v>89</v>
      </c>
      <c r="B94" s="307">
        <f>ROUND((IF('F Intl Con Plus Base'!$B$120&gt;ROUND(((1-'F Intl Con Plus Base'!$B$117)*'F Intl Con Plus Base'!B91),2),ROUND('F Intl Con Plus Base'!$B$120*(1+International_Fuel_Surcharge),2),ROUND(((1-'F Intl Con Plus Base'!$B$117)*'F Intl Con Plus Base'!B91)*(1+International_Fuel_Surcharge),2)))*(1+FedEx_Markup),2)</f>
        <v>190.11</v>
      </c>
      <c r="C94" s="307">
        <f>ROUND((IF('F Intl Con Plus Base'!$C$120&gt;ROUND(((1-'F Intl Con Plus Base'!$C$117)*'F Intl Con Plus Base'!C91),2),ROUND('F Intl Con Plus Base'!$C$120*(1+International_Fuel_Surcharge),2),ROUND(((1-'F Intl Con Plus Base'!$C$117)*'F Intl Con Plus Base'!C91)*(1+International_Fuel_Surcharge),2)))*(1+FedEx_Markup),2)</f>
        <v>198.38</v>
      </c>
      <c r="D94" s="307">
        <f>ROUND((IF('F Intl Con Plus Base'!$D$120&gt;ROUND(((1-'F Intl Con Plus Base'!$D$117)*'F Intl Con Plus Base'!D91),2),ROUND('F Intl Con Plus Base'!$D$120*(1+International_Fuel_Surcharge),2),ROUND(((1-'F Intl Con Plus Base'!$D$117)*'F Intl Con Plus Base'!D91)*(1+International_Fuel_Surcharge),2)))*(1+FedEx_Markup),2)</f>
        <v>152.91999999999999</v>
      </c>
      <c r="E94" s="307">
        <f>ROUND((IF('F Intl Con Plus Base'!$E$120&gt;ROUND(((1-'F Intl Con Plus Base'!$E$117)*'F Intl Con Plus Base'!E91),2),ROUND('F Intl Con Plus Base'!$E$120*(1+International_Fuel_Surcharge),2),ROUND(((1-'F Intl Con Plus Base'!$E$117)*'F Intl Con Plus Base'!E91)*(1+International_Fuel_Surcharge),2)))*(1+FedEx_Markup),2)</f>
        <v>256.89999999999998</v>
      </c>
      <c r="F94" s="307">
        <f>ROUND((IF('F Intl Con Plus Base'!$F$120&gt;ROUND(((1-'F Intl Con Plus Base'!$F$117)*'F Intl Con Plus Base'!F91),2),ROUND('F Intl Con Plus Base'!$F$120*(1+International_Fuel_Surcharge),2),ROUND(((1-'F Intl Con Plus Base'!$F$117)*'F Intl Con Plus Base'!F91)*(1+International_Fuel_Surcharge),2)))*(1+FedEx_Markup),2)</f>
        <v>534.67999999999995</v>
      </c>
      <c r="G94" s="307">
        <f>ROUND((IF('F Intl Con Plus Base'!$G$120&gt;ROUND(((1-'F Intl Con Plus Base'!$G$117)*'F Intl Con Plus Base'!G91),2),ROUND('F Intl Con Plus Base'!$G$120*(1+International_Fuel_Surcharge),2),ROUND(((1-'F Intl Con Plus Base'!$G$117)*'F Intl Con Plus Base'!G91)*(1+International_Fuel_Surcharge),2)))*(1+FedEx_Markup),2)</f>
        <v>299.05</v>
      </c>
      <c r="H94" s="307">
        <f>ROUND((IF('F Intl Con Plus Base'!$H$120&gt;ROUND(((1-'F Intl Con Plus Base'!$H$117)*'F Intl Con Plus Base'!H91),2),ROUND('F Intl Con Plus Base'!$H$120*(1+International_Fuel_Surcharge),2),ROUND(((1-'F Intl Con Plus Base'!$H$117)*'F Intl Con Plus Base'!H91)*(1+International_Fuel_Surcharge),2)))*(1+FedEx_Markup),2)</f>
        <v>298.41000000000003</v>
      </c>
      <c r="I94" s="307">
        <f>ROUND((IF('F Intl Con Plus Base'!$I$120&gt;ROUND(((1-'F Intl Con Plus Base'!$I$117)*'F Intl Con Plus Base'!I91),2),ROUND('F Intl Con Plus Base'!$I$120*(1+International_Fuel_Surcharge),2),ROUND(((1-'F Intl Con Plus Base'!$I$117)*'F Intl Con Plus Base'!I91)*(1+International_Fuel_Surcharge),2)))*(1+FedEx_Markup),2)</f>
        <v>321.06</v>
      </c>
      <c r="J94" s="307">
        <f>ROUND((IF('F Intl Con Plus Base'!$J$120&gt;ROUND(((1-'F Intl Con Plus Base'!$J$117)*'F Intl Con Plus Base'!J91),2),ROUND('F Intl Con Plus Base'!$J$120*(1+International_Fuel_Surcharge),2),ROUND(((1-'F Intl Con Plus Base'!$J$117)*'F Intl Con Plus Base'!J91)*(1+International_Fuel_Surcharge),2)))*(1+FedEx_Markup),2)</f>
        <v>220.83</v>
      </c>
      <c r="K94" s="307">
        <f>ROUND((IF('F Intl Con Plus Base'!$K$120&gt;ROUND(((1-'F Intl Con Plus Base'!$K$117)*'F Intl Con Plus Base'!K91),2),ROUND('F Intl Con Plus Base'!$K$120*(1+International_Fuel_Surcharge),2),ROUND(((1-'F Intl Con Plus Base'!$K$117)*'F Intl Con Plus Base'!K91)*(1+International_Fuel_Surcharge),2)))*(1+FedEx_Markup),2)</f>
        <v>394.12</v>
      </c>
      <c r="L94" s="307">
        <f>ROUND((IF('F Intl Con Plus Base'!$L$120&gt;ROUND(((1-'F Intl Con Plus Base'!$L$117)*'F Intl Con Plus Base'!L91),2),ROUND('F Intl Con Plus Base'!$L$120*(1+International_Fuel_Surcharge),2),ROUND(((1-'F Intl Con Plus Base'!$L$117)*'F Intl Con Plus Base'!L91)*(1+International_Fuel_Surcharge),2)))*(1+FedEx_Markup),2)</f>
        <v>352.91</v>
      </c>
      <c r="M94" s="307">
        <f>ROUND((IF('F Intl Con Plus Base'!$M$120&gt;ROUND(((1-'F Intl Con Plus Base'!$M$117)*'F Intl Con Plus Base'!M91),2),ROUND('F Intl Con Plus Base'!$M$120*(1+International_Fuel_Surcharge),2),ROUND(((1-'F Intl Con Plus Base'!$M$117)*'F Intl Con Plus Base'!M91)*(1+International_Fuel_Surcharge),2)))*(1+FedEx_Markup),2)</f>
        <v>454.58</v>
      </c>
      <c r="N94" s="307">
        <f>ROUND((IF('F Intl Con Plus Base'!$N$120&gt;ROUND(((1-'F Intl Con Plus Base'!$N$117)*'F Intl Con Plus Base'!N91),2),ROUND('F Intl Con Plus Base'!$N$120*(1+International_Fuel_Surcharge),2),ROUND(((1-'F Intl Con Plus Base'!$N$117)*'F Intl Con Plus Base'!N91)*(1+International_Fuel_Surcharge),2)))*(1+FedEx_Markup),2)</f>
        <v>499.08</v>
      </c>
      <c r="O94" s="307">
        <f>ROUND((IF('F Intl Con Plus Base'!$O$120&gt;ROUND(((1-'F Intl Con Plus Base'!$O$117)*'F Intl Con Plus Base'!O91),2),ROUND('F Intl Con Plus Base'!$O$120*(1+International_Fuel_Surcharge),2),ROUND(((1-'F Intl Con Plus Base'!$O$117)*'F Intl Con Plus Base'!O91)*(1+International_Fuel_Surcharge),2)))*(1+FedEx_Markup),2)</f>
        <v>318.55</v>
      </c>
      <c r="P94" s="307">
        <f>ROUND((IF('F Intl Con Plus Base'!$P$120&gt;ROUND(((1-'F Intl Con Plus Base'!$P$117)*'F Intl Con Plus Base'!P91),2),ROUND('F Intl Con Plus Base'!$P$120*(1+International_Fuel_Surcharge),2),ROUND(((1-'F Intl Con Plus Base'!$P$117)*'F Intl Con Plus Base'!P91)*(1+International_Fuel_Surcharge),2)))*(1+FedEx_Markup),2)</f>
        <v>391.84</v>
      </c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2.75" customHeight="1">
      <c r="A95" s="306">
        <v>90</v>
      </c>
      <c r="B95" s="307">
        <f>ROUND((IF('F Intl Con Plus Base'!$B$120&gt;ROUND(((1-'F Intl Con Plus Base'!$B$117)*'F Intl Con Plus Base'!B92),2),ROUND('F Intl Con Plus Base'!$B$120*(1+International_Fuel_Surcharge),2),ROUND(((1-'F Intl Con Plus Base'!$B$117)*'F Intl Con Plus Base'!B92)*(1+International_Fuel_Surcharge),2)))*(1+FedEx_Markup),2)</f>
        <v>190.16</v>
      </c>
      <c r="C95" s="307">
        <f>ROUND((IF('F Intl Con Plus Base'!$C$120&gt;ROUND(((1-'F Intl Con Plus Base'!$C$117)*'F Intl Con Plus Base'!C92),2),ROUND('F Intl Con Plus Base'!$C$120*(1+International_Fuel_Surcharge),2),ROUND(((1-'F Intl Con Plus Base'!$C$117)*'F Intl Con Plus Base'!C92)*(1+International_Fuel_Surcharge),2)))*(1+FedEx_Markup),2)</f>
        <v>198.43</v>
      </c>
      <c r="D95" s="307">
        <f>ROUND((IF('F Intl Con Plus Base'!$D$120&gt;ROUND(((1-'F Intl Con Plus Base'!$D$117)*'F Intl Con Plus Base'!D92),2),ROUND('F Intl Con Plus Base'!$D$120*(1+International_Fuel_Surcharge),2),ROUND(((1-'F Intl Con Plus Base'!$D$117)*'F Intl Con Plus Base'!D92)*(1+International_Fuel_Surcharge),2)))*(1+FedEx_Markup),2)</f>
        <v>153</v>
      </c>
      <c r="E95" s="307">
        <f>ROUND((IF('F Intl Con Plus Base'!$E$120&gt;ROUND(((1-'F Intl Con Plus Base'!$E$117)*'F Intl Con Plus Base'!E92),2),ROUND('F Intl Con Plus Base'!$E$120*(1+International_Fuel_Surcharge),2),ROUND(((1-'F Intl Con Plus Base'!$E$117)*'F Intl Con Plus Base'!E92)*(1+International_Fuel_Surcharge),2)))*(1+FedEx_Markup),2)</f>
        <v>258.95</v>
      </c>
      <c r="F95" s="307">
        <f>ROUND((IF('F Intl Con Plus Base'!$F$120&gt;ROUND(((1-'F Intl Con Plus Base'!$F$117)*'F Intl Con Plus Base'!F92),2),ROUND('F Intl Con Plus Base'!$F$120*(1+International_Fuel_Surcharge),2),ROUND(((1-'F Intl Con Plus Base'!$F$117)*'F Intl Con Plus Base'!F92)*(1+International_Fuel_Surcharge),2)))*(1+FedEx_Markup),2)</f>
        <v>537.6</v>
      </c>
      <c r="G95" s="307">
        <f>ROUND((IF('F Intl Con Plus Base'!$G$120&gt;ROUND(((1-'F Intl Con Plus Base'!$G$117)*'F Intl Con Plus Base'!G92),2),ROUND('F Intl Con Plus Base'!$G$120*(1+International_Fuel_Surcharge),2),ROUND(((1-'F Intl Con Plus Base'!$G$117)*'F Intl Con Plus Base'!G92)*(1+International_Fuel_Surcharge),2)))*(1+FedEx_Markup),2)</f>
        <v>299.12</v>
      </c>
      <c r="H95" s="307">
        <f>ROUND((IF('F Intl Con Plus Base'!$H$120&gt;ROUND(((1-'F Intl Con Plus Base'!$H$117)*'F Intl Con Plus Base'!H92),2),ROUND('F Intl Con Plus Base'!$H$120*(1+International_Fuel_Surcharge),2),ROUND(((1-'F Intl Con Plus Base'!$H$117)*'F Intl Con Plus Base'!H92)*(1+International_Fuel_Surcharge),2)))*(1+FedEx_Markup),2)</f>
        <v>298.63</v>
      </c>
      <c r="I95" s="307">
        <f>ROUND((IF('F Intl Con Plus Base'!$I$120&gt;ROUND(((1-'F Intl Con Plus Base'!$I$117)*'F Intl Con Plus Base'!I92),2),ROUND('F Intl Con Plus Base'!$I$120*(1+International_Fuel_Surcharge),2),ROUND(((1-'F Intl Con Plus Base'!$I$117)*'F Intl Con Plus Base'!I92)*(1+International_Fuel_Surcharge),2)))*(1+FedEx_Markup),2)</f>
        <v>321.13</v>
      </c>
      <c r="J95" s="307">
        <f>ROUND((IF('F Intl Con Plus Base'!$J$120&gt;ROUND(((1-'F Intl Con Plus Base'!$J$117)*'F Intl Con Plus Base'!J92),2),ROUND('F Intl Con Plus Base'!$J$120*(1+International_Fuel_Surcharge),2),ROUND(((1-'F Intl Con Plus Base'!$J$117)*'F Intl Con Plus Base'!J92)*(1+International_Fuel_Surcharge),2)))*(1+FedEx_Markup),2)</f>
        <v>221.32</v>
      </c>
      <c r="K95" s="307">
        <f>ROUND((IF('F Intl Con Plus Base'!$K$120&gt;ROUND(((1-'F Intl Con Plus Base'!$K$117)*'F Intl Con Plus Base'!K92),2),ROUND('F Intl Con Plus Base'!$K$120*(1+International_Fuel_Surcharge),2),ROUND(((1-'F Intl Con Plus Base'!$K$117)*'F Intl Con Plus Base'!K92)*(1+International_Fuel_Surcharge),2)))*(1+FedEx_Markup),2)</f>
        <v>394.19</v>
      </c>
      <c r="L95" s="307">
        <f>ROUND((IF('F Intl Con Plus Base'!$L$120&gt;ROUND(((1-'F Intl Con Plus Base'!$L$117)*'F Intl Con Plus Base'!L92),2),ROUND('F Intl Con Plus Base'!$L$120*(1+International_Fuel_Surcharge),2),ROUND(((1-'F Intl Con Plus Base'!$L$117)*'F Intl Con Plus Base'!L92)*(1+International_Fuel_Surcharge),2)))*(1+FedEx_Markup),2)</f>
        <v>354.37</v>
      </c>
      <c r="M95" s="307">
        <f>ROUND((IF('F Intl Con Plus Base'!$M$120&gt;ROUND(((1-'F Intl Con Plus Base'!$M$117)*'F Intl Con Plus Base'!M92),2),ROUND('F Intl Con Plus Base'!$M$120*(1+International_Fuel_Surcharge),2),ROUND(((1-'F Intl Con Plus Base'!$M$117)*'F Intl Con Plus Base'!M92)*(1+International_Fuel_Surcharge),2)))*(1+FedEx_Markup),2)</f>
        <v>454.7</v>
      </c>
      <c r="N95" s="307">
        <f>ROUND((IF('F Intl Con Plus Base'!$N$120&gt;ROUND(((1-'F Intl Con Plus Base'!$N$117)*'F Intl Con Plus Base'!N92),2),ROUND('F Intl Con Plus Base'!$N$120*(1+International_Fuel_Surcharge),2),ROUND(((1-'F Intl Con Plus Base'!$N$117)*'F Intl Con Plus Base'!N92)*(1+International_Fuel_Surcharge),2)))*(1+FedEx_Markup),2)</f>
        <v>500.39</v>
      </c>
      <c r="O95" s="307">
        <f>ROUND((IF('F Intl Con Plus Base'!$O$120&gt;ROUND(((1-'F Intl Con Plus Base'!$O$117)*'F Intl Con Plus Base'!O92),2),ROUND('F Intl Con Plus Base'!$O$120*(1+International_Fuel_Surcharge),2),ROUND(((1-'F Intl Con Plus Base'!$O$117)*'F Intl Con Plus Base'!O92)*(1+International_Fuel_Surcharge),2)))*(1+FedEx_Markup),2)</f>
        <v>319.38</v>
      </c>
      <c r="P95" s="307">
        <f>ROUND((IF('F Intl Con Plus Base'!$P$120&gt;ROUND(((1-'F Intl Con Plus Base'!$P$117)*'F Intl Con Plus Base'!P92),2),ROUND('F Intl Con Plus Base'!$P$120*(1+International_Fuel_Surcharge),2),ROUND(((1-'F Intl Con Plus Base'!$P$117)*'F Intl Con Plus Base'!P92)*(1+International_Fuel_Surcharge),2)))*(1+FedEx_Markup),2)</f>
        <v>391.91</v>
      </c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2.75" customHeight="1">
      <c r="A96" s="306">
        <v>91</v>
      </c>
      <c r="B96" s="307">
        <f>ROUND((IF('F Intl Con Plus Base'!$B$120&gt;ROUND(((1-'F Intl Con Plus Base'!$B$117)*'F Intl Con Plus Base'!B93),2),ROUND('F Intl Con Plus Base'!$B$120*(1+International_Fuel_Surcharge),2),ROUND(((1-'F Intl Con Plus Base'!$B$117)*'F Intl Con Plus Base'!B93)*(1+International_Fuel_Surcharge),2)))*(1+FedEx_Markup),2)</f>
        <v>190.22</v>
      </c>
      <c r="C96" s="307">
        <f>ROUND((IF('F Intl Con Plus Base'!$C$120&gt;ROUND(((1-'F Intl Con Plus Base'!$C$117)*'F Intl Con Plus Base'!C93),2),ROUND('F Intl Con Plus Base'!$C$120*(1+International_Fuel_Surcharge),2),ROUND(((1-'F Intl Con Plus Base'!$C$117)*'F Intl Con Plus Base'!C93)*(1+International_Fuel_Surcharge),2)))*(1+FedEx_Markup),2)</f>
        <v>198.5</v>
      </c>
      <c r="D96" s="307">
        <f>ROUND((IF('F Intl Con Plus Base'!$D$120&gt;ROUND(((1-'F Intl Con Plus Base'!$D$117)*'F Intl Con Plus Base'!D93),2),ROUND('F Intl Con Plus Base'!$D$120*(1+International_Fuel_Surcharge),2),ROUND(((1-'F Intl Con Plus Base'!$D$117)*'F Intl Con Plus Base'!D93)*(1+International_Fuel_Surcharge),2)))*(1+FedEx_Markup),2)</f>
        <v>153.07</v>
      </c>
      <c r="E96" s="307">
        <f>ROUND((IF('F Intl Con Plus Base'!$E$120&gt;ROUND(((1-'F Intl Con Plus Base'!$E$117)*'F Intl Con Plus Base'!E93),2),ROUND('F Intl Con Plus Base'!$E$120*(1+International_Fuel_Surcharge),2),ROUND(((1-'F Intl Con Plus Base'!$E$117)*'F Intl Con Plus Base'!E93)*(1+International_Fuel_Surcharge),2)))*(1+FedEx_Markup),2)</f>
        <v>259.14999999999998</v>
      </c>
      <c r="F96" s="307">
        <f>ROUND((IF('F Intl Con Plus Base'!$F$120&gt;ROUND(((1-'F Intl Con Plus Base'!$F$117)*'F Intl Con Plus Base'!F93),2),ROUND('F Intl Con Plus Base'!$F$120*(1+International_Fuel_Surcharge),2),ROUND(((1-'F Intl Con Plus Base'!$F$117)*'F Intl Con Plus Base'!F93)*(1+International_Fuel_Surcharge),2)))*(1+FedEx_Markup),2)</f>
        <v>537.9</v>
      </c>
      <c r="G96" s="307">
        <f>ROUND((IF('F Intl Con Plus Base'!$G$120&gt;ROUND(((1-'F Intl Con Plus Base'!$G$117)*'F Intl Con Plus Base'!G93),2),ROUND('F Intl Con Plus Base'!$G$120*(1+International_Fuel_Surcharge),2),ROUND(((1-'F Intl Con Plus Base'!$G$117)*'F Intl Con Plus Base'!G93)*(1+International_Fuel_Surcharge),2)))*(1+FedEx_Markup),2)</f>
        <v>299.18</v>
      </c>
      <c r="H96" s="307">
        <f>ROUND((IF('F Intl Con Plus Base'!$H$120&gt;ROUND(((1-'F Intl Con Plus Base'!$H$117)*'F Intl Con Plus Base'!H93),2),ROUND('F Intl Con Plus Base'!$H$120*(1+International_Fuel_Surcharge),2),ROUND(((1-'F Intl Con Plus Base'!$H$117)*'F Intl Con Plus Base'!H93)*(1+International_Fuel_Surcharge),2)))*(1+FedEx_Markup),2)</f>
        <v>302.81</v>
      </c>
      <c r="I96" s="307">
        <f>ROUND((IF('F Intl Con Plus Base'!$I$120&gt;ROUND(((1-'F Intl Con Plus Base'!$I$117)*'F Intl Con Plus Base'!I93),2),ROUND('F Intl Con Plus Base'!$I$120*(1+International_Fuel_Surcharge),2),ROUND(((1-'F Intl Con Plus Base'!$I$117)*'F Intl Con Plus Base'!I93)*(1+International_Fuel_Surcharge),2)))*(1+FedEx_Markup),2)</f>
        <v>321.20999999999998</v>
      </c>
      <c r="J96" s="307">
        <f>ROUND((IF('F Intl Con Plus Base'!$J$120&gt;ROUND(((1-'F Intl Con Plus Base'!$J$117)*'F Intl Con Plus Base'!J93),2),ROUND('F Intl Con Plus Base'!$J$120*(1+International_Fuel_Surcharge),2),ROUND(((1-'F Intl Con Plus Base'!$J$117)*'F Intl Con Plus Base'!J93)*(1+International_Fuel_Surcharge),2)))*(1+FedEx_Markup),2)</f>
        <v>221.71</v>
      </c>
      <c r="K96" s="307">
        <f>ROUND((IF('F Intl Con Plus Base'!$K$120&gt;ROUND(((1-'F Intl Con Plus Base'!$K$117)*'F Intl Con Plus Base'!K93),2),ROUND('F Intl Con Plus Base'!$K$120*(1+International_Fuel_Surcharge),2),ROUND(((1-'F Intl Con Plus Base'!$K$117)*'F Intl Con Plus Base'!K93)*(1+International_Fuel_Surcharge),2)))*(1+FedEx_Markup),2)</f>
        <v>394.25</v>
      </c>
      <c r="L96" s="307">
        <f>ROUND((IF('F Intl Con Plus Base'!$L$120&gt;ROUND(((1-'F Intl Con Plus Base'!$L$117)*'F Intl Con Plus Base'!L93),2),ROUND('F Intl Con Plus Base'!$L$120*(1+International_Fuel_Surcharge),2),ROUND(((1-'F Intl Con Plus Base'!$L$117)*'F Intl Con Plus Base'!L93)*(1+International_Fuel_Surcharge),2)))*(1+FedEx_Markup),2)</f>
        <v>355.04</v>
      </c>
      <c r="M96" s="307">
        <f>ROUND((IF('F Intl Con Plus Base'!$M$120&gt;ROUND(((1-'F Intl Con Plus Base'!$M$117)*'F Intl Con Plus Base'!M93),2),ROUND('F Intl Con Plus Base'!$M$120*(1+International_Fuel_Surcharge),2),ROUND(((1-'F Intl Con Plus Base'!$M$117)*'F Intl Con Plus Base'!M93)*(1+International_Fuel_Surcharge),2)))*(1+FedEx_Markup),2)</f>
        <v>454.78</v>
      </c>
      <c r="N96" s="307">
        <f>ROUND((IF('F Intl Con Plus Base'!$N$120&gt;ROUND(((1-'F Intl Con Plus Base'!$N$117)*'F Intl Con Plus Base'!N93),2),ROUND('F Intl Con Plus Base'!$N$120*(1+International_Fuel_Surcharge),2),ROUND(((1-'F Intl Con Plus Base'!$N$117)*'F Intl Con Plus Base'!N93)*(1+International_Fuel_Surcharge),2)))*(1+FedEx_Markup),2)</f>
        <v>501.83</v>
      </c>
      <c r="O96" s="307">
        <f>ROUND((IF('F Intl Con Plus Base'!$O$120&gt;ROUND(((1-'F Intl Con Plus Base'!$O$117)*'F Intl Con Plus Base'!O93),2),ROUND('F Intl Con Plus Base'!$O$120*(1+International_Fuel_Surcharge),2),ROUND(((1-'F Intl Con Plus Base'!$O$117)*'F Intl Con Plus Base'!O93)*(1+International_Fuel_Surcharge),2)))*(1+FedEx_Markup),2)</f>
        <v>319.45999999999998</v>
      </c>
      <c r="P96" s="307">
        <f>ROUND((IF('F Intl Con Plus Base'!$P$120&gt;ROUND(((1-'F Intl Con Plus Base'!$P$117)*'F Intl Con Plus Base'!P93),2),ROUND('F Intl Con Plus Base'!$P$120*(1+International_Fuel_Surcharge),2),ROUND(((1-'F Intl Con Plus Base'!$P$117)*'F Intl Con Plus Base'!P93)*(1+International_Fuel_Surcharge),2)))*(1+FedEx_Markup),2)</f>
        <v>391.98</v>
      </c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2.75" customHeight="1">
      <c r="A97" s="306">
        <v>92</v>
      </c>
      <c r="B97" s="307">
        <f>ROUND((IF('F Intl Con Plus Base'!$B$120&gt;ROUND(((1-'F Intl Con Plus Base'!$B$117)*'F Intl Con Plus Base'!B94),2),ROUND('F Intl Con Plus Base'!$B$120*(1+International_Fuel_Surcharge),2),ROUND(((1-'F Intl Con Plus Base'!$B$117)*'F Intl Con Plus Base'!B94)*(1+International_Fuel_Surcharge),2)))*(1+FedEx_Markup),2)</f>
        <v>190.29</v>
      </c>
      <c r="C97" s="307">
        <f>ROUND((IF('F Intl Con Plus Base'!$C$120&gt;ROUND(((1-'F Intl Con Plus Base'!$C$117)*'F Intl Con Plus Base'!C94),2),ROUND('F Intl Con Plus Base'!$C$120*(1+International_Fuel_Surcharge),2),ROUND(((1-'F Intl Con Plus Base'!$C$117)*'F Intl Con Plus Base'!C94)*(1+International_Fuel_Surcharge),2)))*(1+FedEx_Markup),2)</f>
        <v>198.56</v>
      </c>
      <c r="D97" s="307">
        <f>ROUND((IF('F Intl Con Plus Base'!$D$120&gt;ROUND(((1-'F Intl Con Plus Base'!$D$117)*'F Intl Con Plus Base'!D94),2),ROUND('F Intl Con Plus Base'!$D$120*(1+International_Fuel_Surcharge),2),ROUND(((1-'F Intl Con Plus Base'!$D$117)*'F Intl Con Plus Base'!D94)*(1+International_Fuel_Surcharge),2)))*(1+FedEx_Markup),2)</f>
        <v>153.16</v>
      </c>
      <c r="E97" s="307">
        <f>ROUND((IF('F Intl Con Plus Base'!$E$120&gt;ROUND(((1-'F Intl Con Plus Base'!$E$117)*'F Intl Con Plus Base'!E94),2),ROUND('F Intl Con Plus Base'!$E$120*(1+International_Fuel_Surcharge),2),ROUND(((1-'F Intl Con Plus Base'!$E$117)*'F Intl Con Plus Base'!E94)*(1+International_Fuel_Surcharge),2)))*(1+FedEx_Markup),2)</f>
        <v>259.20999999999998</v>
      </c>
      <c r="F97" s="307">
        <f>ROUND((IF('F Intl Con Plus Base'!$F$120&gt;ROUND(((1-'F Intl Con Plus Base'!$F$117)*'F Intl Con Plus Base'!F94),2),ROUND('F Intl Con Plus Base'!$F$120*(1+International_Fuel_Surcharge),2),ROUND(((1-'F Intl Con Plus Base'!$F$117)*'F Intl Con Plus Base'!F94)*(1+International_Fuel_Surcharge),2)))*(1+FedEx_Markup),2)</f>
        <v>537.97</v>
      </c>
      <c r="G97" s="307">
        <f>ROUND((IF('F Intl Con Plus Base'!$G$120&gt;ROUND(((1-'F Intl Con Plus Base'!$G$117)*'F Intl Con Plus Base'!G94),2),ROUND('F Intl Con Plus Base'!$G$120*(1+International_Fuel_Surcharge),2),ROUND(((1-'F Intl Con Plus Base'!$G$117)*'F Intl Con Plus Base'!G94)*(1+International_Fuel_Surcharge),2)))*(1+FedEx_Markup),2)</f>
        <v>299.25</v>
      </c>
      <c r="H97" s="307">
        <f>ROUND((IF('F Intl Con Plus Base'!$H$120&gt;ROUND(((1-'F Intl Con Plus Base'!$H$117)*'F Intl Con Plus Base'!H94),2),ROUND('F Intl Con Plus Base'!$H$120*(1+International_Fuel_Surcharge),2),ROUND(((1-'F Intl Con Plus Base'!$H$117)*'F Intl Con Plus Base'!H94)*(1+International_Fuel_Surcharge),2)))*(1+FedEx_Markup),2)</f>
        <v>303.23</v>
      </c>
      <c r="I97" s="307">
        <f>ROUND((IF('F Intl Con Plus Base'!$I$120&gt;ROUND(((1-'F Intl Con Plus Base'!$I$117)*'F Intl Con Plus Base'!I94),2),ROUND('F Intl Con Plus Base'!$I$120*(1+International_Fuel_Surcharge),2),ROUND(((1-'F Intl Con Plus Base'!$I$117)*'F Intl Con Plus Base'!I94)*(1+International_Fuel_Surcharge),2)))*(1+FedEx_Markup),2)</f>
        <v>321.27999999999997</v>
      </c>
      <c r="J97" s="307">
        <f>ROUND((IF('F Intl Con Plus Base'!$J$120&gt;ROUND(((1-'F Intl Con Plus Base'!$J$117)*'F Intl Con Plus Base'!J94),2),ROUND('F Intl Con Plus Base'!$J$120*(1+International_Fuel_Surcharge),2),ROUND(((1-'F Intl Con Plus Base'!$J$117)*'F Intl Con Plus Base'!J94)*(1+International_Fuel_Surcharge),2)))*(1+FedEx_Markup),2)</f>
        <v>223.89</v>
      </c>
      <c r="K97" s="307">
        <f>ROUND((IF('F Intl Con Plus Base'!$K$120&gt;ROUND(((1-'F Intl Con Plus Base'!$K$117)*'F Intl Con Plus Base'!K94),2),ROUND('F Intl Con Plus Base'!$K$120*(1+International_Fuel_Surcharge),2),ROUND(((1-'F Intl Con Plus Base'!$K$117)*'F Intl Con Plus Base'!K94)*(1+International_Fuel_Surcharge),2)))*(1+FedEx_Markup),2)</f>
        <v>394.32</v>
      </c>
      <c r="L97" s="307">
        <f>ROUND((IF('F Intl Con Plus Base'!$L$120&gt;ROUND(((1-'F Intl Con Plus Base'!$L$117)*'F Intl Con Plus Base'!L94),2),ROUND('F Intl Con Plus Base'!$L$120*(1+International_Fuel_Surcharge),2),ROUND(((1-'F Intl Con Plus Base'!$L$117)*'F Intl Con Plus Base'!L94)*(1+International_Fuel_Surcharge),2)))*(1+FedEx_Markup),2)</f>
        <v>355.68</v>
      </c>
      <c r="M97" s="307">
        <f>ROUND((IF('F Intl Con Plus Base'!$M$120&gt;ROUND(((1-'F Intl Con Plus Base'!$M$117)*'F Intl Con Plus Base'!M94),2),ROUND('F Intl Con Plus Base'!$M$120*(1+International_Fuel_Surcharge),2),ROUND(((1-'F Intl Con Plus Base'!$M$117)*'F Intl Con Plus Base'!M94)*(1+International_Fuel_Surcharge),2)))*(1+FedEx_Markup),2)</f>
        <v>454.85</v>
      </c>
      <c r="N97" s="307">
        <f>ROUND((IF('F Intl Con Plus Base'!$N$120&gt;ROUND(((1-'F Intl Con Plus Base'!$N$117)*'F Intl Con Plus Base'!N94),2),ROUND('F Intl Con Plus Base'!$N$120*(1+International_Fuel_Surcharge),2),ROUND(((1-'F Intl Con Plus Base'!$N$117)*'F Intl Con Plus Base'!N94)*(1+International_Fuel_Surcharge),2)))*(1+FedEx_Markup),2)</f>
        <v>530.41</v>
      </c>
      <c r="O97" s="307">
        <f>ROUND((IF('F Intl Con Plus Base'!$O$120&gt;ROUND(((1-'F Intl Con Plus Base'!$O$117)*'F Intl Con Plus Base'!O94),2),ROUND('F Intl Con Plus Base'!$O$120*(1+International_Fuel_Surcharge),2),ROUND(((1-'F Intl Con Plus Base'!$O$117)*'F Intl Con Plus Base'!O94)*(1+International_Fuel_Surcharge),2)))*(1+FedEx_Markup),2)</f>
        <v>319.52999999999997</v>
      </c>
      <c r="P97" s="307">
        <f>ROUND((IF('F Intl Con Plus Base'!$P$120&gt;ROUND(((1-'F Intl Con Plus Base'!$P$117)*'F Intl Con Plus Base'!P94),2),ROUND('F Intl Con Plus Base'!$P$120*(1+International_Fuel_Surcharge),2),ROUND(((1-'F Intl Con Plus Base'!$P$117)*'F Intl Con Plus Base'!P94)*(1+International_Fuel_Surcharge),2)))*(1+FedEx_Markup),2)</f>
        <v>392.05</v>
      </c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2.75" customHeight="1">
      <c r="A98" s="306">
        <v>93</v>
      </c>
      <c r="B98" s="307">
        <f>ROUND((IF('F Intl Con Plus Base'!$B$120&gt;ROUND(((1-'F Intl Con Plus Base'!$B$117)*'F Intl Con Plus Base'!B95),2),ROUND('F Intl Con Plus Base'!$B$120*(1+International_Fuel_Surcharge),2),ROUND(((1-'F Intl Con Plus Base'!$B$117)*'F Intl Con Plus Base'!B95)*(1+International_Fuel_Surcharge),2)))*(1+FedEx_Markup),2)</f>
        <v>190.35</v>
      </c>
      <c r="C98" s="307">
        <f>ROUND((IF('F Intl Con Plus Base'!$C$120&gt;ROUND(((1-'F Intl Con Plus Base'!$C$117)*'F Intl Con Plus Base'!C95),2),ROUND('F Intl Con Plus Base'!$C$120*(1+International_Fuel_Surcharge),2),ROUND(((1-'F Intl Con Plus Base'!$C$117)*'F Intl Con Plus Base'!C95)*(1+International_Fuel_Surcharge),2)))*(1+FedEx_Markup),2)</f>
        <v>198.62</v>
      </c>
      <c r="D98" s="307">
        <f>ROUND((IF('F Intl Con Plus Base'!$D$120&gt;ROUND(((1-'F Intl Con Plus Base'!$D$117)*'F Intl Con Plus Base'!D95),2),ROUND('F Intl Con Plus Base'!$D$120*(1+International_Fuel_Surcharge),2),ROUND(((1-'F Intl Con Plus Base'!$D$117)*'F Intl Con Plus Base'!D95)*(1+International_Fuel_Surcharge),2)))*(1+FedEx_Markup),2)</f>
        <v>153.26</v>
      </c>
      <c r="E98" s="307">
        <f>ROUND((IF('F Intl Con Plus Base'!$E$120&gt;ROUND(((1-'F Intl Con Plus Base'!$E$117)*'F Intl Con Plus Base'!E95),2),ROUND('F Intl Con Plus Base'!$E$120*(1+International_Fuel_Surcharge),2),ROUND(((1-'F Intl Con Plus Base'!$E$117)*'F Intl Con Plus Base'!E95)*(1+International_Fuel_Surcharge),2)))*(1+FedEx_Markup),2)</f>
        <v>259.27</v>
      </c>
      <c r="F98" s="307">
        <f>ROUND((IF('F Intl Con Plus Base'!$F$120&gt;ROUND(((1-'F Intl Con Plus Base'!$F$117)*'F Intl Con Plus Base'!F95),2),ROUND('F Intl Con Plus Base'!$F$120*(1+International_Fuel_Surcharge),2),ROUND(((1-'F Intl Con Plus Base'!$F$117)*'F Intl Con Plus Base'!F95)*(1+International_Fuel_Surcharge),2)))*(1+FedEx_Markup),2)</f>
        <v>538.04</v>
      </c>
      <c r="G98" s="307">
        <f>ROUND((IF('F Intl Con Plus Base'!$G$120&gt;ROUND(((1-'F Intl Con Plus Base'!$G$117)*'F Intl Con Plus Base'!G95),2),ROUND('F Intl Con Plus Base'!$G$120*(1+International_Fuel_Surcharge),2),ROUND(((1-'F Intl Con Plus Base'!$G$117)*'F Intl Con Plus Base'!G95)*(1+International_Fuel_Surcharge),2)))*(1+FedEx_Markup),2)</f>
        <v>299.32</v>
      </c>
      <c r="H98" s="307">
        <f>ROUND((IF('F Intl Con Plus Base'!$H$120&gt;ROUND(((1-'F Intl Con Plus Base'!$H$117)*'F Intl Con Plus Base'!H95),2),ROUND('F Intl Con Plus Base'!$H$120*(1+International_Fuel_Surcharge),2),ROUND(((1-'F Intl Con Plus Base'!$H$117)*'F Intl Con Plus Base'!H95)*(1+International_Fuel_Surcharge),2)))*(1+FedEx_Markup),2)</f>
        <v>303.31</v>
      </c>
      <c r="I98" s="307">
        <f>ROUND((IF('F Intl Con Plus Base'!$I$120&gt;ROUND(((1-'F Intl Con Plus Base'!$I$117)*'F Intl Con Plus Base'!I95),2),ROUND('F Intl Con Plus Base'!$I$120*(1+International_Fuel_Surcharge),2),ROUND(((1-'F Intl Con Plus Base'!$I$117)*'F Intl Con Plus Base'!I95)*(1+International_Fuel_Surcharge),2)))*(1+FedEx_Markup),2)</f>
        <v>321.33999999999997</v>
      </c>
      <c r="J98" s="307">
        <f>ROUND((IF('F Intl Con Plus Base'!$J$120&gt;ROUND(((1-'F Intl Con Plus Base'!$J$117)*'F Intl Con Plus Base'!J95),2),ROUND('F Intl Con Plus Base'!$J$120*(1+International_Fuel_Surcharge),2),ROUND(((1-'F Intl Con Plus Base'!$J$117)*'F Intl Con Plus Base'!J95)*(1+International_Fuel_Surcharge),2)))*(1+FedEx_Markup),2)</f>
        <v>224.11</v>
      </c>
      <c r="K98" s="307">
        <f>ROUND((IF('F Intl Con Plus Base'!$K$120&gt;ROUND(((1-'F Intl Con Plus Base'!$K$117)*'F Intl Con Plus Base'!K95),2),ROUND('F Intl Con Plus Base'!$K$120*(1+International_Fuel_Surcharge),2),ROUND(((1-'F Intl Con Plus Base'!$K$117)*'F Intl Con Plus Base'!K95)*(1+International_Fuel_Surcharge),2)))*(1+FedEx_Markup),2)</f>
        <v>394.39</v>
      </c>
      <c r="L98" s="307">
        <f>ROUND((IF('F Intl Con Plus Base'!$L$120&gt;ROUND(((1-'F Intl Con Plus Base'!$L$117)*'F Intl Con Plus Base'!L95),2),ROUND('F Intl Con Plus Base'!$L$120*(1+International_Fuel_Surcharge),2),ROUND(((1-'F Intl Con Plus Base'!$L$117)*'F Intl Con Plus Base'!L95)*(1+International_Fuel_Surcharge),2)))*(1+FedEx_Markup),2)</f>
        <v>368.45</v>
      </c>
      <c r="M98" s="307">
        <f>ROUND((IF('F Intl Con Plus Base'!$M$120&gt;ROUND(((1-'F Intl Con Plus Base'!$M$117)*'F Intl Con Plus Base'!M95),2),ROUND('F Intl Con Plus Base'!$M$120*(1+International_Fuel_Surcharge),2),ROUND(((1-'F Intl Con Plus Base'!$M$117)*'F Intl Con Plus Base'!M95)*(1+International_Fuel_Surcharge),2)))*(1+FedEx_Markup),2)</f>
        <v>454.95</v>
      </c>
      <c r="N98" s="307">
        <f>ROUND((IF('F Intl Con Plus Base'!$N$120&gt;ROUND(((1-'F Intl Con Plus Base'!$N$117)*'F Intl Con Plus Base'!N95),2),ROUND('F Intl Con Plus Base'!$N$120*(1+International_Fuel_Surcharge),2),ROUND(((1-'F Intl Con Plus Base'!$N$117)*'F Intl Con Plus Base'!N95)*(1+International_Fuel_Surcharge),2)))*(1+FedEx_Markup),2)</f>
        <v>533.41999999999996</v>
      </c>
      <c r="O98" s="307">
        <f>ROUND((IF('F Intl Con Plus Base'!$O$120&gt;ROUND(((1-'F Intl Con Plus Base'!$O$117)*'F Intl Con Plus Base'!O95),2),ROUND('F Intl Con Plus Base'!$O$120*(1+International_Fuel_Surcharge),2),ROUND(((1-'F Intl Con Plus Base'!$O$117)*'F Intl Con Plus Base'!O95)*(1+International_Fuel_Surcharge),2)))*(1+FedEx_Markup),2)</f>
        <v>319.58999999999997</v>
      </c>
      <c r="P98" s="307">
        <f>ROUND((IF('F Intl Con Plus Base'!$P$120&gt;ROUND(((1-'F Intl Con Plus Base'!$P$117)*'F Intl Con Plus Base'!P95),2),ROUND('F Intl Con Plus Base'!$P$120*(1+International_Fuel_Surcharge),2),ROUND(((1-'F Intl Con Plus Base'!$P$117)*'F Intl Con Plus Base'!P95)*(1+International_Fuel_Surcharge),2)))*(1+FedEx_Markup),2)</f>
        <v>392.1</v>
      </c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2.75" customHeight="1">
      <c r="A99" s="306">
        <v>94</v>
      </c>
      <c r="B99" s="307">
        <f>ROUND((IF('F Intl Con Plus Base'!$B$120&gt;ROUND(((1-'F Intl Con Plus Base'!$B$117)*'F Intl Con Plus Base'!B96),2),ROUND('F Intl Con Plus Base'!$B$120*(1+International_Fuel_Surcharge),2),ROUND(((1-'F Intl Con Plus Base'!$B$117)*'F Intl Con Plus Base'!B96)*(1+International_Fuel_Surcharge),2)))*(1+FedEx_Markup),2)</f>
        <v>190.41</v>
      </c>
      <c r="C99" s="307">
        <f>ROUND((IF('F Intl Con Plus Base'!$C$120&gt;ROUND(((1-'F Intl Con Plus Base'!$C$117)*'F Intl Con Plus Base'!C96),2),ROUND('F Intl Con Plus Base'!$C$120*(1+International_Fuel_Surcharge),2),ROUND(((1-'F Intl Con Plus Base'!$C$117)*'F Intl Con Plus Base'!C96)*(1+International_Fuel_Surcharge),2)))*(1+FedEx_Markup),2)</f>
        <v>198.69</v>
      </c>
      <c r="D99" s="307">
        <f>ROUND((IF('F Intl Con Plus Base'!$D$120&gt;ROUND(((1-'F Intl Con Plus Base'!$D$117)*'F Intl Con Plus Base'!D96),2),ROUND('F Intl Con Plus Base'!$D$120*(1+International_Fuel_Surcharge),2),ROUND(((1-'F Intl Con Plus Base'!$D$117)*'F Intl Con Plus Base'!D96)*(1+International_Fuel_Surcharge),2)))*(1+FedEx_Markup),2)</f>
        <v>153.79</v>
      </c>
      <c r="E99" s="307">
        <f>ROUND((IF('F Intl Con Plus Base'!$E$120&gt;ROUND(((1-'F Intl Con Plus Base'!$E$117)*'F Intl Con Plus Base'!E96),2),ROUND('F Intl Con Plus Base'!$E$120*(1+International_Fuel_Surcharge),2),ROUND(((1-'F Intl Con Plus Base'!$E$117)*'F Intl Con Plus Base'!E96)*(1+International_Fuel_Surcharge),2)))*(1+FedEx_Markup),2)</f>
        <v>259.33</v>
      </c>
      <c r="F99" s="307">
        <f>ROUND((IF('F Intl Con Plus Base'!$F$120&gt;ROUND(((1-'F Intl Con Plus Base'!$F$117)*'F Intl Con Plus Base'!F96),2),ROUND('F Intl Con Plus Base'!$F$120*(1+International_Fuel_Surcharge),2),ROUND(((1-'F Intl Con Plus Base'!$F$117)*'F Intl Con Plus Base'!F96)*(1+International_Fuel_Surcharge),2)))*(1+FedEx_Markup),2)</f>
        <v>538.1</v>
      </c>
      <c r="G99" s="307">
        <f>ROUND((IF('F Intl Con Plus Base'!$G$120&gt;ROUND(((1-'F Intl Con Plus Base'!$G$117)*'F Intl Con Plus Base'!G96),2),ROUND('F Intl Con Plus Base'!$G$120*(1+International_Fuel_Surcharge),2),ROUND(((1-'F Intl Con Plus Base'!$G$117)*'F Intl Con Plus Base'!G96)*(1+International_Fuel_Surcharge),2)))*(1+FedEx_Markup),2)</f>
        <v>299.39</v>
      </c>
      <c r="H99" s="307">
        <f>ROUND((IF('F Intl Con Plus Base'!$H$120&gt;ROUND(((1-'F Intl Con Plus Base'!$H$117)*'F Intl Con Plus Base'!H96),2),ROUND('F Intl Con Plus Base'!$H$120*(1+International_Fuel_Surcharge),2),ROUND(((1-'F Intl Con Plus Base'!$H$117)*'F Intl Con Plus Base'!H96)*(1+International_Fuel_Surcharge),2)))*(1+FedEx_Markup),2)</f>
        <v>303.38</v>
      </c>
      <c r="I99" s="307">
        <f>ROUND((IF('F Intl Con Plus Base'!$I$120&gt;ROUND(((1-'F Intl Con Plus Base'!$I$117)*'F Intl Con Plus Base'!I96),2),ROUND('F Intl Con Plus Base'!$I$120*(1+International_Fuel_Surcharge),2),ROUND(((1-'F Intl Con Plus Base'!$I$117)*'F Intl Con Plus Base'!I96)*(1+International_Fuel_Surcharge),2)))*(1+FedEx_Markup),2)</f>
        <v>321.41000000000003</v>
      </c>
      <c r="J99" s="307">
        <f>ROUND((IF('F Intl Con Plus Base'!$J$120&gt;ROUND(((1-'F Intl Con Plus Base'!$J$117)*'F Intl Con Plus Base'!J96),2),ROUND('F Intl Con Plus Base'!$J$120*(1+International_Fuel_Surcharge),2),ROUND(((1-'F Intl Con Plus Base'!$J$117)*'F Intl Con Plus Base'!J96)*(1+International_Fuel_Surcharge),2)))*(1+FedEx_Markup),2)</f>
        <v>228.53</v>
      </c>
      <c r="K99" s="307">
        <f>ROUND((IF('F Intl Con Plus Base'!$K$120&gt;ROUND(((1-'F Intl Con Plus Base'!$K$117)*'F Intl Con Plus Base'!K96),2),ROUND('F Intl Con Plus Base'!$K$120*(1+International_Fuel_Surcharge),2),ROUND(((1-'F Intl Con Plus Base'!$K$117)*'F Intl Con Plus Base'!K96)*(1+International_Fuel_Surcharge),2)))*(1+FedEx_Markup),2)</f>
        <v>394.46</v>
      </c>
      <c r="L99" s="307">
        <f>ROUND((IF('F Intl Con Plus Base'!$L$120&gt;ROUND(((1-'F Intl Con Plus Base'!$L$117)*'F Intl Con Plus Base'!L96),2),ROUND('F Intl Con Plus Base'!$L$120*(1+International_Fuel_Surcharge),2),ROUND(((1-'F Intl Con Plus Base'!$L$117)*'F Intl Con Plus Base'!L96)*(1+International_Fuel_Surcharge),2)))*(1+FedEx_Markup),2)</f>
        <v>369.73</v>
      </c>
      <c r="M99" s="307">
        <f>ROUND((IF('F Intl Con Plus Base'!$M$120&gt;ROUND(((1-'F Intl Con Plus Base'!$M$117)*'F Intl Con Plus Base'!M96),2),ROUND('F Intl Con Plus Base'!$M$120*(1+International_Fuel_Surcharge),2),ROUND(((1-'F Intl Con Plus Base'!$M$117)*'F Intl Con Plus Base'!M96)*(1+International_Fuel_Surcharge),2)))*(1+FedEx_Markup),2)</f>
        <v>455.04</v>
      </c>
      <c r="N99" s="307">
        <f>ROUND((IF('F Intl Con Plus Base'!$N$120&gt;ROUND(((1-'F Intl Con Plus Base'!$N$117)*'F Intl Con Plus Base'!N96),2),ROUND('F Intl Con Plus Base'!$N$120*(1+International_Fuel_Surcharge),2),ROUND(((1-'F Intl Con Plus Base'!$N$117)*'F Intl Con Plus Base'!N96)*(1+International_Fuel_Surcharge),2)))*(1+FedEx_Markup),2)</f>
        <v>533.72</v>
      </c>
      <c r="O99" s="307">
        <f>ROUND((IF('F Intl Con Plus Base'!$O$120&gt;ROUND(((1-'F Intl Con Plus Base'!$O$117)*'F Intl Con Plus Base'!O96),2),ROUND('F Intl Con Plus Base'!$O$120*(1+International_Fuel_Surcharge),2),ROUND(((1-'F Intl Con Plus Base'!$O$117)*'F Intl Con Plus Base'!O96)*(1+International_Fuel_Surcharge),2)))*(1+FedEx_Markup),2)</f>
        <v>319.64</v>
      </c>
      <c r="P99" s="307">
        <f>ROUND((IF('F Intl Con Plus Base'!$P$120&gt;ROUND(((1-'F Intl Con Plus Base'!$P$117)*'F Intl Con Plus Base'!P96),2),ROUND('F Intl Con Plus Base'!$P$120*(1+International_Fuel_Surcharge),2),ROUND(((1-'F Intl Con Plus Base'!$P$117)*'F Intl Con Plus Base'!P96)*(1+International_Fuel_Surcharge),2)))*(1+FedEx_Markup),2)</f>
        <v>392.17</v>
      </c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2.75" customHeight="1">
      <c r="A100" s="306">
        <v>95</v>
      </c>
      <c r="B100" s="307">
        <f>ROUND((IF('F Intl Con Plus Base'!$B$120&gt;ROUND(((1-'F Intl Con Plus Base'!$B$117)*'F Intl Con Plus Base'!B97),2),ROUND('F Intl Con Plus Base'!$B$120*(1+International_Fuel_Surcharge),2),ROUND(((1-'F Intl Con Plus Base'!$B$117)*'F Intl Con Plus Base'!B97)*(1+International_Fuel_Surcharge),2)))*(1+FedEx_Markup),2)</f>
        <v>190.47</v>
      </c>
      <c r="C100" s="307">
        <f>ROUND((IF('F Intl Con Plus Base'!$C$120&gt;ROUND(((1-'F Intl Con Plus Base'!$C$117)*'F Intl Con Plus Base'!C97),2),ROUND('F Intl Con Plus Base'!$C$120*(1+International_Fuel_Surcharge),2),ROUND(((1-'F Intl Con Plus Base'!$C$117)*'F Intl Con Plus Base'!C97)*(1+International_Fuel_Surcharge),2)))*(1+FedEx_Markup),2)</f>
        <v>198.74</v>
      </c>
      <c r="D100" s="307">
        <f>ROUND((IF('F Intl Con Plus Base'!$D$120&gt;ROUND(((1-'F Intl Con Plus Base'!$D$117)*'F Intl Con Plus Base'!D97),2),ROUND('F Intl Con Plus Base'!$D$120*(1+International_Fuel_Surcharge),2),ROUND(((1-'F Intl Con Plus Base'!$D$117)*'F Intl Con Plus Base'!D97)*(1+International_Fuel_Surcharge),2)))*(1+FedEx_Markup),2)</f>
        <v>164.3</v>
      </c>
      <c r="E100" s="307">
        <f>ROUND((IF('F Intl Con Plus Base'!$E$120&gt;ROUND(((1-'F Intl Con Plus Base'!$E$117)*'F Intl Con Plus Base'!E97),2),ROUND('F Intl Con Plus Base'!$E$120*(1+International_Fuel_Surcharge),2),ROUND(((1-'F Intl Con Plus Base'!$E$117)*'F Intl Con Plus Base'!E97)*(1+International_Fuel_Surcharge),2)))*(1+FedEx_Markup),2)</f>
        <v>259.38</v>
      </c>
      <c r="F100" s="307">
        <f>ROUND((IF('F Intl Con Plus Base'!$F$120&gt;ROUND(((1-'F Intl Con Plus Base'!$F$117)*'F Intl Con Plus Base'!F97),2),ROUND('F Intl Con Plus Base'!$F$120*(1+International_Fuel_Surcharge),2),ROUND(((1-'F Intl Con Plus Base'!$F$117)*'F Intl Con Plus Base'!F97)*(1+International_Fuel_Surcharge),2)))*(1+FedEx_Markup),2)</f>
        <v>538.79</v>
      </c>
      <c r="G100" s="307">
        <f>ROUND((IF('F Intl Con Plus Base'!$G$120&gt;ROUND(((1-'F Intl Con Plus Base'!$G$117)*'F Intl Con Plus Base'!G97),2),ROUND('F Intl Con Plus Base'!$G$120*(1+International_Fuel_Surcharge),2),ROUND(((1-'F Intl Con Plus Base'!$G$117)*'F Intl Con Plus Base'!G97)*(1+International_Fuel_Surcharge),2)))*(1+FedEx_Markup),2)</f>
        <v>299.45999999999998</v>
      </c>
      <c r="H100" s="307">
        <f>ROUND((IF('F Intl Con Plus Base'!$H$120&gt;ROUND(((1-'F Intl Con Plus Base'!$H$117)*'F Intl Con Plus Base'!H97),2),ROUND('F Intl Con Plus Base'!$H$120*(1+International_Fuel_Surcharge),2),ROUND(((1-'F Intl Con Plus Base'!$H$117)*'F Intl Con Plus Base'!H97)*(1+International_Fuel_Surcharge),2)))*(1+FedEx_Markup),2)</f>
        <v>303.45999999999998</v>
      </c>
      <c r="I100" s="307">
        <f>ROUND((IF('F Intl Con Plus Base'!$I$120&gt;ROUND(((1-'F Intl Con Plus Base'!$I$117)*'F Intl Con Plus Base'!I97),2),ROUND('F Intl Con Plus Base'!$I$120*(1+International_Fuel_Surcharge),2),ROUND(((1-'F Intl Con Plus Base'!$I$117)*'F Intl Con Plus Base'!I97)*(1+International_Fuel_Surcharge),2)))*(1+FedEx_Markup),2)</f>
        <v>321.48</v>
      </c>
      <c r="J100" s="307">
        <f>ROUND((IF('F Intl Con Plus Base'!$J$120&gt;ROUND(((1-'F Intl Con Plus Base'!$J$117)*'F Intl Con Plus Base'!J97),2),ROUND('F Intl Con Plus Base'!$J$120*(1+International_Fuel_Surcharge),2),ROUND(((1-'F Intl Con Plus Base'!$J$117)*'F Intl Con Plus Base'!J97)*(1+International_Fuel_Surcharge),2)))*(1+FedEx_Markup),2)</f>
        <v>228.99</v>
      </c>
      <c r="K100" s="307">
        <f>ROUND((IF('F Intl Con Plus Base'!$K$120&gt;ROUND(((1-'F Intl Con Plus Base'!$K$117)*'F Intl Con Plus Base'!K97),2),ROUND('F Intl Con Plus Base'!$K$120*(1+International_Fuel_Surcharge),2),ROUND(((1-'F Intl Con Plus Base'!$K$117)*'F Intl Con Plus Base'!K97)*(1+International_Fuel_Surcharge),2)))*(1+FedEx_Markup),2)</f>
        <v>394.53</v>
      </c>
      <c r="L100" s="307">
        <f>ROUND((IF('F Intl Con Plus Base'!$L$120&gt;ROUND(((1-'F Intl Con Plus Base'!$L$117)*'F Intl Con Plus Base'!L97),2),ROUND('F Intl Con Plus Base'!$L$120*(1+International_Fuel_Surcharge),2),ROUND(((1-'F Intl Con Plus Base'!$L$117)*'F Intl Con Plus Base'!L97)*(1+International_Fuel_Surcharge),2)))*(1+FedEx_Markup),2)</f>
        <v>369.86</v>
      </c>
      <c r="M100" s="307">
        <f>ROUND((IF('F Intl Con Plus Base'!$M$120&gt;ROUND(((1-'F Intl Con Plus Base'!$M$117)*'F Intl Con Plus Base'!M97),2),ROUND('F Intl Con Plus Base'!$M$120*(1+International_Fuel_Surcharge),2),ROUND(((1-'F Intl Con Plus Base'!$M$117)*'F Intl Con Plus Base'!M97)*(1+International_Fuel_Surcharge),2)))*(1+FedEx_Markup),2)</f>
        <v>455.14</v>
      </c>
      <c r="N100" s="307">
        <f>ROUND((IF('F Intl Con Plus Base'!$N$120&gt;ROUND(((1-'F Intl Con Plus Base'!$N$117)*'F Intl Con Plus Base'!N97),2),ROUND('F Intl Con Plus Base'!$N$120*(1+International_Fuel_Surcharge),2),ROUND(((1-'F Intl Con Plus Base'!$N$117)*'F Intl Con Plus Base'!N97)*(1+International_Fuel_Surcharge),2)))*(1+FedEx_Markup),2)</f>
        <v>533.79999999999995</v>
      </c>
      <c r="O100" s="307">
        <f>ROUND((IF('F Intl Con Plus Base'!$O$120&gt;ROUND(((1-'F Intl Con Plus Base'!$O$117)*'F Intl Con Plus Base'!O97),2),ROUND('F Intl Con Plus Base'!$O$120*(1+International_Fuel_Surcharge),2),ROUND(((1-'F Intl Con Plus Base'!$O$117)*'F Intl Con Plus Base'!O97)*(1+International_Fuel_Surcharge),2)))*(1+FedEx_Markup),2)</f>
        <v>319.7</v>
      </c>
      <c r="P100" s="307">
        <f>ROUND((IF('F Intl Con Plus Base'!$P$120&gt;ROUND(((1-'F Intl Con Plus Base'!$P$117)*'F Intl Con Plus Base'!P97),2),ROUND('F Intl Con Plus Base'!$P$120*(1+International_Fuel_Surcharge),2),ROUND(((1-'F Intl Con Plus Base'!$P$117)*'F Intl Con Plus Base'!P97)*(1+International_Fuel_Surcharge),2)))*(1+FedEx_Markup),2)</f>
        <v>392.73</v>
      </c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2.75" customHeight="1">
      <c r="A101" s="306">
        <v>96</v>
      </c>
      <c r="B101" s="307">
        <f>ROUND((IF('F Intl Con Plus Base'!$B$120&gt;ROUND(((1-'F Intl Con Plus Base'!$B$117)*'F Intl Con Plus Base'!B98),2),ROUND('F Intl Con Plus Base'!$B$120*(1+International_Fuel_Surcharge),2),ROUND(((1-'F Intl Con Plus Base'!$B$117)*'F Intl Con Plus Base'!B98)*(1+International_Fuel_Surcharge),2)))*(1+FedEx_Markup),2)</f>
        <v>190.53</v>
      </c>
      <c r="C101" s="307">
        <f>ROUND((IF('F Intl Con Plus Base'!$C$120&gt;ROUND(((1-'F Intl Con Plus Base'!$C$117)*'F Intl Con Plus Base'!C98),2),ROUND('F Intl Con Plus Base'!$C$120*(1+International_Fuel_Surcharge),2),ROUND(((1-'F Intl Con Plus Base'!$C$117)*'F Intl Con Plus Base'!C98)*(1+International_Fuel_Surcharge),2)))*(1+FedEx_Markup),2)</f>
        <v>198.8</v>
      </c>
      <c r="D101" s="307">
        <f>ROUND((IF('F Intl Con Plus Base'!$D$120&gt;ROUND(((1-'F Intl Con Plus Base'!$D$117)*'F Intl Con Plus Base'!D98),2),ROUND('F Intl Con Plus Base'!$D$120*(1+International_Fuel_Surcharge),2),ROUND(((1-'F Intl Con Plus Base'!$D$117)*'F Intl Con Plus Base'!D98)*(1+International_Fuel_Surcharge),2)))*(1+FedEx_Markup),2)</f>
        <v>165.35</v>
      </c>
      <c r="E101" s="307">
        <f>ROUND((IF('F Intl Con Plus Base'!$E$120&gt;ROUND(((1-'F Intl Con Plus Base'!$E$117)*'F Intl Con Plus Base'!E98),2),ROUND('F Intl Con Plus Base'!$E$120*(1+International_Fuel_Surcharge),2),ROUND(((1-'F Intl Con Plus Base'!$E$117)*'F Intl Con Plus Base'!E98)*(1+International_Fuel_Surcharge),2)))*(1+FedEx_Markup),2)</f>
        <v>259.44</v>
      </c>
      <c r="F101" s="307">
        <f>ROUND((IF('F Intl Con Plus Base'!$F$120&gt;ROUND(((1-'F Intl Con Plus Base'!$F$117)*'F Intl Con Plus Base'!F98),2),ROUND('F Intl Con Plus Base'!$F$120*(1+International_Fuel_Surcharge),2),ROUND(((1-'F Intl Con Plus Base'!$F$117)*'F Intl Con Plus Base'!F98)*(1+International_Fuel_Surcharge),2)))*(1+FedEx_Markup),2)</f>
        <v>552.39</v>
      </c>
      <c r="G101" s="307">
        <f>ROUND((IF('F Intl Con Plus Base'!$G$120&gt;ROUND(((1-'F Intl Con Plus Base'!$G$117)*'F Intl Con Plus Base'!G98),2),ROUND('F Intl Con Plus Base'!$G$120*(1+International_Fuel_Surcharge),2),ROUND(((1-'F Intl Con Plus Base'!$G$117)*'F Intl Con Plus Base'!G98)*(1+International_Fuel_Surcharge),2)))*(1+FedEx_Markup),2)</f>
        <v>300.87</v>
      </c>
      <c r="H101" s="307">
        <f>ROUND((IF('F Intl Con Plus Base'!$H$120&gt;ROUND(((1-'F Intl Con Plus Base'!$H$117)*'F Intl Con Plus Base'!H98),2),ROUND('F Intl Con Plus Base'!$H$120*(1+International_Fuel_Surcharge),2),ROUND(((1-'F Intl Con Plus Base'!$H$117)*'F Intl Con Plus Base'!H98)*(1+International_Fuel_Surcharge),2)))*(1+FedEx_Markup),2)</f>
        <v>303.54000000000002</v>
      </c>
      <c r="I101" s="307">
        <f>ROUND((IF('F Intl Con Plus Base'!$I$120&gt;ROUND(((1-'F Intl Con Plus Base'!$I$117)*'F Intl Con Plus Base'!I98),2),ROUND('F Intl Con Plus Base'!$I$120*(1+International_Fuel_Surcharge),2),ROUND(((1-'F Intl Con Plus Base'!$I$117)*'F Intl Con Plus Base'!I98)*(1+International_Fuel_Surcharge),2)))*(1+FedEx_Markup),2)</f>
        <v>321.56</v>
      </c>
      <c r="J101" s="307">
        <f>ROUND((IF('F Intl Con Plus Base'!$J$120&gt;ROUND(((1-'F Intl Con Plus Base'!$J$117)*'F Intl Con Plus Base'!J98),2),ROUND('F Intl Con Plus Base'!$J$120*(1+International_Fuel_Surcharge),2),ROUND(((1-'F Intl Con Plus Base'!$J$117)*'F Intl Con Plus Base'!J98)*(1+International_Fuel_Surcharge),2)))*(1+FedEx_Markup),2)</f>
        <v>231</v>
      </c>
      <c r="K101" s="307">
        <f>ROUND((IF('F Intl Con Plus Base'!$K$120&gt;ROUND(((1-'F Intl Con Plus Base'!$K$117)*'F Intl Con Plus Base'!K98),2),ROUND('F Intl Con Plus Base'!$K$120*(1+International_Fuel_Surcharge),2),ROUND(((1-'F Intl Con Plus Base'!$K$117)*'F Intl Con Plus Base'!K98)*(1+International_Fuel_Surcharge),2)))*(1+FedEx_Markup),2)</f>
        <v>394.6</v>
      </c>
      <c r="L101" s="307">
        <f>ROUND((IF('F Intl Con Plus Base'!$L$120&gt;ROUND(((1-'F Intl Con Plus Base'!$L$117)*'F Intl Con Plus Base'!L98),2),ROUND('F Intl Con Plus Base'!$L$120*(1+International_Fuel_Surcharge),2),ROUND(((1-'F Intl Con Plus Base'!$L$117)*'F Intl Con Plus Base'!L98)*(1+International_Fuel_Surcharge),2)))*(1+FedEx_Markup),2)</f>
        <v>369.94</v>
      </c>
      <c r="M101" s="307">
        <f>ROUND((IF('F Intl Con Plus Base'!$M$120&gt;ROUND(((1-'F Intl Con Plus Base'!$M$117)*'F Intl Con Plus Base'!M98),2),ROUND('F Intl Con Plus Base'!$M$120*(1+International_Fuel_Surcharge),2),ROUND(((1-'F Intl Con Plus Base'!$M$117)*'F Intl Con Plus Base'!M98)*(1+International_Fuel_Surcharge),2)))*(1+FedEx_Markup),2)</f>
        <v>455.22</v>
      </c>
      <c r="N101" s="307">
        <f>ROUND((IF('F Intl Con Plus Base'!$N$120&gt;ROUND(((1-'F Intl Con Plus Base'!$N$117)*'F Intl Con Plus Base'!N98),2),ROUND('F Intl Con Plus Base'!$N$120*(1+International_Fuel_Surcharge),2),ROUND(((1-'F Intl Con Plus Base'!$N$117)*'F Intl Con Plus Base'!N98)*(1+International_Fuel_Surcharge),2)))*(1+FedEx_Markup),2)</f>
        <v>533.86</v>
      </c>
      <c r="O101" s="307">
        <f>ROUND((IF('F Intl Con Plus Base'!$O$120&gt;ROUND(((1-'F Intl Con Plus Base'!$O$117)*'F Intl Con Plus Base'!O98),2),ROUND('F Intl Con Plus Base'!$O$120*(1+International_Fuel_Surcharge),2),ROUND(((1-'F Intl Con Plus Base'!$O$117)*'F Intl Con Plus Base'!O98)*(1+International_Fuel_Surcharge),2)))*(1+FedEx_Markup),2)</f>
        <v>319.77</v>
      </c>
      <c r="P101" s="307">
        <f>ROUND((IF('F Intl Con Plus Base'!$P$120&gt;ROUND(((1-'F Intl Con Plus Base'!$P$117)*'F Intl Con Plus Base'!P98),2),ROUND('F Intl Con Plus Base'!$P$120*(1+International_Fuel_Surcharge),2),ROUND(((1-'F Intl Con Plus Base'!$P$117)*'F Intl Con Plus Base'!P98)*(1+International_Fuel_Surcharge),2)))*(1+FedEx_Markup),2)</f>
        <v>403.67</v>
      </c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2.75" customHeight="1">
      <c r="A102" s="306">
        <v>97</v>
      </c>
      <c r="B102" s="307">
        <f>ROUND((IF('F Intl Con Plus Base'!$B$120&gt;ROUND(((1-'F Intl Con Plus Base'!$B$117)*'F Intl Con Plus Base'!B99),2),ROUND('F Intl Con Plus Base'!$B$120*(1+International_Fuel_Surcharge),2),ROUND(((1-'F Intl Con Plus Base'!$B$117)*'F Intl Con Plus Base'!B99)*(1+International_Fuel_Surcharge),2)))*(1+FedEx_Markup),2)</f>
        <v>190.59</v>
      </c>
      <c r="C102" s="307">
        <f>ROUND((IF('F Intl Con Plus Base'!$C$120&gt;ROUND(((1-'F Intl Con Plus Base'!$C$117)*'F Intl Con Plus Base'!C99),2),ROUND('F Intl Con Plus Base'!$C$120*(1+International_Fuel_Surcharge),2),ROUND(((1-'F Intl Con Plus Base'!$C$117)*'F Intl Con Plus Base'!C99)*(1+International_Fuel_Surcharge),2)))*(1+FedEx_Markup),2)</f>
        <v>198.86</v>
      </c>
      <c r="D102" s="307">
        <f>ROUND((IF('F Intl Con Plus Base'!$D$120&gt;ROUND(((1-'F Intl Con Plus Base'!$D$117)*'F Intl Con Plus Base'!D99),2),ROUND('F Intl Con Plus Base'!$D$120*(1+International_Fuel_Surcharge),2),ROUND(((1-'F Intl Con Plus Base'!$D$117)*'F Intl Con Plus Base'!D99)*(1+International_Fuel_Surcharge),2)))*(1+FedEx_Markup),2)</f>
        <v>165.47</v>
      </c>
      <c r="E102" s="307">
        <f>ROUND((IF('F Intl Con Plus Base'!$E$120&gt;ROUND(((1-'F Intl Con Plus Base'!$E$117)*'F Intl Con Plus Base'!E99),2),ROUND('F Intl Con Plus Base'!$E$120*(1+International_Fuel_Surcharge),2),ROUND(((1-'F Intl Con Plus Base'!$E$117)*'F Intl Con Plus Base'!E99)*(1+International_Fuel_Surcharge),2)))*(1+FedEx_Markup),2)</f>
        <v>259.5</v>
      </c>
      <c r="F102" s="307">
        <f>ROUND((IF('F Intl Con Plus Base'!$F$120&gt;ROUND(((1-'F Intl Con Plus Base'!$F$117)*'F Intl Con Plus Base'!F99),2),ROUND('F Intl Con Plus Base'!$F$120*(1+International_Fuel_Surcharge),2),ROUND(((1-'F Intl Con Plus Base'!$F$117)*'F Intl Con Plus Base'!F99)*(1+International_Fuel_Surcharge),2)))*(1+FedEx_Markup),2)</f>
        <v>553.75</v>
      </c>
      <c r="G102" s="307">
        <f>ROUND((IF('F Intl Con Plus Base'!$G$120&gt;ROUND(((1-'F Intl Con Plus Base'!$G$117)*'F Intl Con Plus Base'!G99),2),ROUND('F Intl Con Plus Base'!$G$120*(1+International_Fuel_Surcharge),2),ROUND(((1-'F Intl Con Plus Base'!$G$117)*'F Intl Con Plus Base'!G99)*(1+International_Fuel_Surcharge),2)))*(1+FedEx_Markup),2)</f>
        <v>308.99</v>
      </c>
      <c r="H102" s="307">
        <f>ROUND((IF('F Intl Con Plus Base'!$H$120&gt;ROUND(((1-'F Intl Con Plus Base'!$H$117)*'F Intl Con Plus Base'!H99),2),ROUND('F Intl Con Plus Base'!$H$120*(1+International_Fuel_Surcharge),2),ROUND(((1-'F Intl Con Plus Base'!$H$117)*'F Intl Con Plus Base'!H99)*(1+International_Fuel_Surcharge),2)))*(1+FedEx_Markup),2)</f>
        <v>303.61</v>
      </c>
      <c r="I102" s="307">
        <f>ROUND((IF('F Intl Con Plus Base'!$I$120&gt;ROUND(((1-'F Intl Con Plus Base'!$I$117)*'F Intl Con Plus Base'!I99),2),ROUND('F Intl Con Plus Base'!$I$120*(1+International_Fuel_Surcharge),2),ROUND(((1-'F Intl Con Plus Base'!$I$117)*'F Intl Con Plus Base'!I99)*(1+International_Fuel_Surcharge),2)))*(1+FedEx_Markup),2)</f>
        <v>321.63</v>
      </c>
      <c r="J102" s="307">
        <f>ROUND((IF('F Intl Con Plus Base'!$J$120&gt;ROUND(((1-'F Intl Con Plus Base'!$J$117)*'F Intl Con Plus Base'!J99),2),ROUND('F Intl Con Plus Base'!$J$120*(1+International_Fuel_Surcharge),2),ROUND(((1-'F Intl Con Plus Base'!$J$117)*'F Intl Con Plus Base'!J99)*(1+International_Fuel_Surcharge),2)))*(1+FedEx_Markup),2)</f>
        <v>231.21</v>
      </c>
      <c r="K102" s="307">
        <f>ROUND((IF('F Intl Con Plus Base'!$K$120&gt;ROUND(((1-'F Intl Con Plus Base'!$K$117)*'F Intl Con Plus Base'!K99),2),ROUND('F Intl Con Plus Base'!$K$120*(1+International_Fuel_Surcharge),2),ROUND(((1-'F Intl Con Plus Base'!$K$117)*'F Intl Con Plus Base'!K99)*(1+International_Fuel_Surcharge),2)))*(1+FedEx_Markup),2)</f>
        <v>394.66</v>
      </c>
      <c r="L102" s="307">
        <f>ROUND((IF('F Intl Con Plus Base'!$L$120&gt;ROUND(((1-'F Intl Con Plus Base'!$L$117)*'F Intl Con Plus Base'!L99),2),ROUND('F Intl Con Plus Base'!$L$120*(1+International_Fuel_Surcharge),2),ROUND(((1-'F Intl Con Plus Base'!$L$117)*'F Intl Con Plus Base'!L99)*(1+International_Fuel_Surcharge),2)))*(1+FedEx_Markup),2)</f>
        <v>370.02</v>
      </c>
      <c r="M102" s="307">
        <f>ROUND((IF('F Intl Con Plus Base'!$M$120&gt;ROUND(((1-'F Intl Con Plus Base'!$M$117)*'F Intl Con Plus Base'!M99),2),ROUND('F Intl Con Plus Base'!$M$120*(1+International_Fuel_Surcharge),2),ROUND(((1-'F Intl Con Plus Base'!$M$117)*'F Intl Con Plus Base'!M99)*(1+International_Fuel_Surcharge),2)))*(1+FedEx_Markup),2)</f>
        <v>455.29</v>
      </c>
      <c r="N102" s="307">
        <f>ROUND((IF('F Intl Con Plus Base'!$N$120&gt;ROUND(((1-'F Intl Con Plus Base'!$N$117)*'F Intl Con Plus Base'!N99),2),ROUND('F Intl Con Plus Base'!$N$120*(1+International_Fuel_Surcharge),2),ROUND(((1-'F Intl Con Plus Base'!$N$117)*'F Intl Con Plus Base'!N99)*(1+International_Fuel_Surcharge),2)))*(1+FedEx_Markup),2)</f>
        <v>533.95000000000005</v>
      </c>
      <c r="O102" s="307">
        <f>ROUND((IF('F Intl Con Plus Base'!$O$120&gt;ROUND(((1-'F Intl Con Plus Base'!$O$117)*'F Intl Con Plus Base'!O99),2),ROUND('F Intl Con Plus Base'!$O$120*(1+International_Fuel_Surcharge),2),ROUND(((1-'F Intl Con Plus Base'!$O$117)*'F Intl Con Plus Base'!O99)*(1+International_Fuel_Surcharge),2)))*(1+FedEx_Markup),2)</f>
        <v>319.83</v>
      </c>
      <c r="P102" s="307">
        <f>ROUND((IF('F Intl Con Plus Base'!$P$120&gt;ROUND(((1-'F Intl Con Plus Base'!$P$117)*'F Intl Con Plus Base'!P99),2),ROUND('F Intl Con Plus Base'!$P$120*(1+International_Fuel_Surcharge),2),ROUND(((1-'F Intl Con Plus Base'!$P$117)*'F Intl Con Plus Base'!P99)*(1+International_Fuel_Surcharge),2)))*(1+FedEx_Markup),2)</f>
        <v>404.97</v>
      </c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2.75" customHeight="1">
      <c r="A103" s="306">
        <v>98</v>
      </c>
      <c r="B103" s="307">
        <f>ROUND((IF('F Intl Con Plus Base'!$B$120&gt;ROUND(((1-'F Intl Con Plus Base'!$B$117)*'F Intl Con Plus Base'!B100),2),ROUND('F Intl Con Plus Base'!$B$120*(1+International_Fuel_Surcharge),2),ROUND(((1-'F Intl Con Plus Base'!$B$117)*'F Intl Con Plus Base'!B100)*(1+International_Fuel_Surcharge),2)))*(1+FedEx_Markup),2)</f>
        <v>190.65</v>
      </c>
      <c r="C103" s="307">
        <f>ROUND((IF('F Intl Con Plus Base'!$C$120&gt;ROUND(((1-'F Intl Con Plus Base'!$C$117)*'F Intl Con Plus Base'!C100),2),ROUND('F Intl Con Plus Base'!$C$120*(1+International_Fuel_Surcharge),2),ROUND(((1-'F Intl Con Plus Base'!$C$117)*'F Intl Con Plus Base'!C100)*(1+International_Fuel_Surcharge),2)))*(1+FedEx_Markup),2)</f>
        <v>198.93</v>
      </c>
      <c r="D103" s="307">
        <f>ROUND((IF('F Intl Con Plus Base'!$D$120&gt;ROUND(((1-'F Intl Con Plus Base'!$D$117)*'F Intl Con Plus Base'!D100),2),ROUND('F Intl Con Plus Base'!$D$120*(1+International_Fuel_Surcharge),2),ROUND(((1-'F Intl Con Plus Base'!$D$117)*'F Intl Con Plus Base'!D100)*(1+International_Fuel_Surcharge),2)))*(1+FedEx_Markup),2)</f>
        <v>165.54</v>
      </c>
      <c r="E103" s="307">
        <f>ROUND((IF('F Intl Con Plus Base'!$E$120&gt;ROUND(((1-'F Intl Con Plus Base'!$E$117)*'F Intl Con Plus Base'!E100),2),ROUND('F Intl Con Plus Base'!$E$120*(1+International_Fuel_Surcharge),2),ROUND(((1-'F Intl Con Plus Base'!$E$117)*'F Intl Con Plus Base'!E100)*(1+International_Fuel_Surcharge),2)))*(1+FedEx_Markup),2)</f>
        <v>259.56</v>
      </c>
      <c r="F103" s="307">
        <f>ROUND((IF('F Intl Con Plus Base'!$F$120&gt;ROUND(((1-'F Intl Con Plus Base'!$F$117)*'F Intl Con Plus Base'!F100),2),ROUND('F Intl Con Plus Base'!$F$120*(1+International_Fuel_Surcharge),2),ROUND(((1-'F Intl Con Plus Base'!$F$117)*'F Intl Con Plus Base'!F100)*(1+International_Fuel_Surcharge),2)))*(1+FedEx_Markup),2)</f>
        <v>553.89</v>
      </c>
      <c r="G103" s="307">
        <f>ROUND((IF('F Intl Con Plus Base'!$G$120&gt;ROUND(((1-'F Intl Con Plus Base'!$G$117)*'F Intl Con Plus Base'!G100),2),ROUND('F Intl Con Plus Base'!$G$120*(1+International_Fuel_Surcharge),2),ROUND(((1-'F Intl Con Plus Base'!$G$117)*'F Intl Con Plus Base'!G100)*(1+International_Fuel_Surcharge),2)))*(1+FedEx_Markup),2)</f>
        <v>309.81</v>
      </c>
      <c r="H103" s="307">
        <f>ROUND((IF('F Intl Con Plus Base'!$H$120&gt;ROUND(((1-'F Intl Con Plus Base'!$H$117)*'F Intl Con Plus Base'!H100),2),ROUND('F Intl Con Plus Base'!$H$120*(1+International_Fuel_Surcharge),2),ROUND(((1-'F Intl Con Plus Base'!$H$117)*'F Intl Con Plus Base'!H100)*(1+International_Fuel_Surcharge),2)))*(1+FedEx_Markup),2)</f>
        <v>303.69</v>
      </c>
      <c r="I103" s="307">
        <f>ROUND((IF('F Intl Con Plus Base'!$I$120&gt;ROUND(((1-'F Intl Con Plus Base'!$I$117)*'F Intl Con Plus Base'!I100),2),ROUND('F Intl Con Plus Base'!$I$120*(1+International_Fuel_Surcharge),2),ROUND(((1-'F Intl Con Plus Base'!$I$117)*'F Intl Con Plus Base'!I100)*(1+International_Fuel_Surcharge),2)))*(1+FedEx_Markup),2)</f>
        <v>321.69</v>
      </c>
      <c r="J103" s="307">
        <f>ROUND((IF('F Intl Con Plus Base'!$J$120&gt;ROUND(((1-'F Intl Con Plus Base'!$J$117)*'F Intl Con Plus Base'!J100),2),ROUND('F Intl Con Plus Base'!$J$120*(1+International_Fuel_Surcharge),2),ROUND(((1-'F Intl Con Plus Base'!$J$117)*'F Intl Con Plus Base'!J100)*(1+International_Fuel_Surcharge),2)))*(1+FedEx_Markup),2)</f>
        <v>231.3</v>
      </c>
      <c r="K103" s="307">
        <f>ROUND((IF('F Intl Con Plus Base'!$K$120&gt;ROUND(((1-'F Intl Con Plus Base'!$K$117)*'F Intl Con Plus Base'!K100),2),ROUND('F Intl Con Plus Base'!$K$120*(1+International_Fuel_Surcharge),2),ROUND(((1-'F Intl Con Plus Base'!$K$117)*'F Intl Con Plus Base'!K100)*(1+International_Fuel_Surcharge),2)))*(1+FedEx_Markup),2)</f>
        <v>394.73</v>
      </c>
      <c r="L103" s="307">
        <f>ROUND((IF('F Intl Con Plus Base'!$L$120&gt;ROUND(((1-'F Intl Con Plus Base'!$L$117)*'F Intl Con Plus Base'!L100),2),ROUND('F Intl Con Plus Base'!$L$120*(1+International_Fuel_Surcharge),2),ROUND(((1-'F Intl Con Plus Base'!$L$117)*'F Intl Con Plus Base'!L100)*(1+International_Fuel_Surcharge),2)))*(1+FedEx_Markup),2)</f>
        <v>370.1</v>
      </c>
      <c r="M103" s="307">
        <f>ROUND((IF('F Intl Con Plus Base'!$M$120&gt;ROUND(((1-'F Intl Con Plus Base'!$M$117)*'F Intl Con Plus Base'!M100),2),ROUND('F Intl Con Plus Base'!$M$120*(1+International_Fuel_Surcharge),2),ROUND(((1-'F Intl Con Plus Base'!$M$117)*'F Intl Con Plus Base'!M100)*(1+International_Fuel_Surcharge),2)))*(1+FedEx_Markup),2)</f>
        <v>455.42</v>
      </c>
      <c r="N103" s="307">
        <f>ROUND((IF('F Intl Con Plus Base'!$N$120&gt;ROUND(((1-'F Intl Con Plus Base'!$N$117)*'F Intl Con Plus Base'!N100),2),ROUND('F Intl Con Plus Base'!$N$120*(1+International_Fuel_Surcharge),2),ROUND(((1-'F Intl Con Plus Base'!$N$117)*'F Intl Con Plus Base'!N100)*(1+International_Fuel_Surcharge),2)))*(1+FedEx_Markup),2)</f>
        <v>535.57000000000005</v>
      </c>
      <c r="O103" s="307">
        <f>ROUND((IF('F Intl Con Plus Base'!$O$120&gt;ROUND(((1-'F Intl Con Plus Base'!$O$117)*'F Intl Con Plus Base'!O100),2),ROUND('F Intl Con Plus Base'!$O$120*(1+International_Fuel_Surcharge),2),ROUND(((1-'F Intl Con Plus Base'!$O$117)*'F Intl Con Plus Base'!O100)*(1+International_Fuel_Surcharge),2)))*(1+FedEx_Markup),2)</f>
        <v>319.88</v>
      </c>
      <c r="P103" s="307">
        <f>ROUND((IF('F Intl Con Plus Base'!$P$120&gt;ROUND(((1-'F Intl Con Plus Base'!$P$117)*'F Intl Con Plus Base'!P100),2),ROUND('F Intl Con Plus Base'!$P$120*(1+International_Fuel_Surcharge),2),ROUND(((1-'F Intl Con Plus Base'!$P$117)*'F Intl Con Plus Base'!P100)*(1+International_Fuel_Surcharge),2)))*(1+FedEx_Markup),2)</f>
        <v>405.87</v>
      </c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2.75" customHeight="1">
      <c r="A104" s="306">
        <v>99</v>
      </c>
      <c r="B104" s="307">
        <f>ROUND((IF('F Intl Con Plus Base'!$B$120&gt;ROUND(((1-'F Intl Con Plus Base'!$B$117)*'F Intl Con Plus Base'!B101),2),ROUND('F Intl Con Plus Base'!$B$120*(1+International_Fuel_Surcharge),2),ROUND(((1-'F Intl Con Plus Base'!$B$117)*'F Intl Con Plus Base'!B101)*(1+International_Fuel_Surcharge),2)))*(1+FedEx_Markup),2)</f>
        <v>190.72</v>
      </c>
      <c r="C104" s="307">
        <f>ROUND((IF('F Intl Con Plus Base'!$C$120&gt;ROUND(((1-'F Intl Con Plus Base'!$C$117)*'F Intl Con Plus Base'!C101),2),ROUND('F Intl Con Plus Base'!$C$120*(1+International_Fuel_Surcharge),2),ROUND(((1-'F Intl Con Plus Base'!$C$117)*'F Intl Con Plus Base'!C101)*(1+International_Fuel_Surcharge),2)))*(1+FedEx_Markup),2)</f>
        <v>198.98</v>
      </c>
      <c r="D104" s="307">
        <f>ROUND((IF('F Intl Con Plus Base'!$D$120&gt;ROUND(((1-'F Intl Con Plus Base'!$D$117)*'F Intl Con Plus Base'!D101),2),ROUND('F Intl Con Plus Base'!$D$120*(1+International_Fuel_Surcharge),2),ROUND(((1-'F Intl Con Plus Base'!$D$117)*'F Intl Con Plus Base'!D101)*(1+International_Fuel_Surcharge),2)))*(1+FedEx_Markup),2)</f>
        <v>166.6</v>
      </c>
      <c r="E104" s="307">
        <f>ROUND((IF('F Intl Con Plus Base'!$E$120&gt;ROUND(((1-'F Intl Con Plus Base'!$E$117)*'F Intl Con Plus Base'!E101),2),ROUND('F Intl Con Plus Base'!$E$120*(1+International_Fuel_Surcharge),2),ROUND(((1-'F Intl Con Plus Base'!$E$117)*'F Intl Con Plus Base'!E101)*(1+International_Fuel_Surcharge),2)))*(1+FedEx_Markup),2)</f>
        <v>259.61</v>
      </c>
      <c r="F104" s="307">
        <f>ROUND((IF('F Intl Con Plus Base'!$F$120&gt;ROUND(((1-'F Intl Con Plus Base'!$F$117)*'F Intl Con Plus Base'!F101),2),ROUND('F Intl Con Plus Base'!$F$120*(1+International_Fuel_Surcharge),2),ROUND(((1-'F Intl Con Plus Base'!$F$117)*'F Intl Con Plus Base'!F101)*(1+International_Fuel_Surcharge),2)))*(1+FedEx_Markup),2)</f>
        <v>554.35</v>
      </c>
      <c r="G104" s="307">
        <f>ROUND((IF('F Intl Con Plus Base'!$G$120&gt;ROUND(((1-'F Intl Con Plus Base'!$G$117)*'F Intl Con Plus Base'!G101),2),ROUND('F Intl Con Plus Base'!$G$120*(1+International_Fuel_Surcharge),2),ROUND(((1-'F Intl Con Plus Base'!$G$117)*'F Intl Con Plus Base'!G101)*(1+International_Fuel_Surcharge),2)))*(1+FedEx_Markup),2)</f>
        <v>310.33</v>
      </c>
      <c r="H104" s="307">
        <f>ROUND((IF('F Intl Con Plus Base'!$H$120&gt;ROUND(((1-'F Intl Con Plus Base'!$H$117)*'F Intl Con Plus Base'!H101),2),ROUND('F Intl Con Plus Base'!$H$120*(1+International_Fuel_Surcharge),2),ROUND(((1-'F Intl Con Plus Base'!$H$117)*'F Intl Con Plus Base'!H101)*(1+International_Fuel_Surcharge),2)))*(1+FedEx_Markup),2)</f>
        <v>303.95</v>
      </c>
      <c r="I104" s="307">
        <f>ROUND((IF('F Intl Con Plus Base'!$I$120&gt;ROUND(((1-'F Intl Con Plus Base'!$I$117)*'F Intl Con Plus Base'!I101),2),ROUND('F Intl Con Plus Base'!$I$120*(1+International_Fuel_Surcharge),2),ROUND(((1-'F Intl Con Plus Base'!$I$117)*'F Intl Con Plus Base'!I101)*(1+International_Fuel_Surcharge),2)))*(1+FedEx_Markup),2)</f>
        <v>321.76</v>
      </c>
      <c r="J104" s="307">
        <f>ROUND((IF('F Intl Con Plus Base'!$J$120&gt;ROUND(((1-'F Intl Con Plus Base'!$J$117)*'F Intl Con Plus Base'!J101),2),ROUND('F Intl Con Plus Base'!$J$120*(1+International_Fuel_Surcharge),2),ROUND(((1-'F Intl Con Plus Base'!$J$117)*'F Intl Con Plus Base'!J101)*(1+International_Fuel_Surcharge),2)))*(1+FedEx_Markup),2)</f>
        <v>233.23</v>
      </c>
      <c r="K104" s="307">
        <f>ROUND((IF('F Intl Con Plus Base'!$K$120&gt;ROUND(((1-'F Intl Con Plus Base'!$K$117)*'F Intl Con Plus Base'!K101),2),ROUND('F Intl Con Plus Base'!$K$120*(1+International_Fuel_Surcharge),2),ROUND(((1-'F Intl Con Plus Base'!$K$117)*'F Intl Con Plus Base'!K101)*(1+International_Fuel_Surcharge),2)))*(1+FedEx_Markup),2)</f>
        <v>394.8</v>
      </c>
      <c r="L104" s="307">
        <f>ROUND((IF('F Intl Con Plus Base'!$L$120&gt;ROUND(((1-'F Intl Con Plus Base'!$L$117)*'F Intl Con Plus Base'!L101),2),ROUND('F Intl Con Plus Base'!$L$120*(1+International_Fuel_Surcharge),2),ROUND(((1-'F Intl Con Plus Base'!$L$117)*'F Intl Con Plus Base'!L101)*(1+International_Fuel_Surcharge),2)))*(1+FedEx_Markup),2)</f>
        <v>370.86</v>
      </c>
      <c r="M104" s="307">
        <f>ROUND((IF('F Intl Con Plus Base'!$M$120&gt;ROUND(((1-'F Intl Con Plus Base'!$M$117)*'F Intl Con Plus Base'!M101),2),ROUND('F Intl Con Plus Base'!$M$120*(1+International_Fuel_Surcharge),2),ROUND(((1-'F Intl Con Plus Base'!$M$117)*'F Intl Con Plus Base'!M101)*(1+International_Fuel_Surcharge),2)))*(1+FedEx_Markup),2)</f>
        <v>458.21</v>
      </c>
      <c r="N104" s="307">
        <f>ROUND((IF('F Intl Con Plus Base'!$N$120&gt;ROUND(((1-'F Intl Con Plus Base'!$N$117)*'F Intl Con Plus Base'!N101),2),ROUND('F Intl Con Plus Base'!$N$120*(1+International_Fuel_Surcharge),2),ROUND(((1-'F Intl Con Plus Base'!$N$117)*'F Intl Con Plus Base'!N101)*(1+International_Fuel_Surcharge),2)))*(1+FedEx_Markup),2)</f>
        <v>535.73</v>
      </c>
      <c r="O104" s="307">
        <f>ROUND((IF('F Intl Con Plus Base'!$O$120&gt;ROUND(((1-'F Intl Con Plus Base'!$O$117)*'F Intl Con Plus Base'!O101),2),ROUND('F Intl Con Plus Base'!$O$120*(1+International_Fuel_Surcharge),2),ROUND(((1-'F Intl Con Plus Base'!$O$117)*'F Intl Con Plus Base'!O101)*(1+International_Fuel_Surcharge),2)))*(1+FedEx_Markup),2)</f>
        <v>319.94</v>
      </c>
      <c r="P104" s="307">
        <f>ROUND((IF('F Intl Con Plus Base'!$P$120&gt;ROUND(((1-'F Intl Con Plus Base'!$P$117)*'F Intl Con Plus Base'!P101),2),ROUND('F Intl Con Plus Base'!$P$120*(1+International_Fuel_Surcharge),2),ROUND(((1-'F Intl Con Plus Base'!$P$117)*'F Intl Con Plus Base'!P101)*(1+International_Fuel_Surcharge),2)))*(1+FedEx_Markup),2)</f>
        <v>411.67</v>
      </c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2.75" customHeight="1">
      <c r="A105" s="306">
        <v>100</v>
      </c>
      <c r="B105" s="307">
        <f>ROUND((IF('F Intl Con Plus Base'!$B$120&gt;ROUND(((1-'F Intl Con Plus Base'!$B$117)*'F Intl Con Plus Base'!B102),2),ROUND('F Intl Con Plus Base'!$B$120*(1+International_Fuel_Surcharge),2),ROUND(((1-'F Intl Con Plus Base'!$B$117)*'F Intl Con Plus Base'!B102)*(1+International_Fuel_Surcharge),2)))*(1+FedEx_Markup),2)</f>
        <v>190.77</v>
      </c>
      <c r="C105" s="307">
        <f>ROUND((IF('F Intl Con Plus Base'!$C$120&gt;ROUND(((1-'F Intl Con Plus Base'!$C$117)*'F Intl Con Plus Base'!C102),2),ROUND('F Intl Con Plus Base'!$C$120*(1+International_Fuel_Surcharge),2),ROUND(((1-'F Intl Con Plus Base'!$C$117)*'F Intl Con Plus Base'!C102)*(1+International_Fuel_Surcharge),2)))*(1+FedEx_Markup),2)</f>
        <v>199.04</v>
      </c>
      <c r="D105" s="307">
        <f>ROUND((IF('F Intl Con Plus Base'!$D$120&gt;ROUND(((1-'F Intl Con Plus Base'!$D$117)*'F Intl Con Plus Base'!D102),2),ROUND('F Intl Con Plus Base'!$D$120*(1+International_Fuel_Surcharge),2),ROUND(((1-'F Intl Con Plus Base'!$D$117)*'F Intl Con Plus Base'!D102)*(1+International_Fuel_Surcharge),2)))*(1+FedEx_Markup),2)</f>
        <v>181.42</v>
      </c>
      <c r="E105" s="307">
        <f>ROUND((IF('F Intl Con Plus Base'!$E$120&gt;ROUND(((1-'F Intl Con Plus Base'!$E$117)*'F Intl Con Plus Base'!E102),2),ROUND('F Intl Con Plus Base'!$E$120*(1+International_Fuel_Surcharge),2),ROUND(((1-'F Intl Con Plus Base'!$E$117)*'F Intl Con Plus Base'!E102)*(1+International_Fuel_Surcharge),2)))*(1+FedEx_Markup),2)</f>
        <v>259.66000000000003</v>
      </c>
      <c r="F105" s="307">
        <f>ROUND((IF('F Intl Con Plus Base'!$F$120&gt;ROUND(((1-'F Intl Con Plus Base'!$F$117)*'F Intl Con Plus Base'!F102),2),ROUND('F Intl Con Plus Base'!$F$120*(1+International_Fuel_Surcharge),2),ROUND(((1-'F Intl Con Plus Base'!$F$117)*'F Intl Con Plus Base'!F102)*(1+International_Fuel_Surcharge),2)))*(1+FedEx_Markup),2)</f>
        <v>563.17999999999995</v>
      </c>
      <c r="G105" s="307">
        <f>ROUND((IF('F Intl Con Plus Base'!$G$120&gt;ROUND(((1-'F Intl Con Plus Base'!$G$117)*'F Intl Con Plus Base'!G102),2),ROUND('F Intl Con Plus Base'!$G$120*(1+International_Fuel_Surcharge),2),ROUND(((1-'F Intl Con Plus Base'!$G$117)*'F Intl Con Plus Base'!G102)*(1+International_Fuel_Surcharge),2)))*(1+FedEx_Markup),2)</f>
        <v>320.24</v>
      </c>
      <c r="H105" s="307">
        <f>ROUND((IF('F Intl Con Plus Base'!$H$120&gt;ROUND(((1-'F Intl Con Plus Base'!$H$117)*'F Intl Con Plus Base'!H102),2),ROUND('F Intl Con Plus Base'!$H$120*(1+International_Fuel_Surcharge),2),ROUND(((1-'F Intl Con Plus Base'!$H$117)*'F Intl Con Plus Base'!H102)*(1+International_Fuel_Surcharge),2)))*(1+FedEx_Markup),2)</f>
        <v>306.12</v>
      </c>
      <c r="I105" s="307">
        <f>ROUND((IF('F Intl Con Plus Base'!$I$120&gt;ROUND(((1-'F Intl Con Plus Base'!$I$117)*'F Intl Con Plus Base'!I102),2),ROUND('F Intl Con Plus Base'!$I$120*(1+International_Fuel_Surcharge),2),ROUND(((1-'F Intl Con Plus Base'!$I$117)*'F Intl Con Plus Base'!I102)*(1+International_Fuel_Surcharge),2)))*(1+FedEx_Markup),2)</f>
        <v>322.63</v>
      </c>
      <c r="J105" s="307">
        <f>ROUND((IF('F Intl Con Plus Base'!$J$120&gt;ROUND(((1-'F Intl Con Plus Base'!$J$117)*'F Intl Con Plus Base'!J102),2),ROUND('F Intl Con Plus Base'!$J$120*(1+International_Fuel_Surcharge),2),ROUND(((1-'F Intl Con Plus Base'!$J$117)*'F Intl Con Plus Base'!J102)*(1+International_Fuel_Surcharge),2)))*(1+FedEx_Markup),2)</f>
        <v>269.74</v>
      </c>
      <c r="K105" s="307">
        <f>ROUND((IF('F Intl Con Plus Base'!$K$120&gt;ROUND(((1-'F Intl Con Plus Base'!$K$117)*'F Intl Con Plus Base'!K102),2),ROUND('F Intl Con Plus Base'!$K$120*(1+International_Fuel_Surcharge),2),ROUND(((1-'F Intl Con Plus Base'!$K$117)*'F Intl Con Plus Base'!K102)*(1+International_Fuel_Surcharge),2)))*(1+FedEx_Markup),2)</f>
        <v>396.09</v>
      </c>
      <c r="L105" s="307">
        <f>ROUND((IF('F Intl Con Plus Base'!$L$120&gt;ROUND(((1-'F Intl Con Plus Base'!$L$117)*'F Intl Con Plus Base'!L102),2),ROUND('F Intl Con Plus Base'!$L$120*(1+International_Fuel_Surcharge),2),ROUND(((1-'F Intl Con Plus Base'!$L$117)*'F Intl Con Plus Base'!L102)*(1+International_Fuel_Surcharge),2)))*(1+FedEx_Markup),2)</f>
        <v>380.08</v>
      </c>
      <c r="M105" s="307">
        <f>ROUND((IF('F Intl Con Plus Base'!$M$120&gt;ROUND(((1-'F Intl Con Plus Base'!$M$117)*'F Intl Con Plus Base'!M102),2),ROUND('F Intl Con Plus Base'!$M$120*(1+International_Fuel_Surcharge),2),ROUND(((1-'F Intl Con Plus Base'!$M$117)*'F Intl Con Plus Base'!M102)*(1+International_Fuel_Surcharge),2)))*(1+FedEx_Markup),2)</f>
        <v>503.34</v>
      </c>
      <c r="N105" s="307">
        <f>ROUND((IF('F Intl Con Plus Base'!$N$120&gt;ROUND(((1-'F Intl Con Plus Base'!$N$117)*'F Intl Con Plus Base'!N102),2),ROUND('F Intl Con Plus Base'!$N$120*(1+International_Fuel_Surcharge),2),ROUND(((1-'F Intl Con Plus Base'!$N$117)*'F Intl Con Plus Base'!N102)*(1+International_Fuel_Surcharge),2)))*(1+FedEx_Markup),2)</f>
        <v>538.04999999999995</v>
      </c>
      <c r="O105" s="307">
        <f>ROUND((IF('F Intl Con Plus Base'!$O$120&gt;ROUND(((1-'F Intl Con Plus Base'!$O$117)*'F Intl Con Plus Base'!O102),2),ROUND('F Intl Con Plus Base'!$O$120*(1+International_Fuel_Surcharge),2),ROUND(((1-'F Intl Con Plus Base'!$O$117)*'F Intl Con Plus Base'!O102)*(1+International_Fuel_Surcharge),2)))*(1+FedEx_Markup),2)</f>
        <v>320</v>
      </c>
      <c r="P105" s="307">
        <f>ROUND((IF('F Intl Con Plus Base'!$P$120&gt;ROUND(((1-'F Intl Con Plus Base'!$P$117)*'F Intl Con Plus Base'!P102),2),ROUND('F Intl Con Plus Base'!$P$120*(1+International_Fuel_Surcharge),2),ROUND(((1-'F Intl Con Plus Base'!$P$117)*'F Intl Con Plus Base'!P102)*(1+International_Fuel_Surcharge),2)))*(1+FedEx_Markup),2)</f>
        <v>415.27</v>
      </c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2.7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2.7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2.7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2.7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2.7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2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2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2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2.7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2.7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2.7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2.7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2.7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2.7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2.7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2.7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2.7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2.7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2.7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2.7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2.7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2.7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2.7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2.7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2.7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2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2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2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2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2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2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2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2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2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2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2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2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2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2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2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2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2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2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2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2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2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2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2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2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2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2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2.7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2.7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2.7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2.7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2.7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2.7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2.7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2.7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2.7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2.7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2.7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2.7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2.7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2.7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2.7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2.7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2.7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2.7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2.7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2.7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2.7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2.7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2.7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2.7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2.7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2.7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2.7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2.7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2.7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2.7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2.7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2.7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2.7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2.7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2.7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2.7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2.7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2.7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2.7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2.7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2.7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2.7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2.7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2.7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2.7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2.7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2.7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2.7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2.7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2.7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2.7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2.7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2.7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2.7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2.7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2.7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2.7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2.7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2.7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2.7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2.7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2.7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2.7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2.7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2.7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2.7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2.7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2.7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2.7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2.7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2.7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2.7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2.7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2.7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2.7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2.7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2.7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2.7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2.7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2.7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2.7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2.7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2.7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2.7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2.7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2.7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2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2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2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2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2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2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2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2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2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2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2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2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2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2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2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2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2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2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2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2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2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2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2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2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2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2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2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2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2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2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2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2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2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2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2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2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2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2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2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2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2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2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2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2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2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2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2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2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2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2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2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2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2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2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2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2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2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2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2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2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2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2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2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2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2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2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2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2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2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2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2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2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2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2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2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2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2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2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2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2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2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2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2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2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2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2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2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2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2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2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2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2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2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2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2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2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2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2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2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2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2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2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2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2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2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2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2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2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2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2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2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2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2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2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2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2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2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2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2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2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2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2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2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2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2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2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2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2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2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2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2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2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2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2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2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2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2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2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2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2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2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2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2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2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2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2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2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2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2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2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2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2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2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2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2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2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2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2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2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2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2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2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2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2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2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2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2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2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2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2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2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2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2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2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2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2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2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2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2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2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2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2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2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2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2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2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2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2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2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2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2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2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2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2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2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2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2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2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2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2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2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2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2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2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2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2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2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2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2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2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2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2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2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2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2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2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2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2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2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2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2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2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2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2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2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2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2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2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2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2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2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2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2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2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2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2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2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2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2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2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2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2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2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2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2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2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2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2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2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2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2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2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2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2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2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2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2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2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2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2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2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2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2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2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2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2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2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2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2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2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2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2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2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2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2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2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2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2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2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2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2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2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2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2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2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2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2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2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2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2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2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2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2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2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2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2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2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2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2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2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2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2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2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2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2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2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2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2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2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2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2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2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2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2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2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2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2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2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2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2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2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2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2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2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2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2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2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2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2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2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2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2.7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2.7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2.7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2.7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2.7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2.7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2.7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2.7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2.7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2.7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2.7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2.7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2.7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2.7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2.7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2.7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2.7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2.7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2.7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2.7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2.7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2.7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2.7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2.7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2.7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2.7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2.7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2.7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2.7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2.7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2.7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2.7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2.7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2.7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2.7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2.7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2.7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2.7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2.7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2.7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2.7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2.7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2.7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2.7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2.7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2.7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2.7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2.7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2.7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2.7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2.7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2.7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2.7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2.7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2.7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2.7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2.7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2.7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2.7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2.7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2.7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2.7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2.7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2.7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2.7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2.7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2.7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2.7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2.7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2.7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2.7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2.7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2.7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2.7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2.7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2.7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2.7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2.7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2.7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2.7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2.7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2.7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2.7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2.7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2.7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2.7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2.7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2.7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2.7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2.7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2.7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2.7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2.7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2.7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2.7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2.7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2.7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2.7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2.7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2.7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2.7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2.7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2.7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2.7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2.7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2.7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2.7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2.7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2.7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2.7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2.7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2.7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2.7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2.7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2.7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2.7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2.7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2.7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2.7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2.7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2.7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2.7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2.7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2.7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2.7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2.7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2.7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2.7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2.7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2.7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2.7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2.7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2.7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2.7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2.7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2.7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2.7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2.7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2.7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2.7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2.7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2.7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2.7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2.7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2.7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2.7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2.7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2.7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2.7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2.7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2.7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2.7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2.7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2.7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2.7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2.7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2.7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2.7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2.7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2.7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2.7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2.7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2.7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2.7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2.7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2.7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2.7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2.7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2.7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2.7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2.7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2.7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2.7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2.7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2.7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2.7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2.7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2.7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2.7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2.7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2.7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2.7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2.7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2.7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2.7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2.7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2.7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2.7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2.7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2.7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2.7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2.7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2.7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2.7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2.7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2.7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2.7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2.7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2.7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2.7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2.7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2.7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2.7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2.7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2.7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2.7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2.7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2.7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2.7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2.7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2.7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2.7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2.7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2.7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2.7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2.7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2.7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2.7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2.7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2.7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2.7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2.7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2.7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2.7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2.7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2.7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2.7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2.7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2.7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2.7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2.7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2.7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2.7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2.7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2.7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2.7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2.7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2.7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2.7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2.7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2.7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2.7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2.7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2.7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2.7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2.7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2.7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2.7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2.7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2.7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2.7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2.7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2.7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2.7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2.7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2.7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2.7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2.7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2.7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2.7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2.7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2.7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2.7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2.7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2.7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2.7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2.7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2.7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2.7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2.7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2.7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2.7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2.7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2.7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2.7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2.7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2.7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2.7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2.7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2.7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2.7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2.7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2.7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2.7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2.7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2.7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2.7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2.7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2.7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2.7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2.7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2.7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2.7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2.7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2.7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2.7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2.7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2.7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2.7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2.7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2.7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2.7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2.7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2.7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2.7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2.7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2.7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2.7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2.7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2.7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2.7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2.7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2.7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2.7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2.7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2.7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2.7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2.7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2.7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2.7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2.7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2.7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2.7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2.7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2.7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2.7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2.7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2.7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2.7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2.7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2.7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2.7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2.7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2.7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2.7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2.7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2.7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2.7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2.7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2.7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2.7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2.75" customHeight="1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2.75" customHeight="1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2.75" customHeight="1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2.75" customHeight="1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2.75" customHeight="1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2.75" customHeight="1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2.75" customHeight="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2.75" customHeight="1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2.75" customHeight="1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2.75" customHeight="1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2.75" customHeight="1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2.75" customHeight="1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2.75" customHeight="1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2.75" customHeight="1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2.75" customHeight="1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2.75" customHeight="1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2.75" customHeight="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2.75" customHeight="1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2.75" customHeight="1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2.75" customHeight="1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2.75" customHeight="1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2.75" customHeight="1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2.75" customHeight="1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2.75" customHeight="1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2.75" customHeight="1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2.75" customHeight="1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2.75" customHeight="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2.75" customHeight="1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2.75" customHeight="1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2.75" customHeight="1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2.75" customHeight="1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2.75" customHeight="1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2.75" customHeight="1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2.75" customHeight="1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2.75" customHeight="1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2.75" customHeight="1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2.75" customHeight="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2.75" customHeight="1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2.75" customHeight="1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2.75" customHeight="1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2.75" customHeight="1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2.75" customHeight="1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2.75" customHeight="1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2.75" customHeight="1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2.75" customHeight="1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2.75" customHeight="1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 spans="1:26" ht="12.75" customHeight="1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 spans="1:26" ht="12.75" customHeight="1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 spans="1:26" ht="12.75" customHeight="1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 spans="1:26" ht="12.75" customHeight="1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 spans="1:26" ht="12.75" customHeight="1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 spans="1:26" ht="12.75" customHeight="1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 spans="1:26" ht="12.75" customHeight="1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 spans="1:26" ht="12.75" customHeight="1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 spans="1:26" ht="12.75" customHeight="1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 spans="1:26" ht="12.75" customHeight="1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 spans="1:26" ht="12.75" customHeight="1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 spans="1:26" ht="12.75" customHeight="1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 spans="1:26" ht="12.75" customHeight="1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 spans="1:26" ht="12.75" customHeight="1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 spans="1:26" ht="12.75" customHeight="1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 spans="1:26" ht="12.75" customHeight="1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 spans="1:26" ht="12.75" customHeight="1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 spans="1:26" ht="12.75" customHeight="1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 spans="1:26" ht="12.75" customHeight="1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 spans="1:26" ht="12.75" customHeight="1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 spans="1:26" ht="12.75" customHeight="1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 spans="1:26" ht="12.75" customHeight="1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 spans="1:26" ht="12.75" customHeight="1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 spans="1:26" ht="12.75" customHeight="1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 spans="1:26" ht="12.75" customHeight="1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 spans="1:26" ht="12.75" customHeight="1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 spans="1:26" ht="12.75" customHeight="1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 spans="1:26" ht="12.75" customHeight="1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</row>
    <row r="989" spans="1:26" ht="12.75" customHeight="1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</row>
    <row r="990" spans="1:26" ht="12.75" customHeight="1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</row>
    <row r="991" spans="1:26" ht="12.75" customHeight="1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</row>
    <row r="992" spans="1:26" ht="12.75" customHeight="1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</row>
    <row r="993" spans="1:26" ht="12.75" customHeight="1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</row>
    <row r="994" spans="1:26" ht="12.75" customHeight="1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</row>
    <row r="995" spans="1:26" ht="12.75" customHeight="1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</row>
    <row r="996" spans="1:26" ht="12.75" customHeight="1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</row>
    <row r="997" spans="1:26" ht="12.75" customHeight="1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</row>
    <row r="998" spans="1:26" ht="12.75" customHeight="1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</row>
    <row r="999" spans="1:26" ht="12.75" customHeight="1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</row>
    <row r="1000" spans="1:26" ht="12.75" customHeight="1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</row>
  </sheetData>
  <conditionalFormatting sqref="A6:P105">
    <cfRule type="expression" dxfId="2" priority="1">
      <formula>MOD(ROW(),2)=0</formula>
    </cfRule>
  </conditionalFormatting>
  <pageMargins left="0.75" right="0.75" top="0.51" bottom="0.56999999999999995" header="0" footer="0"/>
  <pageSetup scale="68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D8D8D8"/>
  </sheetPr>
  <dimension ref="A1:V1000"/>
  <sheetViews>
    <sheetView workbookViewId="0"/>
  </sheetViews>
  <sheetFormatPr defaultColWidth="12.5703125" defaultRowHeight="15" customHeight="1"/>
  <cols>
    <col min="1" max="2" width="11" customWidth="1"/>
    <col min="3" max="4" width="8.5703125" customWidth="1"/>
    <col min="5" max="5" width="12.28515625" customWidth="1"/>
    <col min="6" max="6" width="10.7109375" customWidth="1"/>
    <col min="7" max="7" width="14.7109375" customWidth="1"/>
    <col min="8" max="8" width="11.5703125" customWidth="1"/>
    <col min="9" max="26" width="8.5703125" customWidth="1"/>
  </cols>
  <sheetData>
    <row r="1" spans="1:22" ht="12.75" customHeight="1">
      <c r="C1" s="226" t="s">
        <v>98</v>
      </c>
    </row>
    <row r="2" spans="1:22" ht="12.75" customHeight="1">
      <c r="C2" s="213" t="s">
        <v>162</v>
      </c>
    </row>
    <row r="3" spans="1:22" ht="12.75" customHeight="1">
      <c r="A3" s="308" t="s">
        <v>5</v>
      </c>
      <c r="B3" s="308"/>
      <c r="C3" s="309" t="s">
        <v>163</v>
      </c>
      <c r="D3" s="309" t="s">
        <v>164</v>
      </c>
      <c r="E3" s="309" t="s">
        <v>165</v>
      </c>
      <c r="F3" s="309" t="s">
        <v>166</v>
      </c>
      <c r="G3" s="309" t="s">
        <v>167</v>
      </c>
      <c r="H3" s="309" t="s">
        <v>168</v>
      </c>
      <c r="I3" s="309" t="s">
        <v>169</v>
      </c>
      <c r="J3" s="309" t="s">
        <v>170</v>
      </c>
      <c r="K3" s="309" t="s">
        <v>171</v>
      </c>
      <c r="L3" s="309" t="s">
        <v>172</v>
      </c>
      <c r="M3" s="309" t="s">
        <v>173</v>
      </c>
      <c r="N3" s="309" t="s">
        <v>174</v>
      </c>
      <c r="O3" s="309" t="s">
        <v>175</v>
      </c>
      <c r="P3" s="309" t="s">
        <v>176</v>
      </c>
      <c r="Q3" s="309" t="s">
        <v>177</v>
      </c>
      <c r="R3" s="309" t="s">
        <v>178</v>
      </c>
      <c r="S3" s="309" t="s">
        <v>179</v>
      </c>
      <c r="T3" s="309" t="s">
        <v>180</v>
      </c>
      <c r="U3" s="309" t="s">
        <v>181</v>
      </c>
      <c r="V3" s="309" t="s">
        <v>182</v>
      </c>
    </row>
    <row r="4" spans="1:22" ht="12.75" customHeight="1">
      <c r="A4" s="310" t="s">
        <v>183</v>
      </c>
      <c r="B4" s="311" t="s">
        <v>184</v>
      </c>
      <c r="C4" s="309">
        <v>1</v>
      </c>
      <c r="D4" s="309">
        <v>2</v>
      </c>
      <c r="E4" s="309">
        <v>3</v>
      </c>
      <c r="F4" s="309">
        <v>4</v>
      </c>
      <c r="G4" s="309">
        <v>5</v>
      </c>
      <c r="H4" s="309">
        <v>6</v>
      </c>
      <c r="I4" s="309">
        <v>7</v>
      </c>
      <c r="J4" s="309">
        <v>8</v>
      </c>
      <c r="K4" s="309">
        <v>9</v>
      </c>
      <c r="L4" s="309">
        <v>10</v>
      </c>
      <c r="M4" s="309">
        <v>11</v>
      </c>
      <c r="N4" s="309">
        <v>12</v>
      </c>
      <c r="O4" s="309">
        <v>13</v>
      </c>
      <c r="P4" s="309">
        <v>14</v>
      </c>
      <c r="Q4" s="309">
        <v>15</v>
      </c>
      <c r="R4" s="309">
        <v>16</v>
      </c>
      <c r="S4" s="309">
        <v>17</v>
      </c>
      <c r="T4" s="309">
        <v>18</v>
      </c>
      <c r="U4" s="309">
        <v>19</v>
      </c>
      <c r="V4" s="309">
        <v>20</v>
      </c>
    </row>
    <row r="5" spans="1:22" ht="12.75" customHeight="1">
      <c r="A5" s="299">
        <v>1</v>
      </c>
      <c r="B5" s="304">
        <f t="shared" ref="B5:B26" si="0">ROUND(A5/16,4)</f>
        <v>6.25E-2</v>
      </c>
      <c r="C5" s="300">
        <f>ROUND('USPS Base'!AF2*(1+PostalMarkup),2)</f>
        <v>22.31</v>
      </c>
      <c r="D5" s="300">
        <f>ROUND('USPS Base'!AG2*(1+PostalMarkup),2)</f>
        <v>23.17</v>
      </c>
      <c r="E5" s="300">
        <f>ROUND('USPS Base'!AH2*(1+PostalMarkup),2)</f>
        <v>26.05</v>
      </c>
      <c r="F5" s="300">
        <f>ROUND('USPS Base'!AI2*(1+PostalMarkup),2)</f>
        <v>25.36</v>
      </c>
      <c r="G5" s="300">
        <f>ROUND('USPS Base'!AJ2*(1+PostalMarkup),2)</f>
        <v>25.24</v>
      </c>
      <c r="H5" s="300">
        <f>ROUND('USPS Base'!AK2*(1+PostalMarkup),2)</f>
        <v>24.61</v>
      </c>
      <c r="I5" s="300">
        <f>ROUND('USPS Base'!AL2*(1+PostalMarkup),2)</f>
        <v>25.13</v>
      </c>
      <c r="J5" s="300">
        <f>ROUND('USPS Base'!AM2*(1+PostalMarkup),2)</f>
        <v>27.03</v>
      </c>
      <c r="K5" s="300">
        <f>ROUND('USPS Base'!AN2*(1+PostalMarkup),2)</f>
        <v>29.56</v>
      </c>
      <c r="L5" s="300">
        <f>ROUND('USPS Base'!AO2*(1+PostalMarkup),2)</f>
        <v>25.59</v>
      </c>
      <c r="M5" s="300">
        <f>ROUND('USPS Base'!AP2*(1+PostalMarkup),2)</f>
        <v>30.59</v>
      </c>
      <c r="N5" s="300">
        <f>ROUND('USPS Base'!AQ2*(1+PostalMarkup),2)</f>
        <v>28.52</v>
      </c>
      <c r="O5" s="300">
        <f>ROUND('USPS Base'!AR2*(1+PostalMarkup),2)</f>
        <v>31.91</v>
      </c>
      <c r="P5" s="300">
        <f>ROUND('USPS Base'!AS2*(1+PostalMarkup),2)</f>
        <v>25.76</v>
      </c>
      <c r="Q5" s="300">
        <f>ROUND('USPS Base'!AT2*(1+PostalMarkup),2)</f>
        <v>28.29</v>
      </c>
      <c r="R5" s="300">
        <f>ROUND('USPS Base'!AU2*(1+PostalMarkup),2)</f>
        <v>25.07</v>
      </c>
      <c r="S5" s="300">
        <f>ROUND('USPS Base'!AV2*(1+PostalMarkup),2)</f>
        <v>27.77</v>
      </c>
      <c r="T5" s="300">
        <f>ROUND('USPS Base'!AW2*(1+PostalMarkup),2)</f>
        <v>26.51</v>
      </c>
      <c r="U5" s="300">
        <f>ROUND('USPS Base'!AX2*(1+PostalMarkup),2)</f>
        <v>26.68</v>
      </c>
      <c r="V5" s="300">
        <f>ROUND('USPS Base'!AY2*(1+PostalMarkup),2)</f>
        <v>26.51</v>
      </c>
    </row>
    <row r="6" spans="1:22" ht="12.75" customHeight="1">
      <c r="A6" s="299">
        <v>2</v>
      </c>
      <c r="B6" s="304">
        <f t="shared" si="0"/>
        <v>0.125</v>
      </c>
      <c r="C6" s="300">
        <f>ROUND('USPS Base'!AF3*(1+PostalMarkup),2)</f>
        <v>22.31</v>
      </c>
      <c r="D6" s="300">
        <f>ROUND('USPS Base'!AG3*(1+PostalMarkup),2)</f>
        <v>23.17</v>
      </c>
      <c r="E6" s="300">
        <f>ROUND('USPS Base'!AH3*(1+PostalMarkup),2)</f>
        <v>26.05</v>
      </c>
      <c r="F6" s="300">
        <f>ROUND('USPS Base'!AI3*(1+PostalMarkup),2)</f>
        <v>25.36</v>
      </c>
      <c r="G6" s="300">
        <f>ROUND('USPS Base'!AJ3*(1+PostalMarkup),2)</f>
        <v>25.24</v>
      </c>
      <c r="H6" s="300">
        <f>ROUND('USPS Base'!AK3*(1+PostalMarkup),2)</f>
        <v>24.61</v>
      </c>
      <c r="I6" s="300">
        <f>ROUND('USPS Base'!AL3*(1+PostalMarkup),2)</f>
        <v>25.13</v>
      </c>
      <c r="J6" s="300">
        <f>ROUND('USPS Base'!AM3*(1+PostalMarkup),2)</f>
        <v>27.03</v>
      </c>
      <c r="K6" s="300">
        <f>ROUND('USPS Base'!AN3*(1+PostalMarkup),2)</f>
        <v>29.56</v>
      </c>
      <c r="L6" s="300">
        <f>ROUND('USPS Base'!AO3*(1+PostalMarkup),2)</f>
        <v>25.59</v>
      </c>
      <c r="M6" s="300">
        <f>ROUND('USPS Base'!AP3*(1+PostalMarkup),2)</f>
        <v>30.59</v>
      </c>
      <c r="N6" s="300">
        <f>ROUND('USPS Base'!AQ3*(1+PostalMarkup),2)</f>
        <v>28.52</v>
      </c>
      <c r="O6" s="300">
        <f>ROUND('USPS Base'!AR3*(1+PostalMarkup),2)</f>
        <v>31.91</v>
      </c>
      <c r="P6" s="300">
        <f>ROUND('USPS Base'!AS3*(1+PostalMarkup),2)</f>
        <v>25.76</v>
      </c>
      <c r="Q6" s="300">
        <f>ROUND('USPS Base'!AT3*(1+PostalMarkup),2)</f>
        <v>28.29</v>
      </c>
      <c r="R6" s="300">
        <f>ROUND('USPS Base'!AU3*(1+PostalMarkup),2)</f>
        <v>25.07</v>
      </c>
      <c r="S6" s="300">
        <f>ROUND('USPS Base'!AV3*(1+PostalMarkup),2)</f>
        <v>27.77</v>
      </c>
      <c r="T6" s="300">
        <f>ROUND('USPS Base'!AW3*(1+PostalMarkup),2)</f>
        <v>26.51</v>
      </c>
      <c r="U6" s="300">
        <f>ROUND('USPS Base'!AX3*(1+PostalMarkup),2)</f>
        <v>26.68</v>
      </c>
      <c r="V6" s="300">
        <f>ROUND('USPS Base'!AY3*(1+PostalMarkup),2)</f>
        <v>26.51</v>
      </c>
    </row>
    <row r="7" spans="1:22" ht="12.75" customHeight="1">
      <c r="A7" s="299">
        <v>3</v>
      </c>
      <c r="B7" s="304">
        <f t="shared" si="0"/>
        <v>0.1875</v>
      </c>
      <c r="C7" s="300">
        <f>ROUND('USPS Base'!AF4*(1+PostalMarkup),2)</f>
        <v>22.31</v>
      </c>
      <c r="D7" s="300">
        <f>ROUND('USPS Base'!AG4*(1+PostalMarkup),2)</f>
        <v>23.17</v>
      </c>
      <c r="E7" s="300">
        <f>ROUND('USPS Base'!AH4*(1+PostalMarkup),2)</f>
        <v>26.05</v>
      </c>
      <c r="F7" s="300">
        <f>ROUND('USPS Base'!AI4*(1+PostalMarkup),2)</f>
        <v>25.36</v>
      </c>
      <c r="G7" s="300">
        <f>ROUND('USPS Base'!AJ4*(1+PostalMarkup),2)</f>
        <v>25.24</v>
      </c>
      <c r="H7" s="300">
        <f>ROUND('USPS Base'!AK4*(1+PostalMarkup),2)</f>
        <v>24.61</v>
      </c>
      <c r="I7" s="300">
        <f>ROUND('USPS Base'!AL4*(1+PostalMarkup),2)</f>
        <v>25.13</v>
      </c>
      <c r="J7" s="300">
        <f>ROUND('USPS Base'!AM4*(1+PostalMarkup),2)</f>
        <v>27.03</v>
      </c>
      <c r="K7" s="300">
        <f>ROUND('USPS Base'!AN4*(1+PostalMarkup),2)</f>
        <v>29.56</v>
      </c>
      <c r="L7" s="300">
        <f>ROUND('USPS Base'!AO4*(1+PostalMarkup),2)</f>
        <v>25.59</v>
      </c>
      <c r="M7" s="300">
        <f>ROUND('USPS Base'!AP4*(1+PostalMarkup),2)</f>
        <v>30.59</v>
      </c>
      <c r="N7" s="300">
        <f>ROUND('USPS Base'!AQ4*(1+PostalMarkup),2)</f>
        <v>28.52</v>
      </c>
      <c r="O7" s="300">
        <f>ROUND('USPS Base'!AR4*(1+PostalMarkup),2)</f>
        <v>31.91</v>
      </c>
      <c r="P7" s="300">
        <f>ROUND('USPS Base'!AS4*(1+PostalMarkup),2)</f>
        <v>25.76</v>
      </c>
      <c r="Q7" s="300">
        <f>ROUND('USPS Base'!AT4*(1+PostalMarkup),2)</f>
        <v>28.29</v>
      </c>
      <c r="R7" s="300">
        <f>ROUND('USPS Base'!AU4*(1+PostalMarkup),2)</f>
        <v>25.07</v>
      </c>
      <c r="S7" s="300">
        <f>ROUND('USPS Base'!AV4*(1+PostalMarkup),2)</f>
        <v>27.77</v>
      </c>
      <c r="T7" s="300">
        <f>ROUND('USPS Base'!AW4*(1+PostalMarkup),2)</f>
        <v>26.51</v>
      </c>
      <c r="U7" s="300">
        <f>ROUND('USPS Base'!AX4*(1+PostalMarkup),2)</f>
        <v>26.68</v>
      </c>
      <c r="V7" s="300">
        <f>ROUND('USPS Base'!AY4*(1+PostalMarkup),2)</f>
        <v>26.51</v>
      </c>
    </row>
    <row r="8" spans="1:22" ht="12.75" customHeight="1">
      <c r="A8" s="299">
        <v>4</v>
      </c>
      <c r="B8" s="304">
        <f t="shared" si="0"/>
        <v>0.25</v>
      </c>
      <c r="C8" s="300">
        <f>ROUND('USPS Base'!AF5*(1+PostalMarkup),2)</f>
        <v>22.31</v>
      </c>
      <c r="D8" s="300">
        <f>ROUND('USPS Base'!AG5*(1+PostalMarkup),2)</f>
        <v>23.17</v>
      </c>
      <c r="E8" s="300">
        <f>ROUND('USPS Base'!AH5*(1+PostalMarkup),2)</f>
        <v>26.05</v>
      </c>
      <c r="F8" s="300">
        <f>ROUND('USPS Base'!AI5*(1+PostalMarkup),2)</f>
        <v>25.36</v>
      </c>
      <c r="G8" s="300">
        <f>ROUND('USPS Base'!AJ5*(1+PostalMarkup),2)</f>
        <v>25.24</v>
      </c>
      <c r="H8" s="300">
        <f>ROUND('USPS Base'!AK5*(1+PostalMarkup),2)</f>
        <v>24.61</v>
      </c>
      <c r="I8" s="300">
        <f>ROUND('USPS Base'!AL5*(1+PostalMarkup),2)</f>
        <v>25.13</v>
      </c>
      <c r="J8" s="300">
        <f>ROUND('USPS Base'!AM5*(1+PostalMarkup),2)</f>
        <v>27.03</v>
      </c>
      <c r="K8" s="300">
        <f>ROUND('USPS Base'!AN5*(1+PostalMarkup),2)</f>
        <v>29.56</v>
      </c>
      <c r="L8" s="300">
        <f>ROUND('USPS Base'!AO5*(1+PostalMarkup),2)</f>
        <v>25.59</v>
      </c>
      <c r="M8" s="300">
        <f>ROUND('USPS Base'!AP5*(1+PostalMarkup),2)</f>
        <v>30.59</v>
      </c>
      <c r="N8" s="300">
        <f>ROUND('USPS Base'!AQ5*(1+PostalMarkup),2)</f>
        <v>28.52</v>
      </c>
      <c r="O8" s="300">
        <f>ROUND('USPS Base'!AR5*(1+PostalMarkup),2)</f>
        <v>31.91</v>
      </c>
      <c r="P8" s="300">
        <f>ROUND('USPS Base'!AS5*(1+PostalMarkup),2)</f>
        <v>25.76</v>
      </c>
      <c r="Q8" s="300">
        <f>ROUND('USPS Base'!AT5*(1+PostalMarkup),2)</f>
        <v>28.29</v>
      </c>
      <c r="R8" s="300">
        <f>ROUND('USPS Base'!AU5*(1+PostalMarkup),2)</f>
        <v>25.07</v>
      </c>
      <c r="S8" s="300">
        <f>ROUND('USPS Base'!AV5*(1+PostalMarkup),2)</f>
        <v>27.77</v>
      </c>
      <c r="T8" s="300">
        <f>ROUND('USPS Base'!AW5*(1+PostalMarkup),2)</f>
        <v>26.51</v>
      </c>
      <c r="U8" s="300">
        <f>ROUND('USPS Base'!AX5*(1+PostalMarkup),2)</f>
        <v>26.68</v>
      </c>
      <c r="V8" s="300">
        <f>ROUND('USPS Base'!AY5*(1+PostalMarkup),2)</f>
        <v>26.51</v>
      </c>
    </row>
    <row r="9" spans="1:22" ht="12.75" customHeight="1">
      <c r="A9" s="299">
        <v>5</v>
      </c>
      <c r="B9" s="304">
        <f t="shared" si="0"/>
        <v>0.3125</v>
      </c>
      <c r="C9" s="300">
        <f>ROUND('USPS Base'!AF6*(1+PostalMarkup),2)</f>
        <v>22.31</v>
      </c>
      <c r="D9" s="300">
        <f>ROUND('USPS Base'!AG6*(1+PostalMarkup),2)</f>
        <v>23.17</v>
      </c>
      <c r="E9" s="300">
        <f>ROUND('USPS Base'!AH6*(1+PostalMarkup),2)</f>
        <v>26.05</v>
      </c>
      <c r="F9" s="300">
        <f>ROUND('USPS Base'!AI6*(1+PostalMarkup),2)</f>
        <v>25.36</v>
      </c>
      <c r="G9" s="300">
        <f>ROUND('USPS Base'!AJ6*(1+PostalMarkup),2)</f>
        <v>25.24</v>
      </c>
      <c r="H9" s="300">
        <f>ROUND('USPS Base'!AK6*(1+PostalMarkup),2)</f>
        <v>24.61</v>
      </c>
      <c r="I9" s="300">
        <f>ROUND('USPS Base'!AL6*(1+PostalMarkup),2)</f>
        <v>25.13</v>
      </c>
      <c r="J9" s="300">
        <f>ROUND('USPS Base'!AM6*(1+PostalMarkup),2)</f>
        <v>27.03</v>
      </c>
      <c r="K9" s="300">
        <f>ROUND('USPS Base'!AN6*(1+PostalMarkup),2)</f>
        <v>29.56</v>
      </c>
      <c r="L9" s="300">
        <f>ROUND('USPS Base'!AO6*(1+PostalMarkup),2)</f>
        <v>25.59</v>
      </c>
      <c r="M9" s="300">
        <f>ROUND('USPS Base'!AP6*(1+PostalMarkup),2)</f>
        <v>30.59</v>
      </c>
      <c r="N9" s="300">
        <f>ROUND('USPS Base'!AQ6*(1+PostalMarkup),2)</f>
        <v>28.52</v>
      </c>
      <c r="O9" s="300">
        <f>ROUND('USPS Base'!AR6*(1+PostalMarkup),2)</f>
        <v>31.91</v>
      </c>
      <c r="P9" s="300">
        <f>ROUND('USPS Base'!AS6*(1+PostalMarkup),2)</f>
        <v>25.76</v>
      </c>
      <c r="Q9" s="300">
        <f>ROUND('USPS Base'!AT6*(1+PostalMarkup),2)</f>
        <v>28.29</v>
      </c>
      <c r="R9" s="300">
        <f>ROUND('USPS Base'!AU6*(1+PostalMarkup),2)</f>
        <v>25.07</v>
      </c>
      <c r="S9" s="300">
        <f>ROUND('USPS Base'!AV6*(1+PostalMarkup),2)</f>
        <v>27.77</v>
      </c>
      <c r="T9" s="300">
        <f>ROUND('USPS Base'!AW6*(1+PostalMarkup),2)</f>
        <v>26.51</v>
      </c>
      <c r="U9" s="300">
        <f>ROUND('USPS Base'!AX6*(1+PostalMarkup),2)</f>
        <v>26.68</v>
      </c>
      <c r="V9" s="300">
        <f>ROUND('USPS Base'!AY6*(1+PostalMarkup),2)</f>
        <v>26.51</v>
      </c>
    </row>
    <row r="10" spans="1:22" ht="12.75" customHeight="1">
      <c r="A10" s="299">
        <v>6</v>
      </c>
      <c r="B10" s="304">
        <f t="shared" si="0"/>
        <v>0.375</v>
      </c>
      <c r="C10" s="300">
        <f>ROUND('USPS Base'!AF7*(1+PostalMarkup),2)</f>
        <v>22.31</v>
      </c>
      <c r="D10" s="300">
        <f>ROUND('USPS Base'!AG7*(1+PostalMarkup),2)</f>
        <v>23.17</v>
      </c>
      <c r="E10" s="300">
        <f>ROUND('USPS Base'!AH7*(1+PostalMarkup),2)</f>
        <v>26.05</v>
      </c>
      <c r="F10" s="300">
        <f>ROUND('USPS Base'!AI7*(1+PostalMarkup),2)</f>
        <v>25.36</v>
      </c>
      <c r="G10" s="300">
        <f>ROUND('USPS Base'!AJ7*(1+PostalMarkup),2)</f>
        <v>25.24</v>
      </c>
      <c r="H10" s="300">
        <f>ROUND('USPS Base'!AK7*(1+PostalMarkup),2)</f>
        <v>24.61</v>
      </c>
      <c r="I10" s="300">
        <f>ROUND('USPS Base'!AL7*(1+PostalMarkup),2)</f>
        <v>25.13</v>
      </c>
      <c r="J10" s="300">
        <f>ROUND('USPS Base'!AM7*(1+PostalMarkup),2)</f>
        <v>27.03</v>
      </c>
      <c r="K10" s="300">
        <f>ROUND('USPS Base'!AN7*(1+PostalMarkup),2)</f>
        <v>29.56</v>
      </c>
      <c r="L10" s="300">
        <f>ROUND('USPS Base'!AO7*(1+PostalMarkup),2)</f>
        <v>25.59</v>
      </c>
      <c r="M10" s="300">
        <f>ROUND('USPS Base'!AP7*(1+PostalMarkup),2)</f>
        <v>30.59</v>
      </c>
      <c r="N10" s="300">
        <f>ROUND('USPS Base'!AQ7*(1+PostalMarkup),2)</f>
        <v>28.52</v>
      </c>
      <c r="O10" s="300">
        <f>ROUND('USPS Base'!AR7*(1+PostalMarkup),2)</f>
        <v>31.91</v>
      </c>
      <c r="P10" s="300">
        <f>ROUND('USPS Base'!AS7*(1+PostalMarkup),2)</f>
        <v>25.76</v>
      </c>
      <c r="Q10" s="300">
        <f>ROUND('USPS Base'!AT7*(1+PostalMarkup),2)</f>
        <v>28.29</v>
      </c>
      <c r="R10" s="300">
        <f>ROUND('USPS Base'!AU7*(1+PostalMarkup),2)</f>
        <v>25.07</v>
      </c>
      <c r="S10" s="300">
        <f>ROUND('USPS Base'!AV7*(1+PostalMarkup),2)</f>
        <v>27.77</v>
      </c>
      <c r="T10" s="300">
        <f>ROUND('USPS Base'!AW7*(1+PostalMarkup),2)</f>
        <v>26.51</v>
      </c>
      <c r="U10" s="300">
        <f>ROUND('USPS Base'!AX7*(1+PostalMarkup),2)</f>
        <v>26.68</v>
      </c>
      <c r="V10" s="300">
        <f>ROUND('USPS Base'!AY7*(1+PostalMarkup),2)</f>
        <v>26.51</v>
      </c>
    </row>
    <row r="11" spans="1:22" ht="12.75" customHeight="1">
      <c r="A11" s="299">
        <v>7</v>
      </c>
      <c r="B11" s="304">
        <f t="shared" si="0"/>
        <v>0.4375</v>
      </c>
      <c r="C11" s="300">
        <f>ROUND('USPS Base'!AF8*(1+PostalMarkup),2)</f>
        <v>22.31</v>
      </c>
      <c r="D11" s="300">
        <f>ROUND('USPS Base'!AG8*(1+PostalMarkup),2)</f>
        <v>23.17</v>
      </c>
      <c r="E11" s="300">
        <f>ROUND('USPS Base'!AH8*(1+PostalMarkup),2)</f>
        <v>26.05</v>
      </c>
      <c r="F11" s="300">
        <f>ROUND('USPS Base'!AI8*(1+PostalMarkup),2)</f>
        <v>25.36</v>
      </c>
      <c r="G11" s="300">
        <f>ROUND('USPS Base'!AJ8*(1+PostalMarkup),2)</f>
        <v>25.24</v>
      </c>
      <c r="H11" s="300">
        <f>ROUND('USPS Base'!AK8*(1+PostalMarkup),2)</f>
        <v>24.61</v>
      </c>
      <c r="I11" s="300">
        <f>ROUND('USPS Base'!AL8*(1+PostalMarkup),2)</f>
        <v>25.13</v>
      </c>
      <c r="J11" s="300">
        <f>ROUND('USPS Base'!AM8*(1+PostalMarkup),2)</f>
        <v>27.03</v>
      </c>
      <c r="K11" s="300">
        <f>ROUND('USPS Base'!AN8*(1+PostalMarkup),2)</f>
        <v>29.56</v>
      </c>
      <c r="L11" s="300">
        <f>ROUND('USPS Base'!AO8*(1+PostalMarkup),2)</f>
        <v>25.59</v>
      </c>
      <c r="M11" s="300">
        <f>ROUND('USPS Base'!AP8*(1+PostalMarkup),2)</f>
        <v>30.59</v>
      </c>
      <c r="N11" s="300">
        <f>ROUND('USPS Base'!AQ8*(1+PostalMarkup),2)</f>
        <v>28.52</v>
      </c>
      <c r="O11" s="300">
        <f>ROUND('USPS Base'!AR8*(1+PostalMarkup),2)</f>
        <v>31.91</v>
      </c>
      <c r="P11" s="300">
        <f>ROUND('USPS Base'!AS8*(1+PostalMarkup),2)</f>
        <v>25.76</v>
      </c>
      <c r="Q11" s="300">
        <f>ROUND('USPS Base'!AT8*(1+PostalMarkup),2)</f>
        <v>28.29</v>
      </c>
      <c r="R11" s="300">
        <f>ROUND('USPS Base'!AU8*(1+PostalMarkup),2)</f>
        <v>25.07</v>
      </c>
      <c r="S11" s="300">
        <f>ROUND('USPS Base'!AV8*(1+PostalMarkup),2)</f>
        <v>27.77</v>
      </c>
      <c r="T11" s="300">
        <f>ROUND('USPS Base'!AW8*(1+PostalMarkup),2)</f>
        <v>26.51</v>
      </c>
      <c r="U11" s="300">
        <f>ROUND('USPS Base'!AX8*(1+PostalMarkup),2)</f>
        <v>26.68</v>
      </c>
      <c r="V11" s="300">
        <f>ROUND('USPS Base'!AY8*(1+PostalMarkup),2)</f>
        <v>26.51</v>
      </c>
    </row>
    <row r="12" spans="1:22" ht="12.75" customHeight="1">
      <c r="A12" s="299">
        <v>8</v>
      </c>
      <c r="B12" s="300">
        <f t="shared" si="0"/>
        <v>0.5</v>
      </c>
      <c r="C12" s="300">
        <f>ROUND('USPS Base'!AF9*(1+PostalMarkup),2)</f>
        <v>22.31</v>
      </c>
      <c r="D12" s="300">
        <f>ROUND('USPS Base'!AG9*(1+PostalMarkup),2)</f>
        <v>23.17</v>
      </c>
      <c r="E12" s="300">
        <f>ROUND('USPS Base'!AH9*(1+PostalMarkup),2)</f>
        <v>26.05</v>
      </c>
      <c r="F12" s="300">
        <f>ROUND('USPS Base'!AI9*(1+PostalMarkup),2)</f>
        <v>25.36</v>
      </c>
      <c r="G12" s="300">
        <f>ROUND('USPS Base'!AJ9*(1+PostalMarkup),2)</f>
        <v>25.24</v>
      </c>
      <c r="H12" s="300">
        <f>ROUND('USPS Base'!AK9*(1+PostalMarkup),2)</f>
        <v>24.61</v>
      </c>
      <c r="I12" s="300">
        <f>ROUND('USPS Base'!AL9*(1+PostalMarkup),2)</f>
        <v>25.13</v>
      </c>
      <c r="J12" s="300">
        <f>ROUND('USPS Base'!AM9*(1+PostalMarkup),2)</f>
        <v>27.03</v>
      </c>
      <c r="K12" s="300">
        <f>ROUND('USPS Base'!AN9*(1+PostalMarkup),2)</f>
        <v>29.56</v>
      </c>
      <c r="L12" s="300">
        <f>ROUND('USPS Base'!AO9*(1+PostalMarkup),2)</f>
        <v>25.59</v>
      </c>
      <c r="M12" s="300">
        <f>ROUND('USPS Base'!AP9*(1+PostalMarkup),2)</f>
        <v>30.59</v>
      </c>
      <c r="N12" s="300">
        <f>ROUND('USPS Base'!AQ9*(1+PostalMarkup),2)</f>
        <v>28.52</v>
      </c>
      <c r="O12" s="300">
        <f>ROUND('USPS Base'!AR9*(1+PostalMarkup),2)</f>
        <v>31.91</v>
      </c>
      <c r="P12" s="300">
        <f>ROUND('USPS Base'!AS9*(1+PostalMarkup),2)</f>
        <v>25.76</v>
      </c>
      <c r="Q12" s="300">
        <f>ROUND('USPS Base'!AT9*(1+PostalMarkup),2)</f>
        <v>28.29</v>
      </c>
      <c r="R12" s="300">
        <f>ROUND('USPS Base'!AU9*(1+PostalMarkup),2)</f>
        <v>25.07</v>
      </c>
      <c r="S12" s="300">
        <f>ROUND('USPS Base'!AV9*(1+PostalMarkup),2)</f>
        <v>27.77</v>
      </c>
      <c r="T12" s="300">
        <f>ROUND('USPS Base'!AW9*(1+PostalMarkup),2)</f>
        <v>26.51</v>
      </c>
      <c r="U12" s="300">
        <f>ROUND('USPS Base'!AX9*(1+PostalMarkup),2)</f>
        <v>26.68</v>
      </c>
      <c r="V12" s="300">
        <f>ROUND('USPS Base'!AY9*(1+PostalMarkup),2)</f>
        <v>26.51</v>
      </c>
    </row>
    <row r="13" spans="1:22" ht="12.75" customHeight="1">
      <c r="A13" s="299">
        <v>12</v>
      </c>
      <c r="B13" s="300">
        <f t="shared" si="0"/>
        <v>0.75</v>
      </c>
      <c r="C13" s="300">
        <f>ROUND('USPS Base'!AF10*(1+PostalMarkup),2)</f>
        <v>29.9</v>
      </c>
      <c r="D13" s="300">
        <f>ROUND('USPS Base'!AG10*(1+PostalMarkup),2)</f>
        <v>30.59</v>
      </c>
      <c r="E13" s="300">
        <f>ROUND('USPS Base'!AH10*(1+PostalMarkup),2)</f>
        <v>42.95</v>
      </c>
      <c r="F13" s="300">
        <f>ROUND('USPS Base'!AI10*(1+PostalMarkup),2)</f>
        <v>44.1</v>
      </c>
      <c r="G13" s="300">
        <f>ROUND('USPS Base'!AJ10*(1+PostalMarkup),2)</f>
        <v>44.05</v>
      </c>
      <c r="H13" s="300">
        <f>ROUND('USPS Base'!AK10*(1+PostalMarkup),2)</f>
        <v>39.39</v>
      </c>
      <c r="I13" s="300">
        <f>ROUND('USPS Base'!AL10*(1+PostalMarkup),2)</f>
        <v>34.44</v>
      </c>
      <c r="J13" s="300">
        <f>ROUND('USPS Base'!AM10*(1+PostalMarkup),2)</f>
        <v>35.82</v>
      </c>
      <c r="K13" s="300">
        <f>ROUND('USPS Base'!AN10*(1+PostalMarkup),2)</f>
        <v>41.29</v>
      </c>
      <c r="L13" s="300">
        <f>ROUND('USPS Base'!AO10*(1+PostalMarkup),2)</f>
        <v>35.82</v>
      </c>
      <c r="M13" s="300">
        <f>ROUND('USPS Base'!AP10*(1+PostalMarkup),2)</f>
        <v>46.52</v>
      </c>
      <c r="N13" s="300">
        <f>ROUND('USPS Base'!AQ10*(1+PostalMarkup),2)</f>
        <v>47.44</v>
      </c>
      <c r="O13" s="300">
        <f>ROUND('USPS Base'!AR10*(1+PostalMarkup),2)</f>
        <v>43.01</v>
      </c>
      <c r="P13" s="300">
        <f>ROUND('USPS Base'!AS10*(1+PostalMarkup),2)</f>
        <v>36.86</v>
      </c>
      <c r="Q13" s="300">
        <f>ROUND('USPS Base'!AT10*(1+PostalMarkup),2)</f>
        <v>33.81</v>
      </c>
      <c r="R13" s="300">
        <f>ROUND('USPS Base'!AU10*(1+PostalMarkup),2)</f>
        <v>34.44</v>
      </c>
      <c r="S13" s="300">
        <f>ROUND('USPS Base'!AV10*(1+PostalMarkup),2)</f>
        <v>39.04</v>
      </c>
      <c r="T13" s="300">
        <f>ROUND('USPS Base'!AW10*(1+PostalMarkup),2)</f>
        <v>36.86</v>
      </c>
      <c r="U13" s="300">
        <f>ROUND('USPS Base'!AX10*(1+PostalMarkup),2)</f>
        <v>36.57</v>
      </c>
      <c r="V13" s="300">
        <f>ROUND('USPS Base'!AY10*(1+PostalMarkup),2)</f>
        <v>36.74</v>
      </c>
    </row>
    <row r="14" spans="1:22" ht="12.75" customHeight="1">
      <c r="A14" s="299">
        <v>16</v>
      </c>
      <c r="B14" s="300">
        <f t="shared" si="0"/>
        <v>1</v>
      </c>
      <c r="C14" s="300">
        <f>ROUND('USPS Base'!AF11*(1+PostalMarkup),2)</f>
        <v>29.9</v>
      </c>
      <c r="D14" s="300">
        <f>ROUND('USPS Base'!AG11*(1+PostalMarkup),2)</f>
        <v>30.59</v>
      </c>
      <c r="E14" s="300">
        <f>ROUND('USPS Base'!AH11*(1+PostalMarkup),2)</f>
        <v>42.95</v>
      </c>
      <c r="F14" s="300">
        <f>ROUND('USPS Base'!AI11*(1+PostalMarkup),2)</f>
        <v>44.1</v>
      </c>
      <c r="G14" s="300">
        <f>ROUND('USPS Base'!AJ11*(1+PostalMarkup),2)</f>
        <v>44.05</v>
      </c>
      <c r="H14" s="300">
        <f>ROUND('USPS Base'!AK11*(1+PostalMarkup),2)</f>
        <v>39.39</v>
      </c>
      <c r="I14" s="300">
        <f>ROUND('USPS Base'!AL11*(1+PostalMarkup),2)</f>
        <v>34.44</v>
      </c>
      <c r="J14" s="300">
        <f>ROUND('USPS Base'!AM11*(1+PostalMarkup),2)</f>
        <v>35.82</v>
      </c>
      <c r="K14" s="300">
        <f>ROUND('USPS Base'!AN11*(1+PostalMarkup),2)</f>
        <v>41.29</v>
      </c>
      <c r="L14" s="300">
        <f>ROUND('USPS Base'!AO11*(1+PostalMarkup),2)</f>
        <v>35.82</v>
      </c>
      <c r="M14" s="300">
        <f>ROUND('USPS Base'!AP11*(1+PostalMarkup),2)</f>
        <v>46.52</v>
      </c>
      <c r="N14" s="300">
        <f>ROUND('USPS Base'!AQ11*(1+PostalMarkup),2)</f>
        <v>47.44</v>
      </c>
      <c r="O14" s="300">
        <f>ROUND('USPS Base'!AR11*(1+PostalMarkup),2)</f>
        <v>43.01</v>
      </c>
      <c r="P14" s="300">
        <f>ROUND('USPS Base'!AS11*(1+PostalMarkup),2)</f>
        <v>36.86</v>
      </c>
      <c r="Q14" s="300">
        <f>ROUND('USPS Base'!AT11*(1+PostalMarkup),2)</f>
        <v>33.81</v>
      </c>
      <c r="R14" s="300">
        <f>ROUND('USPS Base'!AU11*(1+PostalMarkup),2)</f>
        <v>34.44</v>
      </c>
      <c r="S14" s="300">
        <f>ROUND('USPS Base'!AV11*(1+PostalMarkup),2)</f>
        <v>39.04</v>
      </c>
      <c r="T14" s="300">
        <f>ROUND('USPS Base'!AW11*(1+PostalMarkup),2)</f>
        <v>36.86</v>
      </c>
      <c r="U14" s="300">
        <f>ROUND('USPS Base'!AX11*(1+PostalMarkup),2)</f>
        <v>36.57</v>
      </c>
      <c r="V14" s="300">
        <f>ROUND('USPS Base'!AY11*(1+PostalMarkup),2)</f>
        <v>36.74</v>
      </c>
    </row>
    <row r="15" spans="1:22" ht="12.75" customHeight="1">
      <c r="A15" s="299">
        <v>20</v>
      </c>
      <c r="B15" s="300">
        <f t="shared" si="0"/>
        <v>1.25</v>
      </c>
      <c r="C15" s="300">
        <f>ROUND('USPS Base'!AF12*(1+PostalMarkup),2)</f>
        <v>20.53</v>
      </c>
      <c r="D15" s="300">
        <f>ROUND('USPS Base'!AG12*(1+PostalMarkup),2)</f>
        <v>20.76</v>
      </c>
      <c r="E15" s="300">
        <f>ROUND('USPS Base'!AH12*(1+PostalMarkup),2)</f>
        <v>23</v>
      </c>
      <c r="F15" s="300">
        <f>ROUND('USPS Base'!AI12*(1+PostalMarkup),2)</f>
        <v>21.91</v>
      </c>
      <c r="G15" s="300">
        <f>ROUND('USPS Base'!AJ12*(1+PostalMarkup),2)</f>
        <v>21.91</v>
      </c>
      <c r="H15" s="300">
        <f>ROUND('USPS Base'!AK12*(1+PostalMarkup),2)</f>
        <v>21.91</v>
      </c>
      <c r="I15" s="300">
        <f>ROUND('USPS Base'!AL12*(1+PostalMarkup),2)</f>
        <v>22.2</v>
      </c>
      <c r="J15" s="300">
        <f>ROUND('USPS Base'!AM12*(1+PostalMarkup),2)</f>
        <v>24.55</v>
      </c>
      <c r="K15" s="300">
        <f>ROUND('USPS Base'!AN12*(1+PostalMarkup),2)</f>
        <v>25.88</v>
      </c>
      <c r="L15" s="300">
        <f>ROUND('USPS Base'!AO12*(1+PostalMarkup),2)</f>
        <v>22.25</v>
      </c>
      <c r="M15" s="300">
        <f>ROUND('USPS Base'!AP12*(1+PostalMarkup),2)</f>
        <v>27.37</v>
      </c>
      <c r="N15" s="300">
        <f>ROUND('USPS Base'!AQ12*(1+PostalMarkup),2)</f>
        <v>25.99</v>
      </c>
      <c r="O15" s="300">
        <f>ROUND('USPS Base'!AR12*(1+PostalMarkup),2)</f>
        <v>28</v>
      </c>
      <c r="P15" s="300">
        <f>ROUND('USPS Base'!AS12*(1+PostalMarkup),2)</f>
        <v>22.89</v>
      </c>
      <c r="Q15" s="300">
        <f>ROUND('USPS Base'!AT12*(1+PostalMarkup),2)</f>
        <v>25.36</v>
      </c>
      <c r="R15" s="300">
        <f>ROUND('USPS Base'!AU12*(1+PostalMarkup),2)</f>
        <v>23.69</v>
      </c>
      <c r="S15" s="300">
        <f>ROUND('USPS Base'!AV12*(1+PostalMarkup),2)</f>
        <v>24.21</v>
      </c>
      <c r="T15" s="300">
        <f>ROUND('USPS Base'!AW12*(1+PostalMarkup),2)</f>
        <v>25.13</v>
      </c>
      <c r="U15" s="300">
        <f>ROUND('USPS Base'!AX12*(1+PostalMarkup),2)</f>
        <v>23.63</v>
      </c>
      <c r="V15" s="300">
        <f>ROUND('USPS Base'!AY12*(1+PostalMarkup),2)</f>
        <v>24.15</v>
      </c>
    </row>
    <row r="16" spans="1:22" ht="12.75" customHeight="1">
      <c r="A16" s="299">
        <v>24</v>
      </c>
      <c r="B16" s="300">
        <f t="shared" si="0"/>
        <v>1.5</v>
      </c>
      <c r="C16" s="300">
        <f>ROUND('USPS Base'!AF13*(1+PostalMarkup),2)</f>
        <v>33.409999999999997</v>
      </c>
      <c r="D16" s="300">
        <f>ROUND('USPS Base'!AG13*(1+PostalMarkup),2)</f>
        <v>34.159999999999997</v>
      </c>
      <c r="E16" s="300">
        <f>ROUND('USPS Base'!AH13*(1+PostalMarkup),2)</f>
        <v>47.96</v>
      </c>
      <c r="F16" s="300">
        <f>ROUND('USPS Base'!AI13*(1+PostalMarkup),2)</f>
        <v>49.22</v>
      </c>
      <c r="G16" s="300">
        <f>ROUND('USPS Base'!AJ13*(1+PostalMarkup),2)</f>
        <v>49.16</v>
      </c>
      <c r="H16" s="300">
        <f>ROUND('USPS Base'!AK13*(1+PostalMarkup),2)</f>
        <v>44.05</v>
      </c>
      <c r="I16" s="300">
        <f>ROUND('USPS Base'!AL13*(1+PostalMarkup),2)</f>
        <v>38.47</v>
      </c>
      <c r="J16" s="300">
        <f>ROUND('USPS Base'!AM13*(1+PostalMarkup),2)</f>
        <v>40.020000000000003</v>
      </c>
      <c r="K16" s="300">
        <f>ROUND('USPS Base'!AN13*(1+PostalMarkup),2)</f>
        <v>46.23</v>
      </c>
      <c r="L16" s="300">
        <f>ROUND('USPS Base'!AO13*(1+PostalMarkup),2)</f>
        <v>40.020000000000003</v>
      </c>
      <c r="M16" s="300">
        <f>ROUND('USPS Base'!AP13*(1+PostalMarkup),2)</f>
        <v>51.92</v>
      </c>
      <c r="N16" s="300">
        <f>ROUND('USPS Base'!AQ13*(1+PostalMarkup),2)</f>
        <v>52.96</v>
      </c>
      <c r="O16" s="300">
        <f>ROUND('USPS Base'!AR13*(1+PostalMarkup),2)</f>
        <v>48.01</v>
      </c>
      <c r="P16" s="300">
        <f>ROUND('USPS Base'!AS13*(1+PostalMarkup),2)</f>
        <v>40.42</v>
      </c>
      <c r="Q16" s="300">
        <f>ROUND('USPS Base'!AT13*(1+PostalMarkup),2)</f>
        <v>37.78</v>
      </c>
      <c r="R16" s="300">
        <f>ROUND('USPS Base'!AU13*(1+PostalMarkup),2)</f>
        <v>37.78</v>
      </c>
      <c r="S16" s="300">
        <f>ROUND('USPS Base'!AV13*(1+PostalMarkup),2)</f>
        <v>43.59</v>
      </c>
      <c r="T16" s="300">
        <f>ROUND('USPS Base'!AW13*(1+PostalMarkup),2)</f>
        <v>40.42</v>
      </c>
      <c r="U16" s="300">
        <f>ROUND('USPS Base'!AX13*(1+PostalMarkup),2)</f>
        <v>40.83</v>
      </c>
      <c r="V16" s="300">
        <f>ROUND('USPS Base'!AY13*(1+PostalMarkup),2)</f>
        <v>41.06</v>
      </c>
    </row>
    <row r="17" spans="1:22" ht="12.75" customHeight="1">
      <c r="A17" s="299">
        <v>28</v>
      </c>
      <c r="B17" s="300">
        <f t="shared" si="0"/>
        <v>1.75</v>
      </c>
      <c r="C17" s="300">
        <f>ROUND('USPS Base'!AF14*(1+PostalMarkup),2)</f>
        <v>33.409999999999997</v>
      </c>
      <c r="D17" s="300">
        <f>ROUND('USPS Base'!AG14*(1+PostalMarkup),2)</f>
        <v>34.159999999999997</v>
      </c>
      <c r="E17" s="300">
        <f>ROUND('USPS Base'!AH14*(1+PostalMarkup),2)</f>
        <v>47.96</v>
      </c>
      <c r="F17" s="300">
        <f>ROUND('USPS Base'!AI14*(1+PostalMarkup),2)</f>
        <v>49.22</v>
      </c>
      <c r="G17" s="300">
        <f>ROUND('USPS Base'!AJ14*(1+PostalMarkup),2)</f>
        <v>49.16</v>
      </c>
      <c r="H17" s="300">
        <f>ROUND('USPS Base'!AK14*(1+PostalMarkup),2)</f>
        <v>44.05</v>
      </c>
      <c r="I17" s="300">
        <f>ROUND('USPS Base'!AL14*(1+PostalMarkup),2)</f>
        <v>38.47</v>
      </c>
      <c r="J17" s="300">
        <f>ROUND('USPS Base'!AM14*(1+PostalMarkup),2)</f>
        <v>40.020000000000003</v>
      </c>
      <c r="K17" s="300">
        <f>ROUND('USPS Base'!AN14*(1+PostalMarkup),2)</f>
        <v>46.23</v>
      </c>
      <c r="L17" s="300">
        <f>ROUND('USPS Base'!AO14*(1+PostalMarkup),2)</f>
        <v>40.020000000000003</v>
      </c>
      <c r="M17" s="300">
        <f>ROUND('USPS Base'!AP14*(1+PostalMarkup),2)</f>
        <v>51.92</v>
      </c>
      <c r="N17" s="300">
        <f>ROUND('USPS Base'!AQ14*(1+PostalMarkup),2)</f>
        <v>52.96</v>
      </c>
      <c r="O17" s="300">
        <f>ROUND('USPS Base'!AR14*(1+PostalMarkup),2)</f>
        <v>48.01</v>
      </c>
      <c r="P17" s="300">
        <f>ROUND('USPS Base'!AS14*(1+PostalMarkup),2)</f>
        <v>40.42</v>
      </c>
      <c r="Q17" s="300">
        <f>ROUND('USPS Base'!AT14*(1+PostalMarkup),2)</f>
        <v>37.78</v>
      </c>
      <c r="R17" s="300">
        <f>ROUND('USPS Base'!AU14*(1+PostalMarkup),2)</f>
        <v>37.78</v>
      </c>
      <c r="S17" s="300">
        <f>ROUND('USPS Base'!AV14*(1+PostalMarkup),2)</f>
        <v>43.59</v>
      </c>
      <c r="T17" s="300">
        <f>ROUND('USPS Base'!AW14*(1+PostalMarkup),2)</f>
        <v>40.42</v>
      </c>
      <c r="U17" s="300">
        <f>ROUND('USPS Base'!AX14*(1+PostalMarkup),2)</f>
        <v>40.83</v>
      </c>
      <c r="V17" s="300">
        <f>ROUND('USPS Base'!AY14*(1+PostalMarkup),2)</f>
        <v>41.06</v>
      </c>
    </row>
    <row r="18" spans="1:22" ht="12.75" customHeight="1">
      <c r="A18" s="299">
        <v>32</v>
      </c>
      <c r="B18" s="300">
        <f t="shared" si="0"/>
        <v>2</v>
      </c>
      <c r="C18" s="300">
        <f>ROUND('USPS Base'!AF15*(1+PostalMarkup),2)</f>
        <v>33.409999999999997</v>
      </c>
      <c r="D18" s="300">
        <f>ROUND('USPS Base'!AG15*(1+PostalMarkup),2)</f>
        <v>34.159999999999997</v>
      </c>
      <c r="E18" s="300">
        <f>ROUND('USPS Base'!AH15*(1+PostalMarkup),2)</f>
        <v>47.96</v>
      </c>
      <c r="F18" s="300">
        <f>ROUND('USPS Base'!AI15*(1+PostalMarkup),2)</f>
        <v>49.22</v>
      </c>
      <c r="G18" s="300">
        <f>ROUND('USPS Base'!AJ15*(1+PostalMarkup),2)</f>
        <v>49.16</v>
      </c>
      <c r="H18" s="300">
        <f>ROUND('USPS Base'!AK15*(1+PostalMarkup),2)</f>
        <v>44.05</v>
      </c>
      <c r="I18" s="300">
        <f>ROUND('USPS Base'!AL15*(1+PostalMarkup),2)</f>
        <v>38.47</v>
      </c>
      <c r="J18" s="300">
        <f>ROUND('USPS Base'!AM15*(1+PostalMarkup),2)</f>
        <v>40.020000000000003</v>
      </c>
      <c r="K18" s="300">
        <f>ROUND('USPS Base'!AN15*(1+PostalMarkup),2)</f>
        <v>46.23</v>
      </c>
      <c r="L18" s="300">
        <f>ROUND('USPS Base'!AO15*(1+PostalMarkup),2)</f>
        <v>40.020000000000003</v>
      </c>
      <c r="M18" s="300">
        <f>ROUND('USPS Base'!AP15*(1+PostalMarkup),2)</f>
        <v>51.92</v>
      </c>
      <c r="N18" s="300">
        <f>ROUND('USPS Base'!AQ15*(1+PostalMarkup),2)</f>
        <v>52.96</v>
      </c>
      <c r="O18" s="300">
        <f>ROUND('USPS Base'!AR15*(1+PostalMarkup),2)</f>
        <v>48.01</v>
      </c>
      <c r="P18" s="300">
        <f>ROUND('USPS Base'!AS15*(1+PostalMarkup),2)</f>
        <v>40.42</v>
      </c>
      <c r="Q18" s="300">
        <f>ROUND('USPS Base'!AT15*(1+PostalMarkup),2)</f>
        <v>37.78</v>
      </c>
      <c r="R18" s="300">
        <f>ROUND('USPS Base'!AU15*(1+PostalMarkup),2)</f>
        <v>37.78</v>
      </c>
      <c r="S18" s="300">
        <f>ROUND('USPS Base'!AV15*(1+PostalMarkup),2)</f>
        <v>43.59</v>
      </c>
      <c r="T18" s="300">
        <f>ROUND('USPS Base'!AW15*(1+PostalMarkup),2)</f>
        <v>40.42</v>
      </c>
      <c r="U18" s="300">
        <f>ROUND('USPS Base'!AX15*(1+PostalMarkup),2)</f>
        <v>40.83</v>
      </c>
      <c r="V18" s="300">
        <f>ROUND('USPS Base'!AY15*(1+PostalMarkup),2)</f>
        <v>41.06</v>
      </c>
    </row>
    <row r="19" spans="1:22" ht="12.75" customHeight="1">
      <c r="A19" s="299">
        <v>36</v>
      </c>
      <c r="B19" s="300">
        <f t="shared" si="0"/>
        <v>2.25</v>
      </c>
      <c r="C19" s="300">
        <f>ROUND('USPS Base'!AF16*(1+PostalMarkup),2)</f>
        <v>44.28</v>
      </c>
      <c r="D19" s="300">
        <f>ROUND('USPS Base'!AG16*(1+PostalMarkup),2)</f>
        <v>44.85</v>
      </c>
      <c r="E19" s="300">
        <f>ROUND('USPS Base'!AH16*(1+PostalMarkup),2)</f>
        <v>70.959999999999994</v>
      </c>
      <c r="F19" s="300">
        <f>ROUND('USPS Base'!AI16*(1+PostalMarkup),2)</f>
        <v>68.709999999999994</v>
      </c>
      <c r="G19" s="300">
        <f>ROUND('USPS Base'!AJ16*(1+PostalMarkup),2)</f>
        <v>65.900000000000006</v>
      </c>
      <c r="H19" s="300">
        <f>ROUND('USPS Base'!AK16*(1+PostalMarkup),2)</f>
        <v>65.489999999999995</v>
      </c>
      <c r="I19" s="300">
        <f>ROUND('USPS Base'!AL16*(1+PostalMarkup),2)</f>
        <v>56.24</v>
      </c>
      <c r="J19" s="300">
        <f>ROUND('USPS Base'!AM16*(1+PostalMarkup),2)</f>
        <v>57.62</v>
      </c>
      <c r="K19" s="300">
        <f>ROUND('USPS Base'!AN16*(1+PostalMarkup),2)</f>
        <v>67.05</v>
      </c>
      <c r="L19" s="300">
        <f>ROUND('USPS Base'!AO16*(1+PostalMarkup),2)</f>
        <v>57.67</v>
      </c>
      <c r="M19" s="300">
        <f>ROUND('USPS Base'!AP16*(1+PostalMarkup),2)</f>
        <v>72.62</v>
      </c>
      <c r="N19" s="300">
        <f>ROUND('USPS Base'!AQ16*(1+PostalMarkup),2)</f>
        <v>75.040000000000006</v>
      </c>
      <c r="O19" s="300">
        <f>ROUND('USPS Base'!AR16*(1+PostalMarkup),2)</f>
        <v>64.86</v>
      </c>
      <c r="P19" s="300">
        <f>ROUND('USPS Base'!AS16*(1+PostalMarkup),2)</f>
        <v>56.12</v>
      </c>
      <c r="Q19" s="300">
        <f>ROUND('USPS Base'!AT16*(1+PostalMarkup),2)</f>
        <v>54.91</v>
      </c>
      <c r="R19" s="300">
        <f>ROUND('USPS Base'!AU16*(1+PostalMarkup),2)</f>
        <v>55.89</v>
      </c>
      <c r="S19" s="300">
        <f>ROUND('USPS Base'!AV16*(1+PostalMarkup),2)</f>
        <v>64.92</v>
      </c>
      <c r="T19" s="300">
        <f>ROUND('USPS Base'!AW16*(1+PostalMarkup),2)</f>
        <v>59.4</v>
      </c>
      <c r="U19" s="300">
        <f>ROUND('USPS Base'!AX16*(1+PostalMarkup),2)</f>
        <v>58.31</v>
      </c>
      <c r="V19" s="300">
        <f>ROUND('USPS Base'!AY16*(1+PostalMarkup),2)</f>
        <v>56.64</v>
      </c>
    </row>
    <row r="20" spans="1:22" ht="12.75" customHeight="1">
      <c r="A20" s="299">
        <v>40</v>
      </c>
      <c r="B20" s="300">
        <f t="shared" si="0"/>
        <v>2.5</v>
      </c>
      <c r="C20" s="300">
        <f>ROUND('USPS Base'!AF17*(1+PostalMarkup),2)</f>
        <v>44.28</v>
      </c>
      <c r="D20" s="300">
        <f>ROUND('USPS Base'!AG17*(1+PostalMarkup),2)</f>
        <v>44.85</v>
      </c>
      <c r="E20" s="300">
        <f>ROUND('USPS Base'!AH17*(1+PostalMarkup),2)</f>
        <v>70.959999999999994</v>
      </c>
      <c r="F20" s="300">
        <f>ROUND('USPS Base'!AI17*(1+PostalMarkup),2)</f>
        <v>68.709999999999994</v>
      </c>
      <c r="G20" s="300">
        <f>ROUND('USPS Base'!AJ17*(1+PostalMarkup),2)</f>
        <v>65.900000000000006</v>
      </c>
      <c r="H20" s="300">
        <f>ROUND('USPS Base'!AK17*(1+PostalMarkup),2)</f>
        <v>65.489999999999995</v>
      </c>
      <c r="I20" s="300">
        <f>ROUND('USPS Base'!AL17*(1+PostalMarkup),2)</f>
        <v>56.24</v>
      </c>
      <c r="J20" s="300">
        <f>ROUND('USPS Base'!AM17*(1+PostalMarkup),2)</f>
        <v>57.62</v>
      </c>
      <c r="K20" s="300">
        <f>ROUND('USPS Base'!AN17*(1+PostalMarkup),2)</f>
        <v>67.05</v>
      </c>
      <c r="L20" s="300">
        <f>ROUND('USPS Base'!AO17*(1+PostalMarkup),2)</f>
        <v>57.67</v>
      </c>
      <c r="M20" s="300">
        <f>ROUND('USPS Base'!AP17*(1+PostalMarkup),2)</f>
        <v>72.62</v>
      </c>
      <c r="N20" s="300">
        <f>ROUND('USPS Base'!AQ17*(1+PostalMarkup),2)</f>
        <v>75.040000000000006</v>
      </c>
      <c r="O20" s="300">
        <f>ROUND('USPS Base'!AR17*(1+PostalMarkup),2)</f>
        <v>64.86</v>
      </c>
      <c r="P20" s="300">
        <f>ROUND('USPS Base'!AS17*(1+PostalMarkup),2)</f>
        <v>56.12</v>
      </c>
      <c r="Q20" s="300">
        <f>ROUND('USPS Base'!AT17*(1+PostalMarkup),2)</f>
        <v>54.91</v>
      </c>
      <c r="R20" s="300">
        <f>ROUND('USPS Base'!AU17*(1+PostalMarkup),2)</f>
        <v>55.89</v>
      </c>
      <c r="S20" s="300">
        <f>ROUND('USPS Base'!AV17*(1+PostalMarkup),2)</f>
        <v>64.92</v>
      </c>
      <c r="T20" s="300">
        <f>ROUND('USPS Base'!AW17*(1+PostalMarkup),2)</f>
        <v>59.4</v>
      </c>
      <c r="U20" s="300">
        <f>ROUND('USPS Base'!AX17*(1+PostalMarkup),2)</f>
        <v>58.31</v>
      </c>
      <c r="V20" s="300">
        <f>ROUND('USPS Base'!AY17*(1+PostalMarkup),2)</f>
        <v>56.64</v>
      </c>
    </row>
    <row r="21" spans="1:22" ht="12.75" customHeight="1">
      <c r="A21" s="299">
        <v>44</v>
      </c>
      <c r="B21" s="300">
        <f t="shared" si="0"/>
        <v>2.75</v>
      </c>
      <c r="C21" s="300">
        <f>ROUND('USPS Base'!AF18*(1+PostalMarkup),2)</f>
        <v>44.28</v>
      </c>
      <c r="D21" s="300">
        <f>ROUND('USPS Base'!AG18*(1+PostalMarkup),2)</f>
        <v>44.85</v>
      </c>
      <c r="E21" s="300">
        <f>ROUND('USPS Base'!AH18*(1+PostalMarkup),2)</f>
        <v>70.959999999999994</v>
      </c>
      <c r="F21" s="300">
        <f>ROUND('USPS Base'!AI18*(1+PostalMarkup),2)</f>
        <v>68.709999999999994</v>
      </c>
      <c r="G21" s="300">
        <f>ROUND('USPS Base'!AJ18*(1+PostalMarkup),2)</f>
        <v>65.900000000000006</v>
      </c>
      <c r="H21" s="300">
        <f>ROUND('USPS Base'!AK18*(1+PostalMarkup),2)</f>
        <v>65.489999999999995</v>
      </c>
      <c r="I21" s="300">
        <f>ROUND('USPS Base'!AL18*(1+PostalMarkup),2)</f>
        <v>56.24</v>
      </c>
      <c r="J21" s="300">
        <f>ROUND('USPS Base'!AM18*(1+PostalMarkup),2)</f>
        <v>57.62</v>
      </c>
      <c r="K21" s="300">
        <f>ROUND('USPS Base'!AN18*(1+PostalMarkup),2)</f>
        <v>67.05</v>
      </c>
      <c r="L21" s="300">
        <f>ROUND('USPS Base'!AO18*(1+PostalMarkup),2)</f>
        <v>57.67</v>
      </c>
      <c r="M21" s="300">
        <f>ROUND('USPS Base'!AP18*(1+PostalMarkup),2)</f>
        <v>72.62</v>
      </c>
      <c r="N21" s="300">
        <f>ROUND('USPS Base'!AQ18*(1+PostalMarkup),2)</f>
        <v>75.040000000000006</v>
      </c>
      <c r="O21" s="300">
        <f>ROUND('USPS Base'!AR18*(1+PostalMarkup),2)</f>
        <v>64.86</v>
      </c>
      <c r="P21" s="300">
        <f>ROUND('USPS Base'!AS18*(1+PostalMarkup),2)</f>
        <v>56.12</v>
      </c>
      <c r="Q21" s="300">
        <f>ROUND('USPS Base'!AT18*(1+PostalMarkup),2)</f>
        <v>54.91</v>
      </c>
      <c r="R21" s="300">
        <f>ROUND('USPS Base'!AU18*(1+PostalMarkup),2)</f>
        <v>55.89</v>
      </c>
      <c r="S21" s="300">
        <f>ROUND('USPS Base'!AV18*(1+PostalMarkup),2)</f>
        <v>64.92</v>
      </c>
      <c r="T21" s="300">
        <f>ROUND('USPS Base'!AW18*(1+PostalMarkup),2)</f>
        <v>59.4</v>
      </c>
      <c r="U21" s="300">
        <f>ROUND('USPS Base'!AX18*(1+PostalMarkup),2)</f>
        <v>58.31</v>
      </c>
      <c r="V21" s="300">
        <f>ROUND('USPS Base'!AY18*(1+PostalMarkup),2)</f>
        <v>56.64</v>
      </c>
    </row>
    <row r="22" spans="1:22" ht="12.75" customHeight="1">
      <c r="A22" s="299">
        <v>48</v>
      </c>
      <c r="B22" s="300">
        <f t="shared" si="0"/>
        <v>3</v>
      </c>
      <c r="C22" s="300">
        <f>ROUND('USPS Base'!AF19*(1+PostalMarkup),2)</f>
        <v>44.28</v>
      </c>
      <c r="D22" s="300">
        <f>ROUND('USPS Base'!AG19*(1+PostalMarkup),2)</f>
        <v>44.85</v>
      </c>
      <c r="E22" s="300">
        <f>ROUND('USPS Base'!AH19*(1+PostalMarkup),2)</f>
        <v>70.959999999999994</v>
      </c>
      <c r="F22" s="300">
        <f>ROUND('USPS Base'!AI19*(1+PostalMarkup),2)</f>
        <v>68.709999999999994</v>
      </c>
      <c r="G22" s="300">
        <f>ROUND('USPS Base'!AJ19*(1+PostalMarkup),2)</f>
        <v>65.900000000000006</v>
      </c>
      <c r="H22" s="300">
        <f>ROUND('USPS Base'!AK19*(1+PostalMarkup),2)</f>
        <v>65.489999999999995</v>
      </c>
      <c r="I22" s="300">
        <f>ROUND('USPS Base'!AL19*(1+PostalMarkup),2)</f>
        <v>56.24</v>
      </c>
      <c r="J22" s="300">
        <f>ROUND('USPS Base'!AM19*(1+PostalMarkup),2)</f>
        <v>57.62</v>
      </c>
      <c r="K22" s="300">
        <f>ROUND('USPS Base'!AN19*(1+PostalMarkup),2)</f>
        <v>67.05</v>
      </c>
      <c r="L22" s="300">
        <f>ROUND('USPS Base'!AO19*(1+PostalMarkup),2)</f>
        <v>57.67</v>
      </c>
      <c r="M22" s="300">
        <f>ROUND('USPS Base'!AP19*(1+PostalMarkup),2)</f>
        <v>72.62</v>
      </c>
      <c r="N22" s="300">
        <f>ROUND('USPS Base'!AQ19*(1+PostalMarkup),2)</f>
        <v>75.040000000000006</v>
      </c>
      <c r="O22" s="300">
        <f>ROUND('USPS Base'!AR19*(1+PostalMarkup),2)</f>
        <v>64.86</v>
      </c>
      <c r="P22" s="300">
        <f>ROUND('USPS Base'!AS19*(1+PostalMarkup),2)</f>
        <v>56.12</v>
      </c>
      <c r="Q22" s="300">
        <f>ROUND('USPS Base'!AT19*(1+PostalMarkup),2)</f>
        <v>54.91</v>
      </c>
      <c r="R22" s="300">
        <f>ROUND('USPS Base'!AU19*(1+PostalMarkup),2)</f>
        <v>55.89</v>
      </c>
      <c r="S22" s="300">
        <f>ROUND('USPS Base'!AV19*(1+PostalMarkup),2)</f>
        <v>64.92</v>
      </c>
      <c r="T22" s="300">
        <f>ROUND('USPS Base'!AW19*(1+PostalMarkup),2)</f>
        <v>59.4</v>
      </c>
      <c r="U22" s="300">
        <f>ROUND('USPS Base'!AX19*(1+PostalMarkup),2)</f>
        <v>58.31</v>
      </c>
      <c r="V22" s="300">
        <f>ROUND('USPS Base'!AY19*(1+PostalMarkup),2)</f>
        <v>56.64</v>
      </c>
    </row>
    <row r="23" spans="1:22" ht="12.75" customHeight="1">
      <c r="A23" s="299">
        <v>52</v>
      </c>
      <c r="B23" s="300">
        <f t="shared" si="0"/>
        <v>3.25</v>
      </c>
      <c r="C23" s="300">
        <f>ROUND('USPS Base'!AF20*(1+PostalMarkup),2)</f>
        <v>54.74</v>
      </c>
      <c r="D23" s="300">
        <f>ROUND('USPS Base'!AG20*(1+PostalMarkup),2)</f>
        <v>58.71</v>
      </c>
      <c r="E23" s="300">
        <f>ROUND('USPS Base'!AH20*(1+PostalMarkup),2)</f>
        <v>85.5</v>
      </c>
      <c r="F23" s="300">
        <f>ROUND('USPS Base'!AI20*(1+PostalMarkup),2)</f>
        <v>90.05</v>
      </c>
      <c r="G23" s="300">
        <f>ROUND('USPS Base'!AJ20*(1+PostalMarkup),2)</f>
        <v>83.49</v>
      </c>
      <c r="H23" s="300">
        <f>ROUND('USPS Base'!AK20*(1+PostalMarkup),2)</f>
        <v>80.33</v>
      </c>
      <c r="I23" s="300">
        <f>ROUND('USPS Base'!AL20*(1+PostalMarkup),2)</f>
        <v>76.19</v>
      </c>
      <c r="J23" s="300">
        <f>ROUND('USPS Base'!AM20*(1+PostalMarkup),2)</f>
        <v>77.63</v>
      </c>
      <c r="K23" s="300">
        <f>ROUND('USPS Base'!AN20*(1+PostalMarkup),2)</f>
        <v>86.88</v>
      </c>
      <c r="L23" s="300">
        <f>ROUND('USPS Base'!AO20*(1+PostalMarkup),2)</f>
        <v>78.95</v>
      </c>
      <c r="M23" s="300">
        <f>ROUND('USPS Base'!AP20*(1+PostalMarkup),2)</f>
        <v>92.98</v>
      </c>
      <c r="N23" s="300">
        <f>ROUND('USPS Base'!AQ20*(1+PostalMarkup),2)</f>
        <v>90.97</v>
      </c>
      <c r="O23" s="300">
        <f>ROUND('USPS Base'!AR20*(1+PostalMarkup),2)</f>
        <v>87.06</v>
      </c>
      <c r="P23" s="300">
        <f>ROUND('USPS Base'!AS20*(1+PostalMarkup),2)</f>
        <v>76.709999999999994</v>
      </c>
      <c r="Q23" s="300">
        <f>ROUND('USPS Base'!AT20*(1+PostalMarkup),2)</f>
        <v>74.81</v>
      </c>
      <c r="R23" s="300">
        <f>ROUND('USPS Base'!AU20*(1+PostalMarkup),2)</f>
        <v>76.19</v>
      </c>
      <c r="S23" s="300">
        <f>ROUND('USPS Base'!AV20*(1+PostalMarkup),2)</f>
        <v>82.69</v>
      </c>
      <c r="T23" s="300">
        <f>ROUND('USPS Base'!AW20*(1+PostalMarkup),2)</f>
        <v>77.400000000000006</v>
      </c>
      <c r="U23" s="300">
        <f>ROUND('USPS Base'!AX20*(1+PostalMarkup),2)</f>
        <v>80.5</v>
      </c>
      <c r="V23" s="300">
        <f>ROUND('USPS Base'!AY20*(1+PostalMarkup),2)</f>
        <v>73.89</v>
      </c>
    </row>
    <row r="24" spans="1:22" ht="12.75" customHeight="1">
      <c r="A24" s="299">
        <v>56</v>
      </c>
      <c r="B24" s="300">
        <f t="shared" si="0"/>
        <v>3.5</v>
      </c>
      <c r="C24" s="300">
        <f>ROUND('USPS Base'!AF21*(1+PostalMarkup),2)</f>
        <v>54.74</v>
      </c>
      <c r="D24" s="300">
        <f>ROUND('USPS Base'!AG21*(1+PostalMarkup),2)</f>
        <v>58.71</v>
      </c>
      <c r="E24" s="300">
        <f>ROUND('USPS Base'!AH21*(1+PostalMarkup),2)</f>
        <v>85.5</v>
      </c>
      <c r="F24" s="300">
        <f>ROUND('USPS Base'!AI21*(1+PostalMarkup),2)</f>
        <v>90.05</v>
      </c>
      <c r="G24" s="300">
        <f>ROUND('USPS Base'!AJ21*(1+PostalMarkup),2)</f>
        <v>83.49</v>
      </c>
      <c r="H24" s="300">
        <f>ROUND('USPS Base'!AK21*(1+PostalMarkup),2)</f>
        <v>80.33</v>
      </c>
      <c r="I24" s="300">
        <f>ROUND('USPS Base'!AL21*(1+PostalMarkup),2)</f>
        <v>76.19</v>
      </c>
      <c r="J24" s="300">
        <f>ROUND('USPS Base'!AM21*(1+PostalMarkup),2)</f>
        <v>77.63</v>
      </c>
      <c r="K24" s="300">
        <f>ROUND('USPS Base'!AN21*(1+PostalMarkup),2)</f>
        <v>86.88</v>
      </c>
      <c r="L24" s="300">
        <f>ROUND('USPS Base'!AO21*(1+PostalMarkup),2)</f>
        <v>78.95</v>
      </c>
      <c r="M24" s="300">
        <f>ROUND('USPS Base'!AP21*(1+PostalMarkup),2)</f>
        <v>92.98</v>
      </c>
      <c r="N24" s="300">
        <f>ROUND('USPS Base'!AQ21*(1+PostalMarkup),2)</f>
        <v>90.97</v>
      </c>
      <c r="O24" s="300">
        <f>ROUND('USPS Base'!AR21*(1+PostalMarkup),2)</f>
        <v>87.06</v>
      </c>
      <c r="P24" s="300">
        <f>ROUND('USPS Base'!AS21*(1+PostalMarkup),2)</f>
        <v>76.709999999999994</v>
      </c>
      <c r="Q24" s="300">
        <f>ROUND('USPS Base'!AT21*(1+PostalMarkup),2)</f>
        <v>74.81</v>
      </c>
      <c r="R24" s="300">
        <f>ROUND('USPS Base'!AU21*(1+PostalMarkup),2)</f>
        <v>76.19</v>
      </c>
      <c r="S24" s="300">
        <f>ROUND('USPS Base'!AV21*(1+PostalMarkup),2)</f>
        <v>82.69</v>
      </c>
      <c r="T24" s="300">
        <f>ROUND('USPS Base'!AW21*(1+PostalMarkup),2)</f>
        <v>77.400000000000006</v>
      </c>
      <c r="U24" s="300">
        <f>ROUND('USPS Base'!AX21*(1+PostalMarkup),2)</f>
        <v>80.5</v>
      </c>
      <c r="V24" s="300">
        <f>ROUND('USPS Base'!AY21*(1+PostalMarkup),2)</f>
        <v>73.89</v>
      </c>
    </row>
    <row r="25" spans="1:22" ht="12.75" customHeight="1">
      <c r="A25" s="299">
        <v>60</v>
      </c>
      <c r="B25" s="300">
        <f t="shared" si="0"/>
        <v>3.75</v>
      </c>
      <c r="C25" s="300">
        <f>ROUND('USPS Base'!AF22*(1+PostalMarkup),2)</f>
        <v>54.74</v>
      </c>
      <c r="D25" s="300">
        <f>ROUND('USPS Base'!AG22*(1+PostalMarkup),2)</f>
        <v>58.71</v>
      </c>
      <c r="E25" s="300">
        <f>ROUND('USPS Base'!AH22*(1+PostalMarkup),2)</f>
        <v>85.5</v>
      </c>
      <c r="F25" s="300">
        <f>ROUND('USPS Base'!AI22*(1+PostalMarkup),2)</f>
        <v>90.05</v>
      </c>
      <c r="G25" s="300">
        <f>ROUND('USPS Base'!AJ22*(1+PostalMarkup),2)</f>
        <v>83.49</v>
      </c>
      <c r="H25" s="300">
        <f>ROUND('USPS Base'!AK22*(1+PostalMarkup),2)</f>
        <v>80.33</v>
      </c>
      <c r="I25" s="300">
        <f>ROUND('USPS Base'!AL22*(1+PostalMarkup),2)</f>
        <v>76.19</v>
      </c>
      <c r="J25" s="300">
        <f>ROUND('USPS Base'!AM22*(1+PostalMarkup),2)</f>
        <v>77.63</v>
      </c>
      <c r="K25" s="300">
        <f>ROUND('USPS Base'!AN22*(1+PostalMarkup),2)</f>
        <v>86.88</v>
      </c>
      <c r="L25" s="300">
        <f>ROUND('USPS Base'!AO22*(1+PostalMarkup),2)</f>
        <v>78.95</v>
      </c>
      <c r="M25" s="300">
        <f>ROUND('USPS Base'!AP22*(1+PostalMarkup),2)</f>
        <v>92.98</v>
      </c>
      <c r="N25" s="300">
        <f>ROUND('USPS Base'!AQ22*(1+PostalMarkup),2)</f>
        <v>90.97</v>
      </c>
      <c r="O25" s="300">
        <f>ROUND('USPS Base'!AR22*(1+PostalMarkup),2)</f>
        <v>87.06</v>
      </c>
      <c r="P25" s="300">
        <f>ROUND('USPS Base'!AS22*(1+PostalMarkup),2)</f>
        <v>76.709999999999994</v>
      </c>
      <c r="Q25" s="300">
        <f>ROUND('USPS Base'!AT22*(1+PostalMarkup),2)</f>
        <v>74.81</v>
      </c>
      <c r="R25" s="300">
        <f>ROUND('USPS Base'!AU22*(1+PostalMarkup),2)</f>
        <v>76.19</v>
      </c>
      <c r="S25" s="300">
        <f>ROUND('USPS Base'!AV22*(1+PostalMarkup),2)</f>
        <v>82.69</v>
      </c>
      <c r="T25" s="300">
        <f>ROUND('USPS Base'!AW22*(1+PostalMarkup),2)</f>
        <v>77.400000000000006</v>
      </c>
      <c r="U25" s="300">
        <f>ROUND('USPS Base'!AX22*(1+PostalMarkup),2)</f>
        <v>80.5</v>
      </c>
      <c r="V25" s="300">
        <f>ROUND('USPS Base'!AY22*(1+PostalMarkup),2)</f>
        <v>73.89</v>
      </c>
    </row>
    <row r="26" spans="1:22" ht="12.75" customHeight="1">
      <c r="A26" s="299">
        <v>64</v>
      </c>
      <c r="B26" s="300">
        <f t="shared" si="0"/>
        <v>4</v>
      </c>
      <c r="C26" s="300">
        <f>ROUND('USPS Base'!AF23*(1+PostalMarkup),2)</f>
        <v>54.74</v>
      </c>
      <c r="D26" s="300">
        <f>ROUND('USPS Base'!AG23*(1+PostalMarkup),2)</f>
        <v>58.71</v>
      </c>
      <c r="E26" s="300">
        <f>ROUND('USPS Base'!AH23*(1+PostalMarkup),2)</f>
        <v>85.5</v>
      </c>
      <c r="F26" s="300">
        <f>ROUND('USPS Base'!AI23*(1+PostalMarkup),2)</f>
        <v>90.05</v>
      </c>
      <c r="G26" s="300">
        <f>ROUND('USPS Base'!AJ23*(1+PostalMarkup),2)</f>
        <v>83.49</v>
      </c>
      <c r="H26" s="300">
        <f>ROUND('USPS Base'!AK23*(1+PostalMarkup),2)</f>
        <v>80.33</v>
      </c>
      <c r="I26" s="300">
        <f>ROUND('USPS Base'!AL23*(1+PostalMarkup),2)</f>
        <v>76.19</v>
      </c>
      <c r="J26" s="300">
        <f>ROUND('USPS Base'!AM23*(1+PostalMarkup),2)</f>
        <v>77.63</v>
      </c>
      <c r="K26" s="300">
        <f>ROUND('USPS Base'!AN23*(1+PostalMarkup),2)</f>
        <v>86.88</v>
      </c>
      <c r="L26" s="300">
        <f>ROUND('USPS Base'!AO23*(1+PostalMarkup),2)</f>
        <v>78.95</v>
      </c>
      <c r="M26" s="300">
        <f>ROUND('USPS Base'!AP23*(1+PostalMarkup),2)</f>
        <v>92.98</v>
      </c>
      <c r="N26" s="300">
        <f>ROUND('USPS Base'!AQ23*(1+PostalMarkup),2)</f>
        <v>90.97</v>
      </c>
      <c r="O26" s="300">
        <f>ROUND('USPS Base'!AR23*(1+PostalMarkup),2)</f>
        <v>87.06</v>
      </c>
      <c r="P26" s="300">
        <f>ROUND('USPS Base'!AS23*(1+PostalMarkup),2)</f>
        <v>76.709999999999994</v>
      </c>
      <c r="Q26" s="300">
        <f>ROUND('USPS Base'!AT23*(1+PostalMarkup),2)</f>
        <v>74.81</v>
      </c>
      <c r="R26" s="300">
        <f>ROUND('USPS Base'!AU23*(1+PostalMarkup),2)</f>
        <v>76.19</v>
      </c>
      <c r="S26" s="300">
        <f>ROUND('USPS Base'!AV23*(1+PostalMarkup),2)</f>
        <v>82.69</v>
      </c>
      <c r="T26" s="300">
        <f>ROUND('USPS Base'!AW23*(1+PostalMarkup),2)</f>
        <v>77.400000000000006</v>
      </c>
      <c r="U26" s="300">
        <f>ROUND('USPS Base'!AX23*(1+PostalMarkup),2)</f>
        <v>80.5</v>
      </c>
      <c r="V26" s="300">
        <f>ROUND('USPS Base'!AY23*(1+PostalMarkup),2)</f>
        <v>73.89</v>
      </c>
    </row>
    <row r="27" spans="1:22" ht="12.75" customHeight="1"/>
    <row r="28" spans="1:22" ht="12.75" customHeight="1"/>
    <row r="29" spans="1:22" ht="12.75" customHeight="1"/>
    <row r="30" spans="1:22" ht="12.75" customHeight="1"/>
    <row r="31" spans="1:22" ht="12.75" customHeight="1"/>
    <row r="32" spans="1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5:V26">
    <cfRule type="expression" dxfId="1" priority="1">
      <formula>MOD(ROW(A5),2)=0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3300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5703125" defaultRowHeight="15" customHeight="1"/>
  <cols>
    <col min="1" max="1" width="6.5703125" customWidth="1"/>
    <col min="2" max="8" width="7.5703125" customWidth="1"/>
    <col min="9" max="10" width="8.42578125" customWidth="1"/>
    <col min="11" max="12" width="8.28515625" customWidth="1"/>
    <col min="13" max="13" width="9" customWidth="1"/>
    <col min="14" max="26" width="8.5703125" customWidth="1"/>
  </cols>
  <sheetData>
    <row r="1" spans="1:26" ht="12.75" customHeight="1">
      <c r="A1" s="38"/>
      <c r="B1" s="39" t="s">
        <v>0</v>
      </c>
      <c r="C1" s="39" t="s">
        <v>0</v>
      </c>
      <c r="D1" s="39" t="s">
        <v>0</v>
      </c>
      <c r="E1" s="39" t="s">
        <v>0</v>
      </c>
      <c r="F1" s="39" t="s">
        <v>0</v>
      </c>
      <c r="G1" s="39" t="s">
        <v>0</v>
      </c>
      <c r="H1" s="39" t="s">
        <v>0</v>
      </c>
      <c r="I1" s="39" t="s">
        <v>7</v>
      </c>
      <c r="J1" s="39" t="s">
        <v>8</v>
      </c>
      <c r="K1" s="39" t="s">
        <v>9</v>
      </c>
      <c r="L1" s="39" t="s">
        <v>10</v>
      </c>
      <c r="M1" s="39" t="s">
        <v>11</v>
      </c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2.75" customHeight="1">
      <c r="A2" s="1" t="s">
        <v>5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2" t="s">
        <v>12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40">
        <v>26.46</v>
      </c>
      <c r="C3" s="40">
        <v>27.74</v>
      </c>
      <c r="D3" s="40">
        <v>29.44</v>
      </c>
      <c r="E3" s="40">
        <v>35.94</v>
      </c>
      <c r="F3" s="40">
        <v>42.8</v>
      </c>
      <c r="G3" s="40">
        <v>46.04</v>
      </c>
      <c r="H3" s="40">
        <v>46.97</v>
      </c>
      <c r="I3" s="40">
        <v>68.03</v>
      </c>
      <c r="J3" s="40">
        <v>68.03</v>
      </c>
      <c r="K3" s="41">
        <v>86.96</v>
      </c>
      <c r="L3" s="41">
        <v>86.96</v>
      </c>
      <c r="M3" s="40">
        <v>60.15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9">
        <v>2</v>
      </c>
      <c r="B4" s="42">
        <v>27.54</v>
      </c>
      <c r="C4" s="42">
        <v>29.1</v>
      </c>
      <c r="D4" s="42">
        <v>30.58</v>
      </c>
      <c r="E4" s="42">
        <v>39.04</v>
      </c>
      <c r="F4" s="42">
        <v>48.67</v>
      </c>
      <c r="G4" s="42">
        <v>53.33</v>
      </c>
      <c r="H4" s="42">
        <v>56.12</v>
      </c>
      <c r="I4" s="42">
        <v>74.989999999999995</v>
      </c>
      <c r="J4" s="42">
        <v>74.989999999999995</v>
      </c>
      <c r="K4" s="43">
        <v>106.19</v>
      </c>
      <c r="L4" s="43">
        <v>106.19</v>
      </c>
      <c r="M4" s="42">
        <v>65.95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3">
        <v>3</v>
      </c>
      <c r="B5" s="44">
        <v>27.98</v>
      </c>
      <c r="C5" s="44">
        <v>30.04</v>
      </c>
      <c r="D5" s="44">
        <v>32.39</v>
      </c>
      <c r="E5" s="44">
        <v>42.99</v>
      </c>
      <c r="F5" s="44">
        <v>55.2</v>
      </c>
      <c r="G5" s="44">
        <v>61.77</v>
      </c>
      <c r="H5" s="44">
        <v>64.38</v>
      </c>
      <c r="I5" s="44">
        <v>85.61</v>
      </c>
      <c r="J5" s="44">
        <v>85.61</v>
      </c>
      <c r="K5" s="45">
        <v>108.12</v>
      </c>
      <c r="L5" s="45">
        <v>108.12</v>
      </c>
      <c r="M5" s="44">
        <v>75.25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3">
        <v>4</v>
      </c>
      <c r="B6" s="44">
        <v>28.84</v>
      </c>
      <c r="C6" s="44">
        <v>31.1</v>
      </c>
      <c r="D6" s="44">
        <v>35.06</v>
      </c>
      <c r="E6" s="44">
        <v>49.55</v>
      </c>
      <c r="F6" s="44">
        <v>63.78</v>
      </c>
      <c r="G6" s="44">
        <v>70.55</v>
      </c>
      <c r="H6" s="44">
        <v>73.290000000000006</v>
      </c>
      <c r="I6" s="44">
        <v>91.22</v>
      </c>
      <c r="J6" s="44">
        <v>91.22</v>
      </c>
      <c r="K6" s="45">
        <v>112.85</v>
      </c>
      <c r="L6" s="45">
        <v>112.85</v>
      </c>
      <c r="M6" s="44">
        <v>80.3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6">
        <v>5</v>
      </c>
      <c r="B7" s="46">
        <v>29.71</v>
      </c>
      <c r="C7" s="46">
        <v>32.1</v>
      </c>
      <c r="D7" s="46">
        <v>38.11</v>
      </c>
      <c r="E7" s="46">
        <v>55.07</v>
      </c>
      <c r="F7" s="46">
        <v>71.239999999999995</v>
      </c>
      <c r="G7" s="46">
        <v>78.59</v>
      </c>
      <c r="H7" s="46">
        <v>83.38</v>
      </c>
      <c r="I7" s="46">
        <v>99.15</v>
      </c>
      <c r="J7" s="46">
        <v>99.15</v>
      </c>
      <c r="K7" s="47">
        <v>116.79</v>
      </c>
      <c r="L7" s="47">
        <v>116.79</v>
      </c>
      <c r="M7" s="46">
        <v>87.1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9">
        <v>6</v>
      </c>
      <c r="B8" s="48">
        <v>30.99</v>
      </c>
      <c r="C8" s="48">
        <v>33.35</v>
      </c>
      <c r="D8" s="49">
        <v>41.54</v>
      </c>
      <c r="E8" s="49">
        <v>60.11</v>
      </c>
      <c r="F8" s="49">
        <v>79.2</v>
      </c>
      <c r="G8" s="49">
        <v>87.35</v>
      </c>
      <c r="H8" s="49">
        <v>89.1</v>
      </c>
      <c r="I8" s="49">
        <v>112.3</v>
      </c>
      <c r="J8" s="49">
        <v>112.3</v>
      </c>
      <c r="K8" s="50">
        <v>127.53</v>
      </c>
      <c r="L8" s="50">
        <v>127.53</v>
      </c>
      <c r="M8" s="49">
        <v>92.8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3">
        <v>7</v>
      </c>
      <c r="B9" s="51">
        <v>32.29</v>
      </c>
      <c r="C9" s="51">
        <v>36.549999999999997</v>
      </c>
      <c r="D9" s="52">
        <v>45.06</v>
      </c>
      <c r="E9" s="52">
        <v>65.7</v>
      </c>
      <c r="F9" s="52">
        <v>89.08</v>
      </c>
      <c r="G9" s="52">
        <v>94.42</v>
      </c>
      <c r="H9" s="52">
        <v>96.33</v>
      </c>
      <c r="I9" s="52">
        <v>113.62</v>
      </c>
      <c r="J9" s="52">
        <v>113.62</v>
      </c>
      <c r="K9" s="53">
        <v>128.61000000000001</v>
      </c>
      <c r="L9" s="53">
        <v>128.61000000000001</v>
      </c>
      <c r="M9" s="52">
        <v>99.85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9">
        <v>8</v>
      </c>
      <c r="B10" s="51">
        <v>33.590000000000003</v>
      </c>
      <c r="C10" s="51">
        <v>39.880000000000003</v>
      </c>
      <c r="D10" s="52">
        <v>48.22</v>
      </c>
      <c r="E10" s="52">
        <v>71.680000000000007</v>
      </c>
      <c r="F10" s="52">
        <v>98.57</v>
      </c>
      <c r="G10" s="52">
        <v>106.81</v>
      </c>
      <c r="H10" s="52">
        <v>110.69</v>
      </c>
      <c r="I10" s="52">
        <v>127.33</v>
      </c>
      <c r="J10" s="52">
        <v>127.33</v>
      </c>
      <c r="K10" s="53">
        <v>143.93</v>
      </c>
      <c r="L10" s="53">
        <v>143.93</v>
      </c>
      <c r="M10" s="52">
        <v>105.75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9">
        <v>9</v>
      </c>
      <c r="B11" s="51">
        <v>35.31</v>
      </c>
      <c r="C11" s="51">
        <v>41.64</v>
      </c>
      <c r="D11" s="52">
        <v>52.09</v>
      </c>
      <c r="E11" s="52">
        <v>76.95</v>
      </c>
      <c r="F11" s="52">
        <v>102.68</v>
      </c>
      <c r="G11" s="52">
        <v>117.13</v>
      </c>
      <c r="H11" s="52">
        <v>121.5</v>
      </c>
      <c r="I11" s="52">
        <v>128.72</v>
      </c>
      <c r="J11" s="52">
        <v>128.72</v>
      </c>
      <c r="K11" s="53">
        <v>151.55000000000001</v>
      </c>
      <c r="L11" s="53">
        <v>151.55000000000001</v>
      </c>
      <c r="M11" s="52">
        <v>112.35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7">
        <v>10</v>
      </c>
      <c r="B12" s="54">
        <v>35.619999999999997</v>
      </c>
      <c r="C12" s="54">
        <v>44.4</v>
      </c>
      <c r="D12" s="55">
        <v>56.11</v>
      </c>
      <c r="E12" s="55">
        <v>82.19</v>
      </c>
      <c r="F12" s="55">
        <v>114.5</v>
      </c>
      <c r="G12" s="55">
        <v>127.41</v>
      </c>
      <c r="H12" s="55">
        <v>131.44</v>
      </c>
      <c r="I12" s="55">
        <v>147.82</v>
      </c>
      <c r="J12" s="55">
        <v>147.82</v>
      </c>
      <c r="K12" s="56">
        <v>157.97999999999999</v>
      </c>
      <c r="L12" s="56">
        <v>157.97999999999999</v>
      </c>
      <c r="M12" s="55">
        <v>122.1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3">
        <v>11</v>
      </c>
      <c r="B13" s="42">
        <v>38.72</v>
      </c>
      <c r="C13" s="42">
        <v>46.75</v>
      </c>
      <c r="D13" s="42">
        <v>57.88</v>
      </c>
      <c r="E13" s="42">
        <v>87.89</v>
      </c>
      <c r="F13" s="42">
        <v>123.6</v>
      </c>
      <c r="G13" s="42">
        <v>136.57</v>
      </c>
      <c r="H13" s="42">
        <v>142.41</v>
      </c>
      <c r="I13" s="42">
        <v>149.72999999999999</v>
      </c>
      <c r="J13" s="42">
        <v>149.72999999999999</v>
      </c>
      <c r="K13" s="43">
        <v>158.63999999999999</v>
      </c>
      <c r="L13" s="43">
        <v>158.63999999999999</v>
      </c>
      <c r="M13" s="42">
        <v>129.15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3">
        <v>12</v>
      </c>
      <c r="B14" s="44">
        <v>40.78</v>
      </c>
      <c r="C14" s="44">
        <v>49.51</v>
      </c>
      <c r="D14" s="44">
        <v>61.06</v>
      </c>
      <c r="E14" s="44">
        <v>92.85</v>
      </c>
      <c r="F14" s="44">
        <v>127.47</v>
      </c>
      <c r="G14" s="44">
        <v>140.68</v>
      </c>
      <c r="H14" s="44">
        <v>143.51</v>
      </c>
      <c r="I14" s="44">
        <v>152.25</v>
      </c>
      <c r="J14" s="44">
        <v>152.25</v>
      </c>
      <c r="K14" s="45">
        <v>159.37</v>
      </c>
      <c r="L14" s="45">
        <v>159.37</v>
      </c>
      <c r="M14" s="44">
        <v>136.6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3">
        <v>13</v>
      </c>
      <c r="B15" s="44">
        <v>43.65</v>
      </c>
      <c r="C15" s="44">
        <v>52.08</v>
      </c>
      <c r="D15" s="44">
        <v>64.28</v>
      </c>
      <c r="E15" s="44">
        <v>98.42</v>
      </c>
      <c r="F15" s="44">
        <v>141.84</v>
      </c>
      <c r="G15" s="44">
        <v>153.61000000000001</v>
      </c>
      <c r="H15" s="44">
        <v>161.1</v>
      </c>
      <c r="I15" s="44">
        <v>168.14</v>
      </c>
      <c r="J15" s="44">
        <v>168.14</v>
      </c>
      <c r="K15" s="45">
        <v>173.53</v>
      </c>
      <c r="L15" s="45">
        <v>173.53</v>
      </c>
      <c r="M15" s="44">
        <v>141.6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3">
        <v>14</v>
      </c>
      <c r="B16" s="44">
        <v>45.85</v>
      </c>
      <c r="C16" s="44">
        <v>54.78</v>
      </c>
      <c r="D16" s="44">
        <v>67.540000000000006</v>
      </c>
      <c r="E16" s="44">
        <v>104.09</v>
      </c>
      <c r="F16" s="44">
        <v>144.1</v>
      </c>
      <c r="G16" s="44">
        <v>159.66</v>
      </c>
      <c r="H16" s="44">
        <v>162.86000000000001</v>
      </c>
      <c r="I16" s="44">
        <v>174.72</v>
      </c>
      <c r="J16" s="44">
        <v>174.72</v>
      </c>
      <c r="K16" s="45">
        <v>180.36</v>
      </c>
      <c r="L16" s="45">
        <v>180.36</v>
      </c>
      <c r="M16" s="44">
        <v>147.05000000000001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3">
        <v>15</v>
      </c>
      <c r="B17" s="46">
        <v>47.58</v>
      </c>
      <c r="C17" s="46">
        <v>56.11</v>
      </c>
      <c r="D17" s="46">
        <v>70.83</v>
      </c>
      <c r="E17" s="46">
        <v>108.11</v>
      </c>
      <c r="F17" s="46">
        <v>158.49</v>
      </c>
      <c r="G17" s="46">
        <v>168.8</v>
      </c>
      <c r="H17" s="46">
        <v>175.97</v>
      </c>
      <c r="I17" s="46">
        <v>182.76</v>
      </c>
      <c r="J17" s="46">
        <v>182.76</v>
      </c>
      <c r="K17" s="47">
        <v>190.16</v>
      </c>
      <c r="L17" s="47">
        <v>190.16</v>
      </c>
      <c r="M17" s="46">
        <v>152.65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1">
        <v>16</v>
      </c>
      <c r="B18" s="48">
        <v>48.7</v>
      </c>
      <c r="C18" s="48">
        <v>57.98</v>
      </c>
      <c r="D18" s="49">
        <v>73.91</v>
      </c>
      <c r="E18" s="49">
        <v>111.63</v>
      </c>
      <c r="F18" s="49">
        <v>165.44</v>
      </c>
      <c r="G18" s="49">
        <v>177.44</v>
      </c>
      <c r="H18" s="49">
        <v>183.44</v>
      </c>
      <c r="I18" s="49">
        <v>190.27</v>
      </c>
      <c r="J18" s="49">
        <v>190.27</v>
      </c>
      <c r="K18" s="50">
        <v>200.87</v>
      </c>
      <c r="L18" s="50">
        <v>200.87</v>
      </c>
      <c r="M18" s="49">
        <v>159.5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9">
        <v>17</v>
      </c>
      <c r="B19" s="51">
        <v>50.19</v>
      </c>
      <c r="C19" s="51">
        <v>59.71</v>
      </c>
      <c r="D19" s="52">
        <v>77.11</v>
      </c>
      <c r="E19" s="52">
        <v>117</v>
      </c>
      <c r="F19" s="52">
        <v>172.9</v>
      </c>
      <c r="G19" s="52">
        <v>188.19</v>
      </c>
      <c r="H19" s="52">
        <v>191.96</v>
      </c>
      <c r="I19" s="52">
        <v>199.34</v>
      </c>
      <c r="J19" s="52">
        <v>199.34</v>
      </c>
      <c r="K19" s="53">
        <v>209.12</v>
      </c>
      <c r="L19" s="53">
        <v>209.12</v>
      </c>
      <c r="M19" s="52">
        <v>166.15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9">
        <v>18</v>
      </c>
      <c r="B20" s="51">
        <v>51.87</v>
      </c>
      <c r="C20" s="51">
        <v>61.67</v>
      </c>
      <c r="D20" s="52">
        <v>79.92</v>
      </c>
      <c r="E20" s="52">
        <v>121.03</v>
      </c>
      <c r="F20" s="52">
        <v>182.42</v>
      </c>
      <c r="G20" s="52">
        <v>189.28</v>
      </c>
      <c r="H20" s="52">
        <v>195.35</v>
      </c>
      <c r="I20" s="52">
        <v>203.24</v>
      </c>
      <c r="J20" s="52">
        <v>203.24</v>
      </c>
      <c r="K20" s="53">
        <v>210.08</v>
      </c>
      <c r="L20" s="53">
        <v>210.08</v>
      </c>
      <c r="M20" s="52">
        <v>174.35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9">
        <v>19</v>
      </c>
      <c r="B21" s="51">
        <v>53.93</v>
      </c>
      <c r="C21" s="51">
        <v>63.37</v>
      </c>
      <c r="D21" s="52">
        <v>82.29</v>
      </c>
      <c r="E21" s="52">
        <v>125.97</v>
      </c>
      <c r="F21" s="52">
        <v>186.64</v>
      </c>
      <c r="G21" s="52">
        <v>206.83</v>
      </c>
      <c r="H21" s="52">
        <v>210.97</v>
      </c>
      <c r="I21" s="52">
        <v>218.12</v>
      </c>
      <c r="J21" s="52">
        <v>218.12</v>
      </c>
      <c r="K21" s="53">
        <v>228.72</v>
      </c>
      <c r="L21" s="53">
        <v>228.72</v>
      </c>
      <c r="M21" s="52">
        <v>183.55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9">
        <v>20</v>
      </c>
      <c r="B22" s="54">
        <v>55.79</v>
      </c>
      <c r="C22" s="54">
        <v>66.099999999999994</v>
      </c>
      <c r="D22" s="55">
        <v>85.47</v>
      </c>
      <c r="E22" s="55">
        <v>131.84</v>
      </c>
      <c r="F22" s="55">
        <v>193.28</v>
      </c>
      <c r="G22" s="55">
        <v>211.16</v>
      </c>
      <c r="H22" s="55">
        <v>217.78</v>
      </c>
      <c r="I22" s="55">
        <v>225.85</v>
      </c>
      <c r="J22" s="55">
        <v>225.85</v>
      </c>
      <c r="K22" s="56">
        <v>231.24</v>
      </c>
      <c r="L22" s="56">
        <v>231.24</v>
      </c>
      <c r="M22" s="55">
        <v>190.2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2">
        <v>21</v>
      </c>
      <c r="B23" s="42">
        <v>58.39</v>
      </c>
      <c r="C23" s="42">
        <v>68.680000000000007</v>
      </c>
      <c r="D23" s="42">
        <v>88.68</v>
      </c>
      <c r="E23" s="42">
        <v>136.29</v>
      </c>
      <c r="F23" s="42">
        <v>193.95</v>
      </c>
      <c r="G23" s="42">
        <v>218.42</v>
      </c>
      <c r="H23" s="42">
        <v>223.03</v>
      </c>
      <c r="I23" s="42">
        <v>227.5</v>
      </c>
      <c r="J23" s="42">
        <v>227.5</v>
      </c>
      <c r="K23" s="43">
        <v>232.07</v>
      </c>
      <c r="L23" s="43">
        <v>232.07</v>
      </c>
      <c r="M23" s="42">
        <v>197.3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3">
        <v>22</v>
      </c>
      <c r="B24" s="44">
        <v>60.19</v>
      </c>
      <c r="C24" s="44">
        <v>70.91</v>
      </c>
      <c r="D24" s="44">
        <v>91.12</v>
      </c>
      <c r="E24" s="44">
        <v>140.13999999999999</v>
      </c>
      <c r="F24" s="44">
        <v>206.67</v>
      </c>
      <c r="G24" s="44">
        <v>226.76</v>
      </c>
      <c r="H24" s="44">
        <v>231.67</v>
      </c>
      <c r="I24" s="44">
        <v>236.34</v>
      </c>
      <c r="J24" s="44">
        <v>236.34</v>
      </c>
      <c r="K24" s="45">
        <v>247.72</v>
      </c>
      <c r="L24" s="45">
        <v>247.72</v>
      </c>
      <c r="M24" s="44">
        <v>206.45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3">
        <v>23</v>
      </c>
      <c r="B25" s="44">
        <v>61.09</v>
      </c>
      <c r="C25" s="44">
        <v>72.459999999999994</v>
      </c>
      <c r="D25" s="44">
        <v>94.39</v>
      </c>
      <c r="E25" s="44">
        <v>144.13</v>
      </c>
      <c r="F25" s="44">
        <v>214.14</v>
      </c>
      <c r="G25" s="44">
        <v>234.21</v>
      </c>
      <c r="H25" s="44">
        <v>239.61</v>
      </c>
      <c r="I25" s="44">
        <v>244.42</v>
      </c>
      <c r="J25" s="44">
        <v>244.42</v>
      </c>
      <c r="K25" s="45">
        <v>249.31</v>
      </c>
      <c r="L25" s="45">
        <v>249.31</v>
      </c>
      <c r="M25" s="44">
        <v>214.05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3">
        <v>24</v>
      </c>
      <c r="B26" s="44">
        <v>62.49</v>
      </c>
      <c r="C26" s="44">
        <v>75.349999999999994</v>
      </c>
      <c r="D26" s="44">
        <v>97.41</v>
      </c>
      <c r="E26" s="44">
        <v>149.72</v>
      </c>
      <c r="F26" s="44">
        <v>221.96</v>
      </c>
      <c r="G26" s="44">
        <v>237.39</v>
      </c>
      <c r="H26" s="44">
        <v>242.14</v>
      </c>
      <c r="I26" s="44">
        <v>247</v>
      </c>
      <c r="J26" s="44">
        <v>247</v>
      </c>
      <c r="K26" s="45">
        <v>258.11</v>
      </c>
      <c r="L26" s="45">
        <v>258.11</v>
      </c>
      <c r="M26" s="44">
        <v>221.95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6">
        <v>25</v>
      </c>
      <c r="B27" s="46">
        <v>65.12</v>
      </c>
      <c r="C27" s="46">
        <v>77.489999999999995</v>
      </c>
      <c r="D27" s="46">
        <v>99.27</v>
      </c>
      <c r="E27" s="46">
        <v>154.87</v>
      </c>
      <c r="F27" s="46">
        <v>229.18</v>
      </c>
      <c r="G27" s="46">
        <v>251.95</v>
      </c>
      <c r="H27" s="46">
        <v>262.48</v>
      </c>
      <c r="I27" s="46">
        <v>272.82</v>
      </c>
      <c r="J27" s="46">
        <v>272.82</v>
      </c>
      <c r="K27" s="47">
        <v>285.27</v>
      </c>
      <c r="L27" s="47">
        <v>285.27</v>
      </c>
      <c r="M27" s="46">
        <v>229.75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9">
        <v>26</v>
      </c>
      <c r="B28" s="48">
        <v>66.45</v>
      </c>
      <c r="C28" s="48">
        <v>79.62</v>
      </c>
      <c r="D28" s="49">
        <v>102.95</v>
      </c>
      <c r="E28" s="49">
        <v>159.94999999999999</v>
      </c>
      <c r="F28" s="49">
        <v>236.96</v>
      </c>
      <c r="G28" s="49">
        <v>260.61</v>
      </c>
      <c r="H28" s="49">
        <v>269.72000000000003</v>
      </c>
      <c r="I28" s="49">
        <v>279.94</v>
      </c>
      <c r="J28" s="49">
        <v>279.94</v>
      </c>
      <c r="K28" s="50">
        <v>294.05</v>
      </c>
      <c r="L28" s="50">
        <v>294.05</v>
      </c>
      <c r="M28" s="49">
        <v>231.45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3">
        <v>27</v>
      </c>
      <c r="B29" s="51">
        <v>69.22</v>
      </c>
      <c r="C29" s="51">
        <v>81.95</v>
      </c>
      <c r="D29" s="52">
        <v>105.57</v>
      </c>
      <c r="E29" s="52">
        <v>165.6</v>
      </c>
      <c r="F29" s="52">
        <v>244.99</v>
      </c>
      <c r="G29" s="52">
        <v>269.36</v>
      </c>
      <c r="H29" s="52">
        <v>278.19</v>
      </c>
      <c r="I29" s="52">
        <v>288.99</v>
      </c>
      <c r="J29" s="52">
        <v>288.99</v>
      </c>
      <c r="K29" s="53">
        <v>302.89999999999998</v>
      </c>
      <c r="L29" s="53">
        <v>302.89999999999998</v>
      </c>
      <c r="M29" s="52">
        <v>238.75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3">
        <v>28</v>
      </c>
      <c r="B30" s="51">
        <v>71.44</v>
      </c>
      <c r="C30" s="51">
        <v>85.83</v>
      </c>
      <c r="D30" s="52">
        <v>108</v>
      </c>
      <c r="E30" s="52">
        <v>169.54</v>
      </c>
      <c r="F30" s="52">
        <v>251.25</v>
      </c>
      <c r="G30" s="52">
        <v>276.32</v>
      </c>
      <c r="H30" s="52">
        <v>284.92</v>
      </c>
      <c r="I30" s="52">
        <v>298.29000000000002</v>
      </c>
      <c r="J30" s="52">
        <v>298.29000000000002</v>
      </c>
      <c r="K30" s="53">
        <v>313.63</v>
      </c>
      <c r="L30" s="53">
        <v>313.63</v>
      </c>
      <c r="M30" s="52">
        <v>246.35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3">
        <v>29</v>
      </c>
      <c r="B31" s="51">
        <v>72.61</v>
      </c>
      <c r="C31" s="51">
        <v>86.22</v>
      </c>
      <c r="D31" s="52">
        <v>111.19</v>
      </c>
      <c r="E31" s="52">
        <v>173.58</v>
      </c>
      <c r="F31" s="52">
        <v>258.02</v>
      </c>
      <c r="G31" s="52">
        <v>283.23</v>
      </c>
      <c r="H31" s="52">
        <v>293.41000000000003</v>
      </c>
      <c r="I31" s="52">
        <v>305.8</v>
      </c>
      <c r="J31" s="52">
        <v>305.8</v>
      </c>
      <c r="K31" s="53">
        <v>322.41000000000003</v>
      </c>
      <c r="L31" s="53">
        <v>322.41000000000003</v>
      </c>
      <c r="M31" s="52">
        <v>253</v>
      </c>
    </row>
    <row r="32" spans="1:26" ht="12.75" customHeight="1">
      <c r="A32" s="23">
        <v>30</v>
      </c>
      <c r="B32" s="54">
        <v>72.98</v>
      </c>
      <c r="C32" s="54">
        <v>88.56</v>
      </c>
      <c r="D32" s="55">
        <v>115.04</v>
      </c>
      <c r="E32" s="55">
        <v>179.24</v>
      </c>
      <c r="F32" s="55">
        <v>265.08999999999997</v>
      </c>
      <c r="G32" s="55">
        <v>290.89</v>
      </c>
      <c r="H32" s="55">
        <v>300.83999999999997</v>
      </c>
      <c r="I32" s="55">
        <v>315.49</v>
      </c>
      <c r="J32" s="55">
        <v>315.49</v>
      </c>
      <c r="K32" s="56">
        <v>330.67</v>
      </c>
      <c r="L32" s="56">
        <v>330.67</v>
      </c>
      <c r="M32" s="55">
        <v>260.45</v>
      </c>
    </row>
    <row r="33" spans="1:26" ht="12.75" customHeight="1">
      <c r="A33" s="9">
        <v>31</v>
      </c>
      <c r="B33" s="42">
        <v>73.180000000000007</v>
      </c>
      <c r="C33" s="42">
        <v>91.53</v>
      </c>
      <c r="D33" s="42">
        <v>118.15</v>
      </c>
      <c r="E33" s="42">
        <v>183.27</v>
      </c>
      <c r="F33" s="42">
        <v>271.14999999999998</v>
      </c>
      <c r="G33" s="42">
        <v>297.18</v>
      </c>
      <c r="H33" s="42">
        <v>308.89</v>
      </c>
      <c r="I33" s="42">
        <v>323.25</v>
      </c>
      <c r="J33" s="42">
        <v>323.25</v>
      </c>
      <c r="K33" s="43">
        <v>331.58</v>
      </c>
      <c r="L33" s="43">
        <v>331.58</v>
      </c>
      <c r="M33" s="42">
        <v>267.64999999999998</v>
      </c>
    </row>
    <row r="34" spans="1:26" ht="12.75" customHeight="1">
      <c r="A34" s="33">
        <v>32</v>
      </c>
      <c r="B34" s="44">
        <v>74.2</v>
      </c>
      <c r="C34" s="44">
        <v>93.57</v>
      </c>
      <c r="D34" s="44">
        <v>121.51</v>
      </c>
      <c r="E34" s="44">
        <v>187.7</v>
      </c>
      <c r="F34" s="44">
        <v>279.10000000000002</v>
      </c>
      <c r="G34" s="44">
        <v>305.44</v>
      </c>
      <c r="H34" s="44">
        <v>316.33999999999997</v>
      </c>
      <c r="I34" s="44">
        <v>333.41</v>
      </c>
      <c r="J34" s="44">
        <v>333.41</v>
      </c>
      <c r="K34" s="45">
        <v>349.74</v>
      </c>
      <c r="L34" s="45">
        <v>349.74</v>
      </c>
      <c r="M34" s="44">
        <v>275.45</v>
      </c>
    </row>
    <row r="35" spans="1:26" ht="12.75" customHeight="1">
      <c r="A35" s="33">
        <v>33</v>
      </c>
      <c r="B35" s="44">
        <v>79.569999999999993</v>
      </c>
      <c r="C35" s="44">
        <v>96</v>
      </c>
      <c r="D35" s="44">
        <v>124.89</v>
      </c>
      <c r="E35" s="44">
        <v>191.7</v>
      </c>
      <c r="F35" s="44">
        <v>286.58999999999997</v>
      </c>
      <c r="G35" s="44">
        <v>312.47000000000003</v>
      </c>
      <c r="H35" s="44">
        <v>324.39</v>
      </c>
      <c r="I35" s="44">
        <v>334.44</v>
      </c>
      <c r="J35" s="44">
        <v>334.44</v>
      </c>
      <c r="K35" s="45">
        <v>353.17</v>
      </c>
      <c r="L35" s="45">
        <v>353.17</v>
      </c>
      <c r="M35" s="44">
        <v>282.95</v>
      </c>
    </row>
    <row r="36" spans="1:26" ht="12.75" customHeight="1">
      <c r="A36" s="33">
        <v>34</v>
      </c>
      <c r="B36" s="44">
        <v>82.85</v>
      </c>
      <c r="C36" s="44">
        <v>99.27</v>
      </c>
      <c r="D36" s="44">
        <v>127.52</v>
      </c>
      <c r="E36" s="44">
        <v>198.41</v>
      </c>
      <c r="F36" s="44">
        <v>295.25</v>
      </c>
      <c r="G36" s="44">
        <v>320.23</v>
      </c>
      <c r="H36" s="44">
        <v>332.37</v>
      </c>
      <c r="I36" s="44">
        <v>339.96</v>
      </c>
      <c r="J36" s="44">
        <v>339.96</v>
      </c>
      <c r="K36" s="45">
        <v>353.52</v>
      </c>
      <c r="L36" s="45">
        <v>353.52</v>
      </c>
      <c r="M36" s="44">
        <v>290.3</v>
      </c>
    </row>
    <row r="37" spans="1:26" ht="12.75" customHeight="1">
      <c r="A37" s="16">
        <v>35</v>
      </c>
      <c r="B37" s="46">
        <v>84.51</v>
      </c>
      <c r="C37" s="46">
        <v>100.75</v>
      </c>
      <c r="D37" s="46">
        <v>130.27000000000001</v>
      </c>
      <c r="E37" s="46">
        <v>202.34</v>
      </c>
      <c r="F37" s="46">
        <v>304.12</v>
      </c>
      <c r="G37" s="46">
        <v>327.27999999999997</v>
      </c>
      <c r="H37" s="46">
        <v>333.83</v>
      </c>
      <c r="I37" s="46">
        <v>340.52</v>
      </c>
      <c r="J37" s="46">
        <v>340.52</v>
      </c>
      <c r="K37" s="47">
        <v>353.94</v>
      </c>
      <c r="L37" s="47">
        <v>353.94</v>
      </c>
      <c r="M37" s="46">
        <v>298.10000000000002</v>
      </c>
    </row>
    <row r="38" spans="1:26" ht="12.75" customHeight="1">
      <c r="A38" s="5">
        <v>36</v>
      </c>
      <c r="B38" s="57">
        <v>85.03</v>
      </c>
      <c r="C38" s="57">
        <v>102.96</v>
      </c>
      <c r="D38" s="57">
        <v>132.97</v>
      </c>
      <c r="E38" s="57">
        <v>206.5</v>
      </c>
      <c r="F38" s="57">
        <v>312.27999999999997</v>
      </c>
      <c r="G38" s="57">
        <v>335.71</v>
      </c>
      <c r="H38" s="57">
        <v>342.45</v>
      </c>
      <c r="I38" s="57">
        <v>349.3</v>
      </c>
      <c r="J38" s="57">
        <v>349.3</v>
      </c>
      <c r="K38" s="58">
        <v>361.57</v>
      </c>
      <c r="L38" s="58">
        <v>361.57</v>
      </c>
      <c r="M38" s="57">
        <v>311.14999999999998</v>
      </c>
    </row>
    <row r="39" spans="1:26" ht="12.75" customHeight="1">
      <c r="A39" s="9">
        <v>37</v>
      </c>
      <c r="B39" s="42">
        <v>87.43</v>
      </c>
      <c r="C39" s="42">
        <v>106.04</v>
      </c>
      <c r="D39" s="42">
        <v>136.19</v>
      </c>
      <c r="E39" s="42">
        <v>211.83</v>
      </c>
      <c r="F39" s="42">
        <v>320.77</v>
      </c>
      <c r="G39" s="42">
        <v>347.65</v>
      </c>
      <c r="H39" s="42">
        <v>358.49</v>
      </c>
      <c r="I39" s="42">
        <v>377.23</v>
      </c>
      <c r="J39" s="42">
        <v>377.23</v>
      </c>
      <c r="K39" s="43">
        <v>385.25</v>
      </c>
      <c r="L39" s="43">
        <v>385.25</v>
      </c>
      <c r="M39" s="42">
        <v>319</v>
      </c>
    </row>
    <row r="40" spans="1:26" ht="12.75" customHeight="1">
      <c r="A40" s="13">
        <v>38</v>
      </c>
      <c r="B40" s="44">
        <v>88.9</v>
      </c>
      <c r="C40" s="44">
        <v>107.65</v>
      </c>
      <c r="D40" s="44">
        <v>139.63</v>
      </c>
      <c r="E40" s="44">
        <v>216.11</v>
      </c>
      <c r="F40" s="44">
        <v>328.94</v>
      </c>
      <c r="G40" s="44">
        <v>356.68</v>
      </c>
      <c r="H40" s="44">
        <v>368.27</v>
      </c>
      <c r="I40" s="44">
        <v>380.03</v>
      </c>
      <c r="J40" s="44">
        <v>380.03</v>
      </c>
      <c r="K40" s="45">
        <v>387.64</v>
      </c>
      <c r="L40" s="45">
        <v>387.64</v>
      </c>
      <c r="M40" s="44">
        <v>326.55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3">
        <v>39</v>
      </c>
      <c r="B41" s="44">
        <v>91.71</v>
      </c>
      <c r="C41" s="44">
        <v>110.5</v>
      </c>
      <c r="D41" s="44">
        <v>141.99</v>
      </c>
      <c r="E41" s="44">
        <v>220.42</v>
      </c>
      <c r="F41" s="44">
        <v>336.91</v>
      </c>
      <c r="G41" s="44">
        <v>366.17</v>
      </c>
      <c r="H41" s="44">
        <v>377.85</v>
      </c>
      <c r="I41" s="44">
        <v>396.94</v>
      </c>
      <c r="J41" s="44">
        <v>396.94</v>
      </c>
      <c r="K41" s="45">
        <v>414.94</v>
      </c>
      <c r="L41" s="45">
        <v>414.94</v>
      </c>
      <c r="M41" s="44">
        <v>334.15</v>
      </c>
    </row>
    <row r="42" spans="1:26" ht="12.75" customHeight="1">
      <c r="A42" s="16">
        <v>40</v>
      </c>
      <c r="B42" s="46">
        <v>92</v>
      </c>
      <c r="C42" s="46">
        <v>111.72</v>
      </c>
      <c r="D42" s="46">
        <v>145.36000000000001</v>
      </c>
      <c r="E42" s="46">
        <v>225.39</v>
      </c>
      <c r="F42" s="46">
        <v>344.55</v>
      </c>
      <c r="G42" s="46">
        <v>375.15</v>
      </c>
      <c r="H42" s="46">
        <v>386.2</v>
      </c>
      <c r="I42" s="46">
        <v>404.86</v>
      </c>
      <c r="J42" s="46">
        <v>404.86</v>
      </c>
      <c r="K42" s="47">
        <v>418.97</v>
      </c>
      <c r="L42" s="47">
        <v>418.97</v>
      </c>
      <c r="M42" s="46">
        <v>340.95</v>
      </c>
    </row>
    <row r="43" spans="1:26" ht="12.75" customHeight="1">
      <c r="A43" s="19">
        <v>41</v>
      </c>
      <c r="B43" s="48">
        <v>95.56</v>
      </c>
      <c r="C43" s="48">
        <v>114.42</v>
      </c>
      <c r="D43" s="49">
        <v>147.06</v>
      </c>
      <c r="E43" s="49">
        <v>229.52</v>
      </c>
      <c r="F43" s="49">
        <v>352.34</v>
      </c>
      <c r="G43" s="49">
        <v>384.94</v>
      </c>
      <c r="H43" s="49">
        <v>396.63</v>
      </c>
      <c r="I43" s="49">
        <v>413.7</v>
      </c>
      <c r="J43" s="49">
        <v>413.7</v>
      </c>
      <c r="K43" s="50">
        <v>428.65</v>
      </c>
      <c r="L43" s="50">
        <v>428.65</v>
      </c>
      <c r="M43" s="49">
        <v>348.2</v>
      </c>
    </row>
    <row r="44" spans="1:26" ht="12.75" customHeight="1">
      <c r="A44" s="23">
        <v>42</v>
      </c>
      <c r="B44" s="51">
        <v>98.05</v>
      </c>
      <c r="C44" s="51">
        <v>117.19</v>
      </c>
      <c r="D44" s="52">
        <v>150.05000000000001</v>
      </c>
      <c r="E44" s="52">
        <v>234.37</v>
      </c>
      <c r="F44" s="52">
        <v>359.89</v>
      </c>
      <c r="G44" s="52">
        <v>394.43</v>
      </c>
      <c r="H44" s="52">
        <v>406.59</v>
      </c>
      <c r="I44" s="52">
        <v>421.18</v>
      </c>
      <c r="J44" s="52">
        <v>421.18</v>
      </c>
      <c r="K44" s="53">
        <v>429.62</v>
      </c>
      <c r="L44" s="53">
        <v>429.62</v>
      </c>
      <c r="M44" s="52">
        <v>356.2</v>
      </c>
    </row>
    <row r="45" spans="1:26" ht="12.75" customHeight="1">
      <c r="A45" s="19">
        <v>43</v>
      </c>
      <c r="B45" s="51">
        <v>99.17</v>
      </c>
      <c r="C45" s="51">
        <v>119.63</v>
      </c>
      <c r="D45" s="52">
        <v>152.34</v>
      </c>
      <c r="E45" s="52">
        <v>238.28</v>
      </c>
      <c r="F45" s="52">
        <v>368.36</v>
      </c>
      <c r="G45" s="52">
        <v>401.74</v>
      </c>
      <c r="H45" s="52">
        <v>415.08</v>
      </c>
      <c r="I45" s="52">
        <v>431.02</v>
      </c>
      <c r="J45" s="52">
        <v>431.02</v>
      </c>
      <c r="K45" s="53">
        <v>448.68</v>
      </c>
      <c r="L45" s="53">
        <v>448.68</v>
      </c>
      <c r="M45" s="52">
        <v>363.2</v>
      </c>
    </row>
    <row r="46" spans="1:26" ht="12.75" customHeight="1">
      <c r="A46" s="19">
        <v>44</v>
      </c>
      <c r="B46" s="51">
        <v>101.79</v>
      </c>
      <c r="C46" s="51">
        <v>121.1</v>
      </c>
      <c r="D46" s="52">
        <v>155.79</v>
      </c>
      <c r="E46" s="52">
        <v>242.53</v>
      </c>
      <c r="F46" s="52">
        <v>375.53</v>
      </c>
      <c r="G46" s="52">
        <v>408.57</v>
      </c>
      <c r="H46" s="52">
        <v>423.25</v>
      </c>
      <c r="I46" s="52">
        <v>439.59</v>
      </c>
      <c r="J46" s="52">
        <v>439.59</v>
      </c>
      <c r="K46" s="53">
        <v>456.22</v>
      </c>
      <c r="L46" s="53">
        <v>456.22</v>
      </c>
      <c r="M46" s="52">
        <v>370</v>
      </c>
    </row>
    <row r="47" spans="1:26" ht="12.75" customHeight="1">
      <c r="A47" s="27">
        <v>45</v>
      </c>
      <c r="B47" s="54">
        <v>102.06</v>
      </c>
      <c r="C47" s="54">
        <v>124.07</v>
      </c>
      <c r="D47" s="55">
        <v>158.06</v>
      </c>
      <c r="E47" s="55">
        <v>245.89</v>
      </c>
      <c r="F47" s="55">
        <v>382.37</v>
      </c>
      <c r="G47" s="55">
        <v>416.22</v>
      </c>
      <c r="H47" s="55">
        <v>429.56</v>
      </c>
      <c r="I47" s="55">
        <v>446</v>
      </c>
      <c r="J47" s="55">
        <v>446</v>
      </c>
      <c r="K47" s="56">
        <v>460.29</v>
      </c>
      <c r="L47" s="56">
        <v>460.29</v>
      </c>
      <c r="M47" s="55">
        <v>375.6</v>
      </c>
    </row>
    <row r="48" spans="1:26" ht="12.75" customHeight="1">
      <c r="A48" s="13">
        <v>46</v>
      </c>
      <c r="B48" s="42">
        <v>105.39</v>
      </c>
      <c r="C48" s="42">
        <v>125.45</v>
      </c>
      <c r="D48" s="42">
        <v>161.24</v>
      </c>
      <c r="E48" s="42">
        <v>248.41</v>
      </c>
      <c r="F48" s="42">
        <v>388.84</v>
      </c>
      <c r="G48" s="42">
        <v>422.94</v>
      </c>
      <c r="H48" s="42">
        <v>438.83</v>
      </c>
      <c r="I48" s="42">
        <v>448.17</v>
      </c>
      <c r="J48" s="42">
        <v>448.17</v>
      </c>
      <c r="K48" s="43">
        <v>460.71</v>
      </c>
      <c r="L48" s="43">
        <v>460.71</v>
      </c>
      <c r="M48" s="42">
        <v>384.7</v>
      </c>
    </row>
    <row r="49" spans="1:13" ht="12.75" customHeight="1">
      <c r="A49" s="13">
        <v>47</v>
      </c>
      <c r="B49" s="44">
        <v>105.73</v>
      </c>
      <c r="C49" s="44">
        <v>127.66</v>
      </c>
      <c r="D49" s="44">
        <v>163.93</v>
      </c>
      <c r="E49" s="44">
        <v>248.73</v>
      </c>
      <c r="F49" s="44">
        <v>389.54</v>
      </c>
      <c r="G49" s="44">
        <v>423.63</v>
      </c>
      <c r="H49" s="44">
        <v>439.76</v>
      </c>
      <c r="I49" s="44">
        <v>448.57</v>
      </c>
      <c r="J49" s="44">
        <v>448.57</v>
      </c>
      <c r="K49" s="45">
        <v>461.03</v>
      </c>
      <c r="L49" s="45">
        <v>461.03</v>
      </c>
      <c r="M49" s="44">
        <v>391.95</v>
      </c>
    </row>
    <row r="50" spans="1:13" ht="12.75" customHeight="1">
      <c r="A50" s="13">
        <v>48</v>
      </c>
      <c r="B50" s="44">
        <v>106.92</v>
      </c>
      <c r="C50" s="44">
        <v>130.80000000000001</v>
      </c>
      <c r="D50" s="44">
        <v>166.84</v>
      </c>
      <c r="E50" s="44">
        <v>249.03</v>
      </c>
      <c r="F50" s="44">
        <v>403.49</v>
      </c>
      <c r="G50" s="44">
        <v>433.86</v>
      </c>
      <c r="H50" s="44">
        <v>443.26</v>
      </c>
      <c r="I50" s="44">
        <v>452.14</v>
      </c>
      <c r="J50" s="44">
        <v>452.14</v>
      </c>
      <c r="K50" s="45">
        <v>461.34</v>
      </c>
      <c r="L50" s="45">
        <v>461.34</v>
      </c>
      <c r="M50" s="44">
        <v>398.75</v>
      </c>
    </row>
    <row r="51" spans="1:13" ht="12.75" customHeight="1">
      <c r="A51" s="13">
        <v>49</v>
      </c>
      <c r="B51" s="44">
        <v>107.2</v>
      </c>
      <c r="C51" s="44">
        <v>131.32</v>
      </c>
      <c r="D51" s="44">
        <v>167.23</v>
      </c>
      <c r="E51" s="44">
        <v>249.31</v>
      </c>
      <c r="F51" s="44">
        <v>410.35</v>
      </c>
      <c r="G51" s="44">
        <v>434.9</v>
      </c>
      <c r="H51" s="44">
        <v>443.61</v>
      </c>
      <c r="I51" s="44">
        <v>452.5</v>
      </c>
      <c r="J51" s="44">
        <v>452.5</v>
      </c>
      <c r="K51" s="45">
        <v>461.55</v>
      </c>
      <c r="L51" s="45">
        <v>461.55</v>
      </c>
      <c r="M51" s="44">
        <v>406.3</v>
      </c>
    </row>
    <row r="52" spans="1:13" ht="12.75" customHeight="1">
      <c r="A52" s="13">
        <v>50</v>
      </c>
      <c r="B52" s="46">
        <v>107.5</v>
      </c>
      <c r="C52" s="46">
        <v>133.62</v>
      </c>
      <c r="D52" s="46">
        <v>174.84</v>
      </c>
      <c r="E52" s="46">
        <v>249.79</v>
      </c>
      <c r="F52" s="46">
        <v>417.37</v>
      </c>
      <c r="G52" s="46">
        <v>435.6</v>
      </c>
      <c r="H52" s="46">
        <v>444.32</v>
      </c>
      <c r="I52" s="46">
        <v>453.23</v>
      </c>
      <c r="J52" s="46">
        <v>453.23</v>
      </c>
      <c r="K52" s="47">
        <v>462.3</v>
      </c>
      <c r="L52" s="47">
        <v>462.3</v>
      </c>
      <c r="M52" s="46">
        <v>406.4</v>
      </c>
    </row>
    <row r="53" spans="1:13" ht="12.75" customHeight="1">
      <c r="A53" s="31">
        <v>51</v>
      </c>
      <c r="B53" s="48">
        <v>108.5</v>
      </c>
      <c r="C53" s="48">
        <v>134.19999999999999</v>
      </c>
      <c r="D53" s="49">
        <v>178.72</v>
      </c>
      <c r="E53" s="49">
        <v>259.22000000000003</v>
      </c>
      <c r="F53" s="49">
        <v>439.08</v>
      </c>
      <c r="G53" s="49">
        <v>449.5</v>
      </c>
      <c r="H53" s="49">
        <v>458.5</v>
      </c>
      <c r="I53" s="49">
        <v>467.68</v>
      </c>
      <c r="J53" s="49">
        <v>467.68</v>
      </c>
      <c r="K53" s="50">
        <v>477.04</v>
      </c>
      <c r="L53" s="50">
        <v>477.04</v>
      </c>
      <c r="M53" s="49">
        <v>420.1</v>
      </c>
    </row>
    <row r="54" spans="1:13" ht="12.75" customHeight="1">
      <c r="A54" s="19">
        <v>52</v>
      </c>
      <c r="B54" s="51">
        <v>117.26</v>
      </c>
      <c r="C54" s="51">
        <v>141.41</v>
      </c>
      <c r="D54" s="52">
        <v>184.45</v>
      </c>
      <c r="E54" s="52">
        <v>273.48</v>
      </c>
      <c r="F54" s="52">
        <v>445.76</v>
      </c>
      <c r="G54" s="52">
        <v>481.57</v>
      </c>
      <c r="H54" s="52">
        <v>492.78</v>
      </c>
      <c r="I54" s="52">
        <v>502.64</v>
      </c>
      <c r="J54" s="52">
        <v>502.64</v>
      </c>
      <c r="K54" s="53">
        <v>518.03</v>
      </c>
      <c r="L54" s="53">
        <v>518.03</v>
      </c>
      <c r="M54" s="52">
        <v>421</v>
      </c>
    </row>
    <row r="55" spans="1:13" ht="12.75" customHeight="1">
      <c r="A55" s="19">
        <v>53</v>
      </c>
      <c r="B55" s="51">
        <v>119.61</v>
      </c>
      <c r="C55" s="51">
        <v>144.28</v>
      </c>
      <c r="D55" s="52">
        <v>187.05</v>
      </c>
      <c r="E55" s="52">
        <v>275.49</v>
      </c>
      <c r="F55" s="52">
        <v>446.44</v>
      </c>
      <c r="G55" s="52">
        <v>486.49</v>
      </c>
      <c r="H55" s="52">
        <v>496.22</v>
      </c>
      <c r="I55" s="52">
        <v>506.15</v>
      </c>
      <c r="J55" s="52">
        <v>506.15</v>
      </c>
      <c r="K55" s="53">
        <v>522.13</v>
      </c>
      <c r="L55" s="53">
        <v>522.13</v>
      </c>
      <c r="M55" s="52">
        <v>427.25</v>
      </c>
    </row>
    <row r="56" spans="1:13" ht="12.75" customHeight="1">
      <c r="A56" s="19">
        <v>54</v>
      </c>
      <c r="B56" s="51">
        <v>121.3</v>
      </c>
      <c r="C56" s="51">
        <v>146.03</v>
      </c>
      <c r="D56" s="52">
        <v>188.57</v>
      </c>
      <c r="E56" s="52">
        <v>276.14</v>
      </c>
      <c r="F56" s="52">
        <v>447.41</v>
      </c>
      <c r="G56" s="52">
        <v>487.09</v>
      </c>
      <c r="H56" s="52">
        <v>496.85</v>
      </c>
      <c r="I56" s="52">
        <v>506.81</v>
      </c>
      <c r="J56" s="52">
        <v>506.81</v>
      </c>
      <c r="K56" s="53">
        <v>522.77</v>
      </c>
      <c r="L56" s="53">
        <v>522.77</v>
      </c>
      <c r="M56" s="52">
        <v>432.55</v>
      </c>
    </row>
    <row r="57" spans="1:13" ht="12.75" customHeight="1">
      <c r="A57" s="19">
        <v>55</v>
      </c>
      <c r="B57" s="54">
        <v>123.54</v>
      </c>
      <c r="C57" s="54">
        <v>146.43</v>
      </c>
      <c r="D57" s="55">
        <v>188.97</v>
      </c>
      <c r="E57" s="55">
        <v>276.77</v>
      </c>
      <c r="F57" s="55">
        <v>466.56</v>
      </c>
      <c r="G57" s="55">
        <v>487.7</v>
      </c>
      <c r="H57" s="55">
        <v>497.46</v>
      </c>
      <c r="I57" s="55">
        <v>507.41</v>
      </c>
      <c r="J57" s="55">
        <v>507.41</v>
      </c>
      <c r="K57" s="56">
        <v>523.34</v>
      </c>
      <c r="L57" s="56">
        <v>523.34</v>
      </c>
      <c r="M57" s="55">
        <v>445.65</v>
      </c>
    </row>
    <row r="58" spans="1:13" ht="12.75" customHeight="1">
      <c r="A58" s="32">
        <v>56</v>
      </c>
      <c r="B58" s="42">
        <v>124.52</v>
      </c>
      <c r="C58" s="42">
        <v>147.19</v>
      </c>
      <c r="D58" s="42">
        <v>192.23</v>
      </c>
      <c r="E58" s="42">
        <v>282.77</v>
      </c>
      <c r="F58" s="42">
        <v>468.5</v>
      </c>
      <c r="G58" s="42">
        <v>488.3</v>
      </c>
      <c r="H58" s="42">
        <v>498.08</v>
      </c>
      <c r="I58" s="42">
        <v>508.06</v>
      </c>
      <c r="J58" s="42">
        <v>508.06</v>
      </c>
      <c r="K58" s="43">
        <v>523.89</v>
      </c>
      <c r="L58" s="43">
        <v>523.89</v>
      </c>
      <c r="M58" s="42">
        <v>446.85</v>
      </c>
    </row>
    <row r="59" spans="1:13" ht="12.75" customHeight="1">
      <c r="A59" s="13">
        <v>57</v>
      </c>
      <c r="B59" s="44">
        <v>124.92</v>
      </c>
      <c r="C59" s="44">
        <v>153.52000000000001</v>
      </c>
      <c r="D59" s="44">
        <v>198.13</v>
      </c>
      <c r="E59" s="44">
        <v>293.23</v>
      </c>
      <c r="F59" s="44">
        <v>483.75</v>
      </c>
      <c r="G59" s="44">
        <v>498.16</v>
      </c>
      <c r="H59" s="44">
        <v>508.14</v>
      </c>
      <c r="I59" s="44">
        <v>518.30999999999995</v>
      </c>
      <c r="J59" s="44">
        <v>518.30999999999995</v>
      </c>
      <c r="K59" s="45">
        <v>533.26</v>
      </c>
      <c r="L59" s="45">
        <v>533.26</v>
      </c>
      <c r="M59" s="44">
        <v>455</v>
      </c>
    </row>
    <row r="60" spans="1:13" ht="12.75" customHeight="1">
      <c r="A60" s="13">
        <v>58</v>
      </c>
      <c r="B60" s="44">
        <v>125.69</v>
      </c>
      <c r="C60" s="44">
        <v>154.16999999999999</v>
      </c>
      <c r="D60" s="44">
        <v>198.72</v>
      </c>
      <c r="E60" s="44">
        <v>294.82</v>
      </c>
      <c r="F60" s="44">
        <v>489.36</v>
      </c>
      <c r="G60" s="44">
        <v>499.16</v>
      </c>
      <c r="H60" s="44">
        <v>509.15</v>
      </c>
      <c r="I60" s="44">
        <v>519.34</v>
      </c>
      <c r="J60" s="44">
        <v>519.34</v>
      </c>
      <c r="K60" s="45">
        <v>534.21</v>
      </c>
      <c r="L60" s="45">
        <v>534.21</v>
      </c>
      <c r="M60" s="44">
        <v>462.6</v>
      </c>
    </row>
    <row r="61" spans="1:13" ht="12.75" customHeight="1">
      <c r="A61" s="13">
        <v>59</v>
      </c>
      <c r="B61" s="44">
        <v>126.09</v>
      </c>
      <c r="C61" s="44">
        <v>155.09</v>
      </c>
      <c r="D61" s="44">
        <v>205.59</v>
      </c>
      <c r="E61" s="44">
        <v>295.47000000000003</v>
      </c>
      <c r="F61" s="44">
        <v>495.45</v>
      </c>
      <c r="G61" s="44">
        <v>505.37</v>
      </c>
      <c r="H61" s="44">
        <v>515.49</v>
      </c>
      <c r="I61" s="44">
        <v>525.80999999999995</v>
      </c>
      <c r="J61" s="44">
        <v>525.80999999999995</v>
      </c>
      <c r="K61" s="45">
        <v>536.34</v>
      </c>
      <c r="L61" s="45">
        <v>536.34</v>
      </c>
      <c r="M61" s="44">
        <v>468.9</v>
      </c>
    </row>
    <row r="62" spans="1:13" ht="12.75" customHeight="1">
      <c r="A62" s="16">
        <v>60</v>
      </c>
      <c r="B62" s="46">
        <v>126.85</v>
      </c>
      <c r="C62" s="46">
        <v>155.66999999999999</v>
      </c>
      <c r="D62" s="46">
        <v>206.75</v>
      </c>
      <c r="E62" s="46">
        <v>303.7</v>
      </c>
      <c r="F62" s="46">
        <v>503.07</v>
      </c>
      <c r="G62" s="46">
        <v>516.58000000000004</v>
      </c>
      <c r="H62" s="46">
        <v>526.91999999999996</v>
      </c>
      <c r="I62" s="46">
        <v>537.47</v>
      </c>
      <c r="J62" s="46">
        <v>537.47</v>
      </c>
      <c r="K62" s="47">
        <v>548.25</v>
      </c>
      <c r="L62" s="47">
        <v>548.25</v>
      </c>
      <c r="M62" s="46">
        <v>474.55</v>
      </c>
    </row>
    <row r="63" spans="1:13" ht="12.75" customHeight="1">
      <c r="A63" s="19">
        <v>61</v>
      </c>
      <c r="B63" s="48">
        <v>127.43</v>
      </c>
      <c r="C63" s="48">
        <v>156.27000000000001</v>
      </c>
      <c r="D63" s="49">
        <v>207.34</v>
      </c>
      <c r="E63" s="49">
        <v>304.54000000000002</v>
      </c>
      <c r="F63" s="49">
        <v>510.39</v>
      </c>
      <c r="G63" s="49">
        <v>520.82000000000005</v>
      </c>
      <c r="H63" s="49">
        <v>531.28</v>
      </c>
      <c r="I63" s="49">
        <v>541.92999999999995</v>
      </c>
      <c r="J63" s="49">
        <v>541.92999999999995</v>
      </c>
      <c r="K63" s="50">
        <v>552.77</v>
      </c>
      <c r="L63" s="50">
        <v>552.77</v>
      </c>
      <c r="M63" s="49">
        <v>483.05</v>
      </c>
    </row>
    <row r="64" spans="1:13" ht="12.75" customHeight="1">
      <c r="A64" s="23">
        <v>62</v>
      </c>
      <c r="B64" s="51">
        <v>128</v>
      </c>
      <c r="C64" s="51">
        <v>156.84</v>
      </c>
      <c r="D64" s="52">
        <v>207.95</v>
      </c>
      <c r="E64" s="52">
        <v>305.19</v>
      </c>
      <c r="F64" s="52">
        <v>511.32</v>
      </c>
      <c r="G64" s="52">
        <v>521.79</v>
      </c>
      <c r="H64" s="52">
        <v>532.23</v>
      </c>
      <c r="I64" s="52">
        <v>542.9</v>
      </c>
      <c r="J64" s="52">
        <v>542.9</v>
      </c>
      <c r="K64" s="53">
        <v>553.77</v>
      </c>
      <c r="L64" s="53">
        <v>553.77</v>
      </c>
      <c r="M64" s="52">
        <v>498.8</v>
      </c>
    </row>
    <row r="65" spans="1:26" ht="12.75" customHeight="1">
      <c r="A65" s="23">
        <v>63</v>
      </c>
      <c r="B65" s="51">
        <v>128.4</v>
      </c>
      <c r="C65" s="51">
        <v>157.41999999999999</v>
      </c>
      <c r="D65" s="52">
        <v>208.35</v>
      </c>
      <c r="E65" s="52">
        <v>311.49</v>
      </c>
      <c r="F65" s="52">
        <v>529.76</v>
      </c>
      <c r="G65" s="52">
        <v>540.38</v>
      </c>
      <c r="H65" s="52">
        <v>551.20000000000005</v>
      </c>
      <c r="I65" s="52">
        <v>562.24</v>
      </c>
      <c r="J65" s="52">
        <v>562.24</v>
      </c>
      <c r="K65" s="53">
        <v>573.49</v>
      </c>
      <c r="L65" s="53">
        <v>573.49</v>
      </c>
      <c r="M65" s="52">
        <v>507.25</v>
      </c>
    </row>
    <row r="66" spans="1:26" ht="12.75" customHeight="1">
      <c r="A66" s="23">
        <v>64</v>
      </c>
      <c r="B66" s="51">
        <v>135.36000000000001</v>
      </c>
      <c r="C66" s="51">
        <v>160.51</v>
      </c>
      <c r="D66" s="52">
        <v>208.75</v>
      </c>
      <c r="E66" s="52">
        <v>312.12</v>
      </c>
      <c r="F66" s="52">
        <v>531.61</v>
      </c>
      <c r="G66" s="52">
        <v>542.25</v>
      </c>
      <c r="H66" s="52">
        <v>553.11</v>
      </c>
      <c r="I66" s="52">
        <v>564.17999999999995</v>
      </c>
      <c r="J66" s="52">
        <v>564.17999999999995</v>
      </c>
      <c r="K66" s="53">
        <v>575.48</v>
      </c>
      <c r="L66" s="53">
        <v>575.48</v>
      </c>
      <c r="M66" s="52">
        <v>507.6</v>
      </c>
    </row>
    <row r="67" spans="1:26" ht="12.75" customHeight="1">
      <c r="A67" s="23">
        <v>65</v>
      </c>
      <c r="B67" s="54">
        <v>141.72999999999999</v>
      </c>
      <c r="C67" s="54">
        <v>164.76</v>
      </c>
      <c r="D67" s="55">
        <v>209.15</v>
      </c>
      <c r="E67" s="55">
        <v>320.41000000000003</v>
      </c>
      <c r="F67" s="55">
        <v>532.19000000000005</v>
      </c>
      <c r="G67" s="55">
        <v>542.84</v>
      </c>
      <c r="H67" s="55">
        <v>553.70000000000005</v>
      </c>
      <c r="I67" s="55">
        <v>564.79</v>
      </c>
      <c r="J67" s="55">
        <v>564.79</v>
      </c>
      <c r="K67" s="56">
        <v>576.1</v>
      </c>
      <c r="L67" s="56">
        <v>576.1</v>
      </c>
      <c r="M67" s="55">
        <v>516.45000000000005</v>
      </c>
    </row>
    <row r="68" spans="1:26" ht="12.75" customHeight="1">
      <c r="A68" s="9">
        <v>66</v>
      </c>
      <c r="B68" s="42">
        <v>142.37</v>
      </c>
      <c r="C68" s="42">
        <v>165.35</v>
      </c>
      <c r="D68" s="42">
        <v>212.1</v>
      </c>
      <c r="E68" s="42">
        <v>321.25</v>
      </c>
      <c r="F68" s="42">
        <v>533.11</v>
      </c>
      <c r="G68" s="42">
        <v>543.78</v>
      </c>
      <c r="H68" s="42">
        <v>554.67999999999995</v>
      </c>
      <c r="I68" s="42">
        <v>566.20000000000005</v>
      </c>
      <c r="J68" s="42">
        <v>566.20000000000005</v>
      </c>
      <c r="K68" s="43">
        <v>577.53</v>
      </c>
      <c r="L68" s="43">
        <v>577.53</v>
      </c>
      <c r="M68" s="42">
        <v>525.1</v>
      </c>
    </row>
    <row r="69" spans="1:26" ht="12.75" customHeight="1">
      <c r="A69" s="33">
        <v>67</v>
      </c>
      <c r="B69" s="44">
        <v>142.94999999999999</v>
      </c>
      <c r="C69" s="44">
        <v>168.66</v>
      </c>
      <c r="D69" s="44">
        <v>212.64</v>
      </c>
      <c r="E69" s="44">
        <v>321.88</v>
      </c>
      <c r="F69" s="44">
        <v>533.70000000000005</v>
      </c>
      <c r="G69" s="44">
        <v>544.38</v>
      </c>
      <c r="H69" s="44">
        <v>555.27</v>
      </c>
      <c r="I69" s="44">
        <v>566.6</v>
      </c>
      <c r="J69" s="44">
        <v>566.6</v>
      </c>
      <c r="K69" s="45">
        <v>577.94000000000005</v>
      </c>
      <c r="L69" s="45">
        <v>577.94000000000005</v>
      </c>
      <c r="M69" s="44">
        <v>527.15</v>
      </c>
    </row>
    <row r="70" spans="1:26" ht="12.75" customHeight="1">
      <c r="A70" s="33">
        <v>68</v>
      </c>
      <c r="B70" s="44">
        <v>143.53</v>
      </c>
      <c r="C70" s="44">
        <v>170.01</v>
      </c>
      <c r="D70" s="44">
        <v>215.5</v>
      </c>
      <c r="E70" s="44">
        <v>322.52</v>
      </c>
      <c r="F70" s="44">
        <v>534.28</v>
      </c>
      <c r="G70" s="44">
        <v>544.98</v>
      </c>
      <c r="H70" s="44">
        <v>555.88</v>
      </c>
      <c r="I70" s="44">
        <v>567</v>
      </c>
      <c r="J70" s="44">
        <v>567</v>
      </c>
      <c r="K70" s="45">
        <v>578.34</v>
      </c>
      <c r="L70" s="45">
        <v>578.34</v>
      </c>
      <c r="M70" s="44">
        <v>540.85</v>
      </c>
    </row>
    <row r="71" spans="1:26" ht="12.75" customHeight="1">
      <c r="A71" s="33">
        <v>69</v>
      </c>
      <c r="B71" s="44">
        <v>144.12</v>
      </c>
      <c r="C71" s="44">
        <v>173.77</v>
      </c>
      <c r="D71" s="44">
        <v>219.14</v>
      </c>
      <c r="E71" s="44">
        <v>323.92</v>
      </c>
      <c r="F71" s="44">
        <v>536.1</v>
      </c>
      <c r="G71" s="44">
        <v>546.84</v>
      </c>
      <c r="H71" s="44">
        <v>557.78</v>
      </c>
      <c r="I71" s="44">
        <v>568.95000000000005</v>
      </c>
      <c r="J71" s="44">
        <v>568.95000000000005</v>
      </c>
      <c r="K71" s="45">
        <v>580.34</v>
      </c>
      <c r="L71" s="45">
        <v>580.34</v>
      </c>
      <c r="M71" s="44">
        <v>548.79999999999995</v>
      </c>
    </row>
    <row r="72" spans="1:26" ht="12.75" customHeight="1">
      <c r="A72" s="16">
        <v>70</v>
      </c>
      <c r="B72" s="46">
        <v>144.69</v>
      </c>
      <c r="C72" s="46">
        <v>186.56</v>
      </c>
      <c r="D72" s="46">
        <v>223.66</v>
      </c>
      <c r="E72" s="46">
        <v>351.39</v>
      </c>
      <c r="F72" s="46">
        <v>564.26</v>
      </c>
      <c r="G72" s="46">
        <v>582.25</v>
      </c>
      <c r="H72" s="46">
        <v>593.9</v>
      </c>
      <c r="I72" s="46">
        <v>605.79</v>
      </c>
      <c r="J72" s="46">
        <v>605.79</v>
      </c>
      <c r="K72" s="47">
        <v>620.32000000000005</v>
      </c>
      <c r="L72" s="47">
        <v>620.32000000000005</v>
      </c>
      <c r="M72" s="46">
        <v>555.45000000000005</v>
      </c>
    </row>
    <row r="73" spans="1:26" ht="12.75" customHeight="1">
      <c r="A73" s="35">
        <v>71</v>
      </c>
      <c r="B73" s="48">
        <v>153.47999999999999</v>
      </c>
      <c r="C73" s="48">
        <v>191.96</v>
      </c>
      <c r="D73" s="49">
        <v>227.6</v>
      </c>
      <c r="E73" s="49">
        <v>354.18</v>
      </c>
      <c r="F73" s="49">
        <v>567.09</v>
      </c>
      <c r="G73" s="49">
        <v>588.05999999999995</v>
      </c>
      <c r="H73" s="49">
        <v>599.84</v>
      </c>
      <c r="I73" s="49">
        <v>611.86</v>
      </c>
      <c r="J73" s="49">
        <v>611.86</v>
      </c>
      <c r="K73" s="50">
        <v>624.32000000000005</v>
      </c>
      <c r="L73" s="50">
        <v>624.32000000000005</v>
      </c>
      <c r="M73" s="49">
        <v>556.95000000000005</v>
      </c>
    </row>
    <row r="74" spans="1:26" ht="12.75" customHeight="1">
      <c r="A74" s="23">
        <v>72</v>
      </c>
      <c r="B74" s="51">
        <v>154.37</v>
      </c>
      <c r="C74" s="51">
        <v>192.5</v>
      </c>
      <c r="D74" s="52">
        <v>228</v>
      </c>
      <c r="E74" s="52">
        <v>354.79</v>
      </c>
      <c r="F74" s="52">
        <v>576.72</v>
      </c>
      <c r="G74" s="52">
        <v>588.65</v>
      </c>
      <c r="H74" s="52">
        <v>600.44000000000005</v>
      </c>
      <c r="I74" s="52">
        <v>612.47</v>
      </c>
      <c r="J74" s="52">
        <v>612.47</v>
      </c>
      <c r="K74" s="53">
        <v>624.72</v>
      </c>
      <c r="L74" s="53">
        <v>624.72</v>
      </c>
      <c r="M74" s="52">
        <v>558.20000000000005</v>
      </c>
    </row>
    <row r="75" spans="1:26" ht="12.75" customHeight="1">
      <c r="A75" s="23">
        <v>73</v>
      </c>
      <c r="B75" s="51">
        <v>154.88999999999999</v>
      </c>
      <c r="C75" s="51">
        <v>193.15</v>
      </c>
      <c r="D75" s="52">
        <v>228.4</v>
      </c>
      <c r="E75" s="52">
        <v>366.82</v>
      </c>
      <c r="F75" s="52">
        <v>577.69000000000005</v>
      </c>
      <c r="G75" s="52">
        <v>589.25</v>
      </c>
      <c r="H75" s="52">
        <v>601.04999999999995</v>
      </c>
      <c r="I75" s="52">
        <v>613.08000000000004</v>
      </c>
      <c r="J75" s="52">
        <v>613.08000000000004</v>
      </c>
      <c r="K75" s="53">
        <v>625.35</v>
      </c>
      <c r="L75" s="53">
        <v>625.35</v>
      </c>
      <c r="M75" s="52">
        <v>564.1</v>
      </c>
    </row>
    <row r="76" spans="1:26" ht="12.75" customHeight="1">
      <c r="A76" s="23">
        <v>74</v>
      </c>
      <c r="B76" s="51">
        <v>155.43</v>
      </c>
      <c r="C76" s="51">
        <v>193.74</v>
      </c>
      <c r="D76" s="52">
        <v>228.8</v>
      </c>
      <c r="E76" s="52">
        <v>368.03</v>
      </c>
      <c r="F76" s="52">
        <v>578.5</v>
      </c>
      <c r="G76" s="52">
        <v>590.62</v>
      </c>
      <c r="H76" s="52">
        <v>602.44000000000005</v>
      </c>
      <c r="I76" s="52">
        <v>614.5</v>
      </c>
      <c r="J76" s="52">
        <v>614.5</v>
      </c>
      <c r="K76" s="53">
        <v>626.79999999999995</v>
      </c>
      <c r="L76" s="53">
        <v>626.79999999999995</v>
      </c>
      <c r="M76" s="52">
        <v>603.95000000000005</v>
      </c>
    </row>
    <row r="77" spans="1:26" ht="12.75" customHeight="1">
      <c r="A77" s="27">
        <v>75</v>
      </c>
      <c r="B77" s="54">
        <v>156.47999999999999</v>
      </c>
      <c r="C77" s="54">
        <v>194.91</v>
      </c>
      <c r="D77" s="55">
        <v>231.07</v>
      </c>
      <c r="E77" s="55">
        <v>375.45</v>
      </c>
      <c r="F77" s="55">
        <v>594.52</v>
      </c>
      <c r="G77" s="55">
        <v>617.79</v>
      </c>
      <c r="H77" s="55">
        <v>630.16999999999996</v>
      </c>
      <c r="I77" s="55">
        <v>642.78</v>
      </c>
      <c r="J77" s="55">
        <v>642.78</v>
      </c>
      <c r="K77" s="56">
        <v>655.65</v>
      </c>
      <c r="L77" s="56">
        <v>655.65</v>
      </c>
      <c r="M77" s="55">
        <v>604</v>
      </c>
    </row>
    <row r="78" spans="1:26" ht="12.75" customHeight="1">
      <c r="A78" s="5">
        <v>76</v>
      </c>
      <c r="B78" s="57">
        <v>159.47</v>
      </c>
      <c r="C78" s="57">
        <v>195.71</v>
      </c>
      <c r="D78" s="57">
        <v>232.26</v>
      </c>
      <c r="E78" s="57">
        <v>376.25</v>
      </c>
      <c r="F78" s="57">
        <v>615.13</v>
      </c>
      <c r="G78" s="57">
        <v>627.44000000000005</v>
      </c>
      <c r="H78" s="57">
        <v>639.99</v>
      </c>
      <c r="I78" s="57">
        <v>652.79</v>
      </c>
      <c r="J78" s="57">
        <v>652.79</v>
      </c>
      <c r="K78" s="58">
        <v>665.85</v>
      </c>
      <c r="L78" s="58">
        <v>665.85</v>
      </c>
      <c r="M78" s="57">
        <v>604.1</v>
      </c>
    </row>
    <row r="79" spans="1:26" ht="12.75" customHeight="1">
      <c r="A79" s="9">
        <v>77</v>
      </c>
      <c r="B79" s="42">
        <v>160.27000000000001</v>
      </c>
      <c r="C79" s="42">
        <v>196.51</v>
      </c>
      <c r="D79" s="42">
        <v>237.01</v>
      </c>
      <c r="E79" s="42">
        <v>377.05</v>
      </c>
      <c r="F79" s="42">
        <v>622.28</v>
      </c>
      <c r="G79" s="42">
        <v>634.87</v>
      </c>
      <c r="H79" s="42">
        <v>647.57000000000005</v>
      </c>
      <c r="I79" s="42">
        <v>660.53</v>
      </c>
      <c r="J79" s="42">
        <v>660.53</v>
      </c>
      <c r="K79" s="43">
        <v>673.76</v>
      </c>
      <c r="L79" s="43">
        <v>673.76</v>
      </c>
      <c r="M79" s="42">
        <v>604.15</v>
      </c>
    </row>
    <row r="80" spans="1:26" ht="12.75" customHeight="1">
      <c r="A80" s="13">
        <v>78</v>
      </c>
      <c r="B80" s="44">
        <v>161.07</v>
      </c>
      <c r="C80" s="44">
        <v>197.31</v>
      </c>
      <c r="D80" s="44">
        <v>238.21</v>
      </c>
      <c r="E80" s="44">
        <v>391.17</v>
      </c>
      <c r="F80" s="44">
        <v>625.76</v>
      </c>
      <c r="G80" s="44">
        <v>646.28</v>
      </c>
      <c r="H80" s="44">
        <v>693.67</v>
      </c>
      <c r="I80" s="44">
        <v>707.56</v>
      </c>
      <c r="J80" s="44">
        <v>707.56</v>
      </c>
      <c r="K80" s="45">
        <v>721.72</v>
      </c>
      <c r="L80" s="45">
        <v>721.72</v>
      </c>
      <c r="M80" s="44">
        <v>604.20000000000005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13" ht="12.75" customHeight="1">
      <c r="A81" s="13">
        <v>79</v>
      </c>
      <c r="B81" s="44">
        <v>161.87</v>
      </c>
      <c r="C81" s="44">
        <v>198.11</v>
      </c>
      <c r="D81" s="44">
        <v>239.75</v>
      </c>
      <c r="E81" s="44">
        <v>392.59</v>
      </c>
      <c r="F81" s="44">
        <v>627.47</v>
      </c>
      <c r="G81" s="44">
        <v>684.58</v>
      </c>
      <c r="H81" s="44">
        <v>701.38</v>
      </c>
      <c r="I81" s="44">
        <v>715.41</v>
      </c>
      <c r="J81" s="44">
        <v>715.41</v>
      </c>
      <c r="K81" s="45">
        <v>729.72</v>
      </c>
      <c r="L81" s="45">
        <v>729.72</v>
      </c>
      <c r="M81" s="44">
        <v>624.1</v>
      </c>
    </row>
    <row r="82" spans="1:13" ht="12.75" customHeight="1">
      <c r="A82" s="16">
        <v>80</v>
      </c>
      <c r="B82" s="46">
        <v>162.66999999999999</v>
      </c>
      <c r="C82" s="46">
        <v>198.91</v>
      </c>
      <c r="D82" s="46">
        <v>240.55</v>
      </c>
      <c r="E82" s="46">
        <v>393.39</v>
      </c>
      <c r="F82" s="46">
        <v>661.63</v>
      </c>
      <c r="G82" s="46">
        <v>688.41</v>
      </c>
      <c r="H82" s="46">
        <v>702.18</v>
      </c>
      <c r="I82" s="46">
        <v>717.63</v>
      </c>
      <c r="J82" s="46">
        <v>717.63</v>
      </c>
      <c r="K82" s="47">
        <v>731.99</v>
      </c>
      <c r="L82" s="47">
        <v>731.99</v>
      </c>
      <c r="M82" s="46">
        <v>624.20000000000005</v>
      </c>
    </row>
    <row r="83" spans="1:13" ht="12.75" customHeight="1">
      <c r="A83" s="19">
        <v>81</v>
      </c>
      <c r="B83" s="48">
        <v>169.82</v>
      </c>
      <c r="C83" s="48">
        <v>201.81</v>
      </c>
      <c r="D83" s="49">
        <v>242.1</v>
      </c>
      <c r="E83" s="49">
        <v>394.66</v>
      </c>
      <c r="F83" s="49">
        <v>676.63</v>
      </c>
      <c r="G83" s="49">
        <v>690.52</v>
      </c>
      <c r="H83" s="49">
        <v>704.34</v>
      </c>
      <c r="I83" s="49">
        <v>718.43</v>
      </c>
      <c r="J83" s="49">
        <v>718.43</v>
      </c>
      <c r="K83" s="50">
        <v>732.81</v>
      </c>
      <c r="L83" s="50">
        <v>732.81</v>
      </c>
      <c r="M83" s="49">
        <v>625.15</v>
      </c>
    </row>
    <row r="84" spans="1:13" ht="12.75" customHeight="1">
      <c r="A84" s="23">
        <v>82</v>
      </c>
      <c r="B84" s="51">
        <v>171.46</v>
      </c>
      <c r="C84" s="51">
        <v>202.61</v>
      </c>
      <c r="D84" s="52">
        <v>242.9</v>
      </c>
      <c r="E84" s="52">
        <v>395.92</v>
      </c>
      <c r="F84" s="52">
        <v>678.13</v>
      </c>
      <c r="G84" s="52">
        <v>691.71</v>
      </c>
      <c r="H84" s="52">
        <v>705.55</v>
      </c>
      <c r="I84" s="52">
        <v>719.68</v>
      </c>
      <c r="J84" s="52">
        <v>719.68</v>
      </c>
      <c r="K84" s="53">
        <v>734.08</v>
      </c>
      <c r="L84" s="53">
        <v>734.08</v>
      </c>
      <c r="M84" s="52">
        <v>652.70000000000005</v>
      </c>
    </row>
    <row r="85" spans="1:13" ht="12.75" customHeight="1">
      <c r="A85" s="19">
        <v>83</v>
      </c>
      <c r="B85" s="51">
        <v>173.77</v>
      </c>
      <c r="C85" s="51">
        <v>206.05</v>
      </c>
      <c r="D85" s="52">
        <v>247.52</v>
      </c>
      <c r="E85" s="52">
        <v>404.66</v>
      </c>
      <c r="F85" s="52">
        <v>678.93</v>
      </c>
      <c r="G85" s="52">
        <v>692.89</v>
      </c>
      <c r="H85" s="52">
        <v>717.49</v>
      </c>
      <c r="I85" s="52">
        <v>731.85</v>
      </c>
      <c r="J85" s="52">
        <v>731.85</v>
      </c>
      <c r="K85" s="53">
        <v>749.14</v>
      </c>
      <c r="L85" s="53">
        <v>749.14</v>
      </c>
      <c r="M85" s="52">
        <v>657.6</v>
      </c>
    </row>
    <row r="86" spans="1:13" ht="12.75" customHeight="1">
      <c r="A86" s="19">
        <v>84</v>
      </c>
      <c r="B86" s="51">
        <v>174.95</v>
      </c>
      <c r="C86" s="51">
        <v>207.23</v>
      </c>
      <c r="D86" s="52">
        <v>251.2</v>
      </c>
      <c r="E86" s="52">
        <v>405.54</v>
      </c>
      <c r="F86" s="52">
        <v>684.08</v>
      </c>
      <c r="G86" s="52">
        <v>704.59</v>
      </c>
      <c r="H86" s="52">
        <v>718.69</v>
      </c>
      <c r="I86" s="52">
        <v>733.07</v>
      </c>
      <c r="J86" s="52">
        <v>733.07</v>
      </c>
      <c r="K86" s="53">
        <v>750.65</v>
      </c>
      <c r="L86" s="53">
        <v>750.65</v>
      </c>
      <c r="M86" s="52">
        <v>657.75</v>
      </c>
    </row>
    <row r="87" spans="1:13" ht="12.75" customHeight="1">
      <c r="A87" s="27">
        <v>85</v>
      </c>
      <c r="B87" s="54">
        <v>181.28</v>
      </c>
      <c r="C87" s="54">
        <v>208.74</v>
      </c>
      <c r="D87" s="55">
        <v>264.06</v>
      </c>
      <c r="E87" s="55">
        <v>414.76</v>
      </c>
      <c r="F87" s="55">
        <v>685.34</v>
      </c>
      <c r="G87" s="55">
        <v>705.78</v>
      </c>
      <c r="H87" s="55">
        <v>719.91</v>
      </c>
      <c r="I87" s="55">
        <v>734.32</v>
      </c>
      <c r="J87" s="55">
        <v>734.32</v>
      </c>
      <c r="K87" s="56">
        <v>753.66</v>
      </c>
      <c r="L87" s="56">
        <v>753.66</v>
      </c>
      <c r="M87" s="55">
        <v>659.55</v>
      </c>
    </row>
    <row r="88" spans="1:13" ht="12.75" customHeight="1">
      <c r="A88" s="13">
        <v>86</v>
      </c>
      <c r="B88" s="42">
        <v>184.2</v>
      </c>
      <c r="C88" s="42">
        <v>218.47</v>
      </c>
      <c r="D88" s="42">
        <v>265.37</v>
      </c>
      <c r="E88" s="42">
        <v>424.21</v>
      </c>
      <c r="F88" s="42">
        <v>687.04</v>
      </c>
      <c r="G88" s="42">
        <v>706.89</v>
      </c>
      <c r="H88" s="42">
        <v>725.12</v>
      </c>
      <c r="I88" s="42">
        <v>739.64</v>
      </c>
      <c r="J88" s="42">
        <v>739.64</v>
      </c>
      <c r="K88" s="43">
        <v>754.46</v>
      </c>
      <c r="L88" s="43">
        <v>754.46</v>
      </c>
      <c r="M88" s="42">
        <v>659.7</v>
      </c>
    </row>
    <row r="89" spans="1:13" ht="12.75" customHeight="1">
      <c r="A89" s="13">
        <v>87</v>
      </c>
      <c r="B89" s="44">
        <v>185.35</v>
      </c>
      <c r="C89" s="44">
        <v>219.62</v>
      </c>
      <c r="D89" s="44">
        <v>266.54000000000002</v>
      </c>
      <c r="E89" s="44">
        <v>425.16</v>
      </c>
      <c r="F89" s="44">
        <v>687.84</v>
      </c>
      <c r="G89" s="44">
        <v>711.66</v>
      </c>
      <c r="H89" s="44">
        <v>725.92</v>
      </c>
      <c r="I89" s="44">
        <v>740.44</v>
      </c>
      <c r="J89" s="44">
        <v>740.44</v>
      </c>
      <c r="K89" s="45">
        <v>755.26</v>
      </c>
      <c r="L89" s="45">
        <v>755.26</v>
      </c>
      <c r="M89" s="44">
        <v>670.65</v>
      </c>
    </row>
    <row r="90" spans="1:13" ht="12.75" customHeight="1">
      <c r="A90" s="13">
        <v>88</v>
      </c>
      <c r="B90" s="44">
        <v>186.52</v>
      </c>
      <c r="C90" s="44">
        <v>220.83</v>
      </c>
      <c r="D90" s="44">
        <v>267.73</v>
      </c>
      <c r="E90" s="44">
        <v>425.96</v>
      </c>
      <c r="F90" s="44">
        <v>702.03</v>
      </c>
      <c r="G90" s="44">
        <v>717.18</v>
      </c>
      <c r="H90" s="44">
        <v>731.53</v>
      </c>
      <c r="I90" s="44">
        <v>746.17</v>
      </c>
      <c r="J90" s="44">
        <v>746.17</v>
      </c>
      <c r="K90" s="45">
        <v>761.1</v>
      </c>
      <c r="L90" s="45">
        <v>761.1</v>
      </c>
      <c r="M90" s="44">
        <v>679.05</v>
      </c>
    </row>
    <row r="91" spans="1:13" ht="12.75" customHeight="1">
      <c r="A91" s="13">
        <v>89</v>
      </c>
      <c r="B91" s="44">
        <v>187.67</v>
      </c>
      <c r="C91" s="44">
        <v>221.99</v>
      </c>
      <c r="D91" s="44">
        <v>268.92</v>
      </c>
      <c r="E91" s="44">
        <v>426.76</v>
      </c>
      <c r="F91" s="44">
        <v>704.03</v>
      </c>
      <c r="G91" s="44">
        <v>718.35</v>
      </c>
      <c r="H91" s="44">
        <v>732.74</v>
      </c>
      <c r="I91" s="44">
        <v>747.86</v>
      </c>
      <c r="J91" s="44">
        <v>747.86</v>
      </c>
      <c r="K91" s="45">
        <v>762.84</v>
      </c>
      <c r="L91" s="45">
        <v>762.84</v>
      </c>
      <c r="M91" s="44">
        <v>679.65</v>
      </c>
    </row>
    <row r="92" spans="1:13" ht="12.75" customHeight="1">
      <c r="A92" s="13">
        <v>90</v>
      </c>
      <c r="B92" s="46">
        <v>188.47</v>
      </c>
      <c r="C92" s="46">
        <v>223.15</v>
      </c>
      <c r="D92" s="46">
        <v>270.13</v>
      </c>
      <c r="E92" s="46">
        <v>427.56</v>
      </c>
      <c r="F92" s="46">
        <v>704.83</v>
      </c>
      <c r="G92" s="46">
        <v>719.56</v>
      </c>
      <c r="H92" s="46">
        <v>733.96</v>
      </c>
      <c r="I92" s="46">
        <v>748.66</v>
      </c>
      <c r="J92" s="46">
        <v>748.66</v>
      </c>
      <c r="K92" s="47">
        <v>763.64</v>
      </c>
      <c r="L92" s="47">
        <v>763.64</v>
      </c>
      <c r="M92" s="46">
        <v>689.8</v>
      </c>
    </row>
    <row r="93" spans="1:13" ht="12.75" customHeight="1">
      <c r="A93" s="31">
        <v>91</v>
      </c>
      <c r="B93" s="48">
        <v>189.27</v>
      </c>
      <c r="C93" s="48">
        <v>223.95</v>
      </c>
      <c r="D93" s="49">
        <v>271.3</v>
      </c>
      <c r="E93" s="49">
        <v>428.36</v>
      </c>
      <c r="F93" s="49">
        <v>706.55</v>
      </c>
      <c r="G93" s="49">
        <v>720.77</v>
      </c>
      <c r="H93" s="49">
        <v>735.6</v>
      </c>
      <c r="I93" s="49">
        <v>750.32</v>
      </c>
      <c r="J93" s="49">
        <v>750.32</v>
      </c>
      <c r="K93" s="50">
        <v>766.68</v>
      </c>
      <c r="L93" s="50">
        <v>766.68</v>
      </c>
      <c r="M93" s="49">
        <v>690.35</v>
      </c>
    </row>
    <row r="94" spans="1:13" ht="12.75" customHeight="1">
      <c r="A94" s="19">
        <v>92</v>
      </c>
      <c r="B94" s="51">
        <v>190.07</v>
      </c>
      <c r="C94" s="51">
        <v>224.75</v>
      </c>
      <c r="D94" s="52">
        <v>272.10000000000002</v>
      </c>
      <c r="E94" s="52">
        <v>429.16</v>
      </c>
      <c r="F94" s="52">
        <v>707.35</v>
      </c>
      <c r="G94" s="52">
        <v>721.95</v>
      </c>
      <c r="H94" s="52">
        <v>736.4</v>
      </c>
      <c r="I94" s="52">
        <v>752.4</v>
      </c>
      <c r="J94" s="52">
        <v>752.4</v>
      </c>
      <c r="K94" s="53">
        <v>767.48</v>
      </c>
      <c r="L94" s="53">
        <v>767.48</v>
      </c>
      <c r="M94" s="52">
        <v>696.5</v>
      </c>
    </row>
    <row r="95" spans="1:13" ht="12.75" customHeight="1">
      <c r="A95" s="19">
        <v>93</v>
      </c>
      <c r="B95" s="51">
        <v>190.87</v>
      </c>
      <c r="C95" s="51">
        <v>225.55</v>
      </c>
      <c r="D95" s="52">
        <v>272.89999999999998</v>
      </c>
      <c r="E95" s="52">
        <v>429.96</v>
      </c>
      <c r="F95" s="52">
        <v>708.59</v>
      </c>
      <c r="G95" s="52">
        <v>723.13</v>
      </c>
      <c r="H95" s="52">
        <v>737.6</v>
      </c>
      <c r="I95" s="52">
        <v>753.2</v>
      </c>
      <c r="J95" s="52">
        <v>753.2</v>
      </c>
      <c r="K95" s="53">
        <v>768.28</v>
      </c>
      <c r="L95" s="53">
        <v>768.28</v>
      </c>
      <c r="M95" s="52">
        <v>696.75</v>
      </c>
    </row>
    <row r="96" spans="1:13" ht="12.75" customHeight="1">
      <c r="A96" s="19">
        <v>94</v>
      </c>
      <c r="B96" s="51">
        <v>193.51</v>
      </c>
      <c r="C96" s="51">
        <v>226.35</v>
      </c>
      <c r="D96" s="52">
        <v>274.89999999999998</v>
      </c>
      <c r="E96" s="52">
        <v>430.76</v>
      </c>
      <c r="F96" s="52">
        <v>710.13</v>
      </c>
      <c r="G96" s="52">
        <v>724.34</v>
      </c>
      <c r="H96" s="52">
        <v>738.83</v>
      </c>
      <c r="I96" s="52">
        <v>754</v>
      </c>
      <c r="J96" s="52">
        <v>754</v>
      </c>
      <c r="K96" s="53">
        <v>769.08</v>
      </c>
      <c r="L96" s="53">
        <v>769.08</v>
      </c>
      <c r="M96" s="52">
        <v>720.3</v>
      </c>
    </row>
    <row r="97" spans="1:13" ht="12.75" customHeight="1">
      <c r="A97" s="19">
        <v>95</v>
      </c>
      <c r="B97" s="54">
        <v>194.39</v>
      </c>
      <c r="C97" s="54">
        <v>227.15</v>
      </c>
      <c r="D97" s="55">
        <v>276.08</v>
      </c>
      <c r="E97" s="55">
        <v>435.08</v>
      </c>
      <c r="F97" s="55">
        <v>712.01</v>
      </c>
      <c r="G97" s="55">
        <v>730.77</v>
      </c>
      <c r="H97" s="55">
        <v>745.4</v>
      </c>
      <c r="I97" s="55">
        <v>760.31</v>
      </c>
      <c r="J97" s="55">
        <v>760.31</v>
      </c>
      <c r="K97" s="56">
        <v>775.53</v>
      </c>
      <c r="L97" s="56">
        <v>775.53</v>
      </c>
      <c r="M97" s="55">
        <v>720.5</v>
      </c>
    </row>
    <row r="98" spans="1:13" ht="12.75" customHeight="1">
      <c r="A98" s="32">
        <v>96</v>
      </c>
      <c r="B98" s="42">
        <v>195.19</v>
      </c>
      <c r="C98" s="42">
        <v>227.95</v>
      </c>
      <c r="D98" s="42">
        <v>283.97000000000003</v>
      </c>
      <c r="E98" s="42">
        <v>435.88</v>
      </c>
      <c r="F98" s="42">
        <v>717.59</v>
      </c>
      <c r="G98" s="42">
        <v>731.95</v>
      </c>
      <c r="H98" s="42">
        <v>746.59</v>
      </c>
      <c r="I98" s="42">
        <v>761.83</v>
      </c>
      <c r="J98" s="42">
        <v>761.83</v>
      </c>
      <c r="K98" s="43">
        <v>777.08</v>
      </c>
      <c r="L98" s="43">
        <v>777.08</v>
      </c>
      <c r="M98" s="42">
        <v>723.85</v>
      </c>
    </row>
    <row r="99" spans="1:13" ht="12.75" customHeight="1">
      <c r="A99" s="13">
        <v>97</v>
      </c>
      <c r="B99" s="44">
        <v>195.99</v>
      </c>
      <c r="C99" s="44">
        <v>228.75</v>
      </c>
      <c r="D99" s="44">
        <v>290.83</v>
      </c>
      <c r="E99" s="44">
        <v>436.68</v>
      </c>
      <c r="F99" s="44">
        <v>732.69</v>
      </c>
      <c r="G99" s="44">
        <v>747.35</v>
      </c>
      <c r="H99" s="44">
        <v>762.3</v>
      </c>
      <c r="I99" s="44">
        <v>792.15</v>
      </c>
      <c r="J99" s="44">
        <v>792.15</v>
      </c>
      <c r="K99" s="45">
        <v>808</v>
      </c>
      <c r="L99" s="45">
        <v>808</v>
      </c>
      <c r="M99" s="44">
        <v>724.5</v>
      </c>
    </row>
    <row r="100" spans="1:13" ht="12.75" customHeight="1">
      <c r="A100" s="13">
        <v>98</v>
      </c>
      <c r="B100" s="44">
        <v>196.79</v>
      </c>
      <c r="C100" s="44">
        <v>229.55</v>
      </c>
      <c r="D100" s="44">
        <v>292.02</v>
      </c>
      <c r="E100" s="44">
        <v>437.96</v>
      </c>
      <c r="F100" s="44">
        <v>749.83</v>
      </c>
      <c r="G100" s="44">
        <v>764.83</v>
      </c>
      <c r="H100" s="44">
        <v>780.16</v>
      </c>
      <c r="I100" s="44">
        <v>795.77</v>
      </c>
      <c r="J100" s="44">
        <v>795.77</v>
      </c>
      <c r="K100" s="45">
        <v>811.69</v>
      </c>
      <c r="L100" s="45">
        <v>811.69</v>
      </c>
      <c r="M100" s="44">
        <v>724.7</v>
      </c>
    </row>
    <row r="101" spans="1:13" ht="12.75" customHeight="1">
      <c r="A101" s="13">
        <v>99</v>
      </c>
      <c r="B101" s="44">
        <v>197.62</v>
      </c>
      <c r="C101" s="44">
        <v>233.7</v>
      </c>
      <c r="D101" s="44">
        <v>298.91000000000003</v>
      </c>
      <c r="E101" s="44">
        <v>463.45</v>
      </c>
      <c r="F101" s="44">
        <v>762.73</v>
      </c>
      <c r="G101" s="44">
        <v>799.26</v>
      </c>
      <c r="H101" s="44">
        <v>824.36</v>
      </c>
      <c r="I101" s="44">
        <v>840.85</v>
      </c>
      <c r="J101" s="44">
        <v>840.85</v>
      </c>
      <c r="K101" s="45">
        <v>873.78</v>
      </c>
      <c r="L101" s="45">
        <v>873.78</v>
      </c>
      <c r="M101" s="44">
        <v>725.25</v>
      </c>
    </row>
    <row r="102" spans="1:13" ht="12.75" customHeight="1">
      <c r="A102" s="16">
        <v>100</v>
      </c>
      <c r="B102" s="46">
        <v>199</v>
      </c>
      <c r="C102" s="46">
        <v>249</v>
      </c>
      <c r="D102" s="46">
        <v>327</v>
      </c>
      <c r="E102" s="46">
        <v>488</v>
      </c>
      <c r="F102" s="46">
        <v>775</v>
      </c>
      <c r="G102" s="46">
        <v>884</v>
      </c>
      <c r="H102" s="46">
        <v>911</v>
      </c>
      <c r="I102" s="46">
        <v>930</v>
      </c>
      <c r="J102" s="46">
        <v>930</v>
      </c>
      <c r="K102" s="47">
        <v>950</v>
      </c>
      <c r="L102" s="47">
        <v>950</v>
      </c>
      <c r="M102" s="46">
        <v>784</v>
      </c>
    </row>
    <row r="103" spans="1:13" ht="12.75" customHeight="1">
      <c r="A103" s="19">
        <v>101</v>
      </c>
      <c r="B103" s="48">
        <v>200.99</v>
      </c>
      <c r="C103" s="48">
        <v>251.49</v>
      </c>
      <c r="D103" s="49">
        <v>330.27</v>
      </c>
      <c r="E103" s="49">
        <v>492.88</v>
      </c>
      <c r="F103" s="49">
        <v>782.75</v>
      </c>
      <c r="G103" s="49">
        <v>892.84</v>
      </c>
      <c r="H103" s="49">
        <v>920.11</v>
      </c>
      <c r="I103" s="49">
        <v>939.3</v>
      </c>
      <c r="J103" s="49">
        <v>939.3</v>
      </c>
      <c r="K103" s="50">
        <v>959.5</v>
      </c>
      <c r="L103" s="50">
        <v>959.5</v>
      </c>
      <c r="M103" s="49">
        <v>791.84</v>
      </c>
    </row>
    <row r="104" spans="1:13" ht="12.75" customHeight="1">
      <c r="A104" s="23">
        <v>102</v>
      </c>
      <c r="B104" s="51">
        <v>202.98</v>
      </c>
      <c r="C104" s="51">
        <v>253.98</v>
      </c>
      <c r="D104" s="52">
        <v>333.54</v>
      </c>
      <c r="E104" s="52">
        <v>497.76</v>
      </c>
      <c r="F104" s="52">
        <v>790.5</v>
      </c>
      <c r="G104" s="52">
        <v>901.68</v>
      </c>
      <c r="H104" s="52">
        <v>929.22</v>
      </c>
      <c r="I104" s="52">
        <v>948.6</v>
      </c>
      <c r="J104" s="52">
        <v>948.6</v>
      </c>
      <c r="K104" s="53">
        <v>969</v>
      </c>
      <c r="L104" s="53">
        <v>969</v>
      </c>
      <c r="M104" s="52">
        <v>799.68</v>
      </c>
    </row>
    <row r="105" spans="1:13" ht="12.75" customHeight="1">
      <c r="A105" s="23">
        <v>103</v>
      </c>
      <c r="B105" s="51">
        <v>204.97</v>
      </c>
      <c r="C105" s="51">
        <v>256.47000000000003</v>
      </c>
      <c r="D105" s="52">
        <v>336.81</v>
      </c>
      <c r="E105" s="52">
        <v>502.64</v>
      </c>
      <c r="F105" s="52">
        <v>798.25</v>
      </c>
      <c r="G105" s="52">
        <v>910.52</v>
      </c>
      <c r="H105" s="52">
        <v>938.33</v>
      </c>
      <c r="I105" s="52">
        <v>957.9</v>
      </c>
      <c r="J105" s="52">
        <v>957.9</v>
      </c>
      <c r="K105" s="53">
        <v>978.5</v>
      </c>
      <c r="L105" s="53">
        <v>978.5</v>
      </c>
      <c r="M105" s="52">
        <v>807.52</v>
      </c>
    </row>
    <row r="106" spans="1:13" ht="12.75" customHeight="1">
      <c r="A106" s="23">
        <v>104</v>
      </c>
      <c r="B106" s="51">
        <v>206.96</v>
      </c>
      <c r="C106" s="51">
        <v>258.95999999999998</v>
      </c>
      <c r="D106" s="52">
        <v>340.08</v>
      </c>
      <c r="E106" s="52">
        <v>507.52</v>
      </c>
      <c r="F106" s="52">
        <v>806</v>
      </c>
      <c r="G106" s="52">
        <v>919.36</v>
      </c>
      <c r="H106" s="52">
        <v>947.44</v>
      </c>
      <c r="I106" s="52">
        <v>967.2</v>
      </c>
      <c r="J106" s="52">
        <v>967.2</v>
      </c>
      <c r="K106" s="53">
        <v>988</v>
      </c>
      <c r="L106" s="53">
        <v>988</v>
      </c>
      <c r="M106" s="52">
        <v>815.36</v>
      </c>
    </row>
    <row r="107" spans="1:13" ht="12.75" customHeight="1">
      <c r="A107" s="23">
        <v>105</v>
      </c>
      <c r="B107" s="54">
        <v>208.95</v>
      </c>
      <c r="C107" s="54">
        <v>261.45</v>
      </c>
      <c r="D107" s="55">
        <v>343.35</v>
      </c>
      <c r="E107" s="55">
        <v>512.4</v>
      </c>
      <c r="F107" s="55">
        <v>813.75</v>
      </c>
      <c r="G107" s="55">
        <v>928.2</v>
      </c>
      <c r="H107" s="55">
        <v>956.55</v>
      </c>
      <c r="I107" s="55">
        <v>976.5</v>
      </c>
      <c r="J107" s="55">
        <v>976.5</v>
      </c>
      <c r="K107" s="56">
        <v>997.5</v>
      </c>
      <c r="L107" s="56">
        <v>997.5</v>
      </c>
      <c r="M107" s="55">
        <v>823.2</v>
      </c>
    </row>
    <row r="108" spans="1:13" ht="12.75" customHeight="1">
      <c r="A108" s="9">
        <v>106</v>
      </c>
      <c r="B108" s="42">
        <v>210.94</v>
      </c>
      <c r="C108" s="42">
        <v>263.94</v>
      </c>
      <c r="D108" s="42">
        <v>346.62</v>
      </c>
      <c r="E108" s="42">
        <v>517.28</v>
      </c>
      <c r="F108" s="42">
        <v>821.5</v>
      </c>
      <c r="G108" s="42">
        <v>937.04</v>
      </c>
      <c r="H108" s="42">
        <v>965.66</v>
      </c>
      <c r="I108" s="42">
        <v>985.8</v>
      </c>
      <c r="J108" s="42">
        <v>985.8</v>
      </c>
      <c r="K108" s="43">
        <v>1007</v>
      </c>
      <c r="L108" s="43">
        <v>1007</v>
      </c>
      <c r="M108" s="42">
        <v>831.04</v>
      </c>
    </row>
    <row r="109" spans="1:13" ht="12.75" customHeight="1">
      <c r="A109" s="33">
        <v>107</v>
      </c>
      <c r="B109" s="44">
        <v>212.93</v>
      </c>
      <c r="C109" s="44">
        <v>266.43</v>
      </c>
      <c r="D109" s="44">
        <v>349.89</v>
      </c>
      <c r="E109" s="44">
        <v>522.16</v>
      </c>
      <c r="F109" s="44">
        <v>829.25</v>
      </c>
      <c r="G109" s="44">
        <v>945.88</v>
      </c>
      <c r="H109" s="44">
        <v>974.77</v>
      </c>
      <c r="I109" s="44">
        <v>995.1</v>
      </c>
      <c r="J109" s="44">
        <v>995.1</v>
      </c>
      <c r="K109" s="45">
        <v>1016.5</v>
      </c>
      <c r="L109" s="45">
        <v>1016.5</v>
      </c>
      <c r="M109" s="44">
        <v>838.88</v>
      </c>
    </row>
    <row r="110" spans="1:13" ht="12.75" customHeight="1">
      <c r="A110" s="33">
        <v>108</v>
      </c>
      <c r="B110" s="44">
        <v>214.92</v>
      </c>
      <c r="C110" s="44">
        <v>268.92</v>
      </c>
      <c r="D110" s="44">
        <v>353.16</v>
      </c>
      <c r="E110" s="44">
        <v>527.04</v>
      </c>
      <c r="F110" s="44">
        <v>837</v>
      </c>
      <c r="G110" s="44">
        <v>954.72</v>
      </c>
      <c r="H110" s="44">
        <v>983.88</v>
      </c>
      <c r="I110" s="44">
        <v>1004.4</v>
      </c>
      <c r="J110" s="44">
        <v>1004.4</v>
      </c>
      <c r="K110" s="45">
        <v>1026</v>
      </c>
      <c r="L110" s="45">
        <v>1026</v>
      </c>
      <c r="M110" s="44">
        <v>846.72</v>
      </c>
    </row>
    <row r="111" spans="1:13" ht="12.75" customHeight="1">
      <c r="A111" s="33">
        <v>109</v>
      </c>
      <c r="B111" s="44">
        <v>216.91</v>
      </c>
      <c r="C111" s="44">
        <v>271.41000000000003</v>
      </c>
      <c r="D111" s="44">
        <v>356.43</v>
      </c>
      <c r="E111" s="44">
        <v>531.91999999999996</v>
      </c>
      <c r="F111" s="44">
        <v>844.75</v>
      </c>
      <c r="G111" s="44">
        <v>963.56</v>
      </c>
      <c r="H111" s="44">
        <v>992.99</v>
      </c>
      <c r="I111" s="44">
        <v>1013.7</v>
      </c>
      <c r="J111" s="44">
        <v>1013.7</v>
      </c>
      <c r="K111" s="45">
        <v>1035.5</v>
      </c>
      <c r="L111" s="45">
        <v>1035.5</v>
      </c>
      <c r="M111" s="44">
        <v>854.56</v>
      </c>
    </row>
    <row r="112" spans="1:13" ht="12.75" customHeight="1">
      <c r="A112" s="16">
        <v>110</v>
      </c>
      <c r="B112" s="46">
        <v>218.9</v>
      </c>
      <c r="C112" s="46">
        <v>273.89999999999998</v>
      </c>
      <c r="D112" s="46">
        <v>359.7</v>
      </c>
      <c r="E112" s="46">
        <v>536.79999999999995</v>
      </c>
      <c r="F112" s="46">
        <v>852.5</v>
      </c>
      <c r="G112" s="46">
        <v>972.4</v>
      </c>
      <c r="H112" s="46">
        <v>1002.1</v>
      </c>
      <c r="I112" s="46">
        <v>1023</v>
      </c>
      <c r="J112" s="46">
        <v>1023</v>
      </c>
      <c r="K112" s="47">
        <v>1045</v>
      </c>
      <c r="L112" s="47">
        <v>1045</v>
      </c>
      <c r="M112" s="46">
        <v>862.4</v>
      </c>
    </row>
    <row r="113" spans="1:26" ht="12.75" customHeight="1">
      <c r="A113" s="35">
        <v>111</v>
      </c>
      <c r="B113" s="48">
        <v>220.89</v>
      </c>
      <c r="C113" s="48">
        <v>276.39</v>
      </c>
      <c r="D113" s="49">
        <v>362.97</v>
      </c>
      <c r="E113" s="49">
        <v>541.67999999999995</v>
      </c>
      <c r="F113" s="49">
        <v>860.25</v>
      </c>
      <c r="G113" s="49">
        <v>981.24</v>
      </c>
      <c r="H113" s="49">
        <v>1011.21</v>
      </c>
      <c r="I113" s="49">
        <v>1032.3</v>
      </c>
      <c r="J113" s="49">
        <v>1032.3</v>
      </c>
      <c r="K113" s="50">
        <v>1054.5</v>
      </c>
      <c r="L113" s="50">
        <v>1054.5</v>
      </c>
      <c r="M113" s="49">
        <v>870.24</v>
      </c>
    </row>
    <row r="114" spans="1:26" ht="12.75" customHeight="1">
      <c r="A114" s="23">
        <v>112</v>
      </c>
      <c r="B114" s="51">
        <v>222.88</v>
      </c>
      <c r="C114" s="51">
        <v>278.88</v>
      </c>
      <c r="D114" s="52">
        <v>366.24</v>
      </c>
      <c r="E114" s="52">
        <v>546.55999999999995</v>
      </c>
      <c r="F114" s="52">
        <v>868</v>
      </c>
      <c r="G114" s="52">
        <v>990.08</v>
      </c>
      <c r="H114" s="52">
        <v>1020.32</v>
      </c>
      <c r="I114" s="52">
        <v>1041.5999999999999</v>
      </c>
      <c r="J114" s="52">
        <v>1041.5999999999999</v>
      </c>
      <c r="K114" s="53">
        <v>1064</v>
      </c>
      <c r="L114" s="53">
        <v>1064</v>
      </c>
      <c r="M114" s="52">
        <v>878.08</v>
      </c>
    </row>
    <row r="115" spans="1:26" ht="12.75" customHeight="1">
      <c r="A115" s="23">
        <v>113</v>
      </c>
      <c r="B115" s="51">
        <v>224.87</v>
      </c>
      <c r="C115" s="51">
        <v>281.37</v>
      </c>
      <c r="D115" s="52">
        <v>369.51</v>
      </c>
      <c r="E115" s="52">
        <v>551.44000000000005</v>
      </c>
      <c r="F115" s="52">
        <v>875.75</v>
      </c>
      <c r="G115" s="52">
        <v>998.92</v>
      </c>
      <c r="H115" s="52">
        <v>1029.43</v>
      </c>
      <c r="I115" s="52">
        <v>1050.9000000000001</v>
      </c>
      <c r="J115" s="52">
        <v>1050.9000000000001</v>
      </c>
      <c r="K115" s="53">
        <v>1073.5</v>
      </c>
      <c r="L115" s="53">
        <v>1073.5</v>
      </c>
      <c r="M115" s="52">
        <v>885.92</v>
      </c>
    </row>
    <row r="116" spans="1:26" ht="12.75" customHeight="1">
      <c r="A116" s="23">
        <v>114</v>
      </c>
      <c r="B116" s="51">
        <v>226.86</v>
      </c>
      <c r="C116" s="51">
        <v>283.86</v>
      </c>
      <c r="D116" s="52">
        <v>372.78</v>
      </c>
      <c r="E116" s="52">
        <v>556.32000000000005</v>
      </c>
      <c r="F116" s="52">
        <v>883.5</v>
      </c>
      <c r="G116" s="52">
        <v>1007.76</v>
      </c>
      <c r="H116" s="52">
        <v>1038.54</v>
      </c>
      <c r="I116" s="52">
        <v>1060.2</v>
      </c>
      <c r="J116" s="52">
        <v>1060.2</v>
      </c>
      <c r="K116" s="53">
        <v>1083</v>
      </c>
      <c r="L116" s="53">
        <v>1083</v>
      </c>
      <c r="M116" s="52">
        <v>893.76</v>
      </c>
    </row>
    <row r="117" spans="1:26" ht="12.75" customHeight="1">
      <c r="A117" s="27">
        <v>115</v>
      </c>
      <c r="B117" s="54">
        <v>228.85</v>
      </c>
      <c r="C117" s="54">
        <v>286.35000000000002</v>
      </c>
      <c r="D117" s="55">
        <v>376.05</v>
      </c>
      <c r="E117" s="55">
        <v>561.20000000000005</v>
      </c>
      <c r="F117" s="55">
        <v>891.25</v>
      </c>
      <c r="G117" s="55">
        <v>1016.6</v>
      </c>
      <c r="H117" s="55">
        <v>1047.6500000000001</v>
      </c>
      <c r="I117" s="55">
        <v>1069.5</v>
      </c>
      <c r="J117" s="55">
        <v>1069.5</v>
      </c>
      <c r="K117" s="56">
        <v>1092.5</v>
      </c>
      <c r="L117" s="56">
        <v>1092.5</v>
      </c>
      <c r="M117" s="55">
        <v>901.6</v>
      </c>
    </row>
    <row r="118" spans="1:26" ht="12.75" customHeight="1">
      <c r="A118" s="5">
        <v>116</v>
      </c>
      <c r="B118" s="57">
        <v>230.84</v>
      </c>
      <c r="C118" s="57">
        <v>288.83999999999997</v>
      </c>
      <c r="D118" s="57">
        <v>379.32</v>
      </c>
      <c r="E118" s="57">
        <v>566.08000000000004</v>
      </c>
      <c r="F118" s="57">
        <v>899</v>
      </c>
      <c r="G118" s="57">
        <v>1025.44</v>
      </c>
      <c r="H118" s="57">
        <v>1056.76</v>
      </c>
      <c r="I118" s="57">
        <v>1078.8</v>
      </c>
      <c r="J118" s="57">
        <v>1078.8</v>
      </c>
      <c r="K118" s="59">
        <v>1102</v>
      </c>
      <c r="L118" s="59">
        <v>1102</v>
      </c>
      <c r="M118" s="58">
        <v>909.44</v>
      </c>
    </row>
    <row r="119" spans="1:26" ht="12.75" customHeight="1">
      <c r="A119" s="9">
        <v>117</v>
      </c>
      <c r="B119" s="42">
        <v>232.83</v>
      </c>
      <c r="C119" s="42">
        <v>291.33</v>
      </c>
      <c r="D119" s="42">
        <v>382.59</v>
      </c>
      <c r="E119" s="42">
        <v>570.96</v>
      </c>
      <c r="F119" s="42">
        <v>906.75</v>
      </c>
      <c r="G119" s="42">
        <v>1034.28</v>
      </c>
      <c r="H119" s="42">
        <v>1065.8699999999999</v>
      </c>
      <c r="I119" s="42">
        <v>1088.0999999999999</v>
      </c>
      <c r="J119" s="42">
        <v>1088.0999999999999</v>
      </c>
      <c r="K119" s="60">
        <v>1111.5</v>
      </c>
      <c r="L119" s="60">
        <v>1111.5</v>
      </c>
      <c r="M119" s="43">
        <v>917.28</v>
      </c>
    </row>
    <row r="120" spans="1:26" ht="12.75" customHeight="1">
      <c r="A120" s="13">
        <v>118</v>
      </c>
      <c r="B120" s="44">
        <v>234.82</v>
      </c>
      <c r="C120" s="44">
        <v>293.82</v>
      </c>
      <c r="D120" s="44">
        <v>385.86</v>
      </c>
      <c r="E120" s="44">
        <v>575.84</v>
      </c>
      <c r="F120" s="44">
        <v>914.5</v>
      </c>
      <c r="G120" s="44">
        <v>1043.1199999999999</v>
      </c>
      <c r="H120" s="44">
        <v>1074.98</v>
      </c>
      <c r="I120" s="44">
        <v>1097.4000000000001</v>
      </c>
      <c r="J120" s="44">
        <v>1097.4000000000001</v>
      </c>
      <c r="K120" s="60">
        <v>1121</v>
      </c>
      <c r="L120" s="60">
        <v>1121</v>
      </c>
      <c r="M120" s="45">
        <v>925.12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13">
        <v>119</v>
      </c>
      <c r="B121" s="44">
        <v>236.81</v>
      </c>
      <c r="C121" s="44">
        <v>296.31</v>
      </c>
      <c r="D121" s="44">
        <v>389.13</v>
      </c>
      <c r="E121" s="44">
        <v>580.72</v>
      </c>
      <c r="F121" s="44">
        <v>922.25</v>
      </c>
      <c r="G121" s="44">
        <v>1051.96</v>
      </c>
      <c r="H121" s="44">
        <v>1084.0899999999999</v>
      </c>
      <c r="I121" s="44">
        <v>1106.7</v>
      </c>
      <c r="J121" s="44">
        <v>1106.7</v>
      </c>
      <c r="K121" s="60">
        <v>1130.5</v>
      </c>
      <c r="L121" s="60">
        <v>1130.5</v>
      </c>
      <c r="M121" s="45">
        <v>932.96</v>
      </c>
    </row>
    <row r="122" spans="1:26" ht="12.75" customHeight="1">
      <c r="A122" s="16">
        <v>120</v>
      </c>
      <c r="B122" s="46">
        <v>238.8</v>
      </c>
      <c r="C122" s="46">
        <v>298.8</v>
      </c>
      <c r="D122" s="46">
        <v>392.4</v>
      </c>
      <c r="E122" s="46">
        <v>585.6</v>
      </c>
      <c r="F122" s="46">
        <v>930</v>
      </c>
      <c r="G122" s="46">
        <v>1060.8</v>
      </c>
      <c r="H122" s="46">
        <v>1093.2</v>
      </c>
      <c r="I122" s="46">
        <v>1116</v>
      </c>
      <c r="J122" s="46">
        <v>1116</v>
      </c>
      <c r="K122" s="60">
        <v>1140</v>
      </c>
      <c r="L122" s="60">
        <v>1140</v>
      </c>
      <c r="M122" s="47">
        <v>940.8</v>
      </c>
    </row>
    <row r="123" spans="1:26" ht="12.75" customHeight="1">
      <c r="A123" s="19">
        <v>121</v>
      </c>
      <c r="B123" s="48">
        <v>240.79</v>
      </c>
      <c r="C123" s="48">
        <v>301.29000000000002</v>
      </c>
      <c r="D123" s="49">
        <v>395.67</v>
      </c>
      <c r="E123" s="49">
        <v>590.48</v>
      </c>
      <c r="F123" s="49">
        <v>937.75</v>
      </c>
      <c r="G123" s="49">
        <v>1069.6400000000001</v>
      </c>
      <c r="H123" s="49">
        <v>1102.31</v>
      </c>
      <c r="I123" s="49">
        <v>1125.3</v>
      </c>
      <c r="J123" s="49">
        <v>1125.3</v>
      </c>
      <c r="K123" s="60">
        <v>1149.5</v>
      </c>
      <c r="L123" s="60">
        <v>1149.5</v>
      </c>
      <c r="M123" s="50">
        <v>948.64</v>
      </c>
    </row>
    <row r="124" spans="1:26" ht="12.75" customHeight="1">
      <c r="A124" s="23">
        <v>122</v>
      </c>
      <c r="B124" s="51">
        <v>242.78</v>
      </c>
      <c r="C124" s="51">
        <v>303.77999999999997</v>
      </c>
      <c r="D124" s="52">
        <v>398.94</v>
      </c>
      <c r="E124" s="52">
        <v>595.36</v>
      </c>
      <c r="F124" s="52">
        <v>945.5</v>
      </c>
      <c r="G124" s="52">
        <v>1078.48</v>
      </c>
      <c r="H124" s="52">
        <v>1111.42</v>
      </c>
      <c r="I124" s="52">
        <v>1134.5999999999999</v>
      </c>
      <c r="J124" s="52">
        <v>1134.5999999999999</v>
      </c>
      <c r="K124" s="60">
        <v>1159</v>
      </c>
      <c r="L124" s="60">
        <v>1159</v>
      </c>
      <c r="M124" s="53">
        <v>956.48</v>
      </c>
    </row>
    <row r="125" spans="1:26" ht="12.75" customHeight="1">
      <c r="A125" s="19">
        <v>123</v>
      </c>
      <c r="B125" s="51">
        <v>244.77</v>
      </c>
      <c r="C125" s="51">
        <v>306.27</v>
      </c>
      <c r="D125" s="52">
        <v>402.21</v>
      </c>
      <c r="E125" s="52">
        <v>600.24</v>
      </c>
      <c r="F125" s="52">
        <v>953.25</v>
      </c>
      <c r="G125" s="52">
        <v>1087.32</v>
      </c>
      <c r="H125" s="52">
        <v>1120.53</v>
      </c>
      <c r="I125" s="52">
        <v>1143.9000000000001</v>
      </c>
      <c r="J125" s="52">
        <v>1143.9000000000001</v>
      </c>
      <c r="K125" s="60">
        <v>1168.5</v>
      </c>
      <c r="L125" s="60">
        <v>1168.5</v>
      </c>
      <c r="M125" s="53">
        <v>964.32</v>
      </c>
    </row>
    <row r="126" spans="1:26" ht="12.75" customHeight="1">
      <c r="A126" s="19">
        <v>124</v>
      </c>
      <c r="B126" s="51">
        <v>246.76</v>
      </c>
      <c r="C126" s="51">
        <v>308.76</v>
      </c>
      <c r="D126" s="52">
        <v>405.48</v>
      </c>
      <c r="E126" s="52">
        <v>605.12</v>
      </c>
      <c r="F126" s="52">
        <v>961</v>
      </c>
      <c r="G126" s="52">
        <v>1096.1600000000001</v>
      </c>
      <c r="H126" s="52">
        <v>1129.6400000000001</v>
      </c>
      <c r="I126" s="52">
        <v>1153.2</v>
      </c>
      <c r="J126" s="52">
        <v>1153.2</v>
      </c>
      <c r="K126" s="60">
        <v>1178</v>
      </c>
      <c r="L126" s="60">
        <v>1178</v>
      </c>
      <c r="M126" s="53">
        <v>972.16</v>
      </c>
    </row>
    <row r="127" spans="1:26" ht="12.75" customHeight="1">
      <c r="A127" s="27">
        <v>125</v>
      </c>
      <c r="B127" s="54">
        <v>248.75</v>
      </c>
      <c r="C127" s="54">
        <v>311.25</v>
      </c>
      <c r="D127" s="55">
        <v>408.75</v>
      </c>
      <c r="E127" s="55">
        <v>610</v>
      </c>
      <c r="F127" s="55">
        <v>968.75</v>
      </c>
      <c r="G127" s="55">
        <v>1105</v>
      </c>
      <c r="H127" s="55">
        <v>1138.75</v>
      </c>
      <c r="I127" s="55">
        <v>1162.5</v>
      </c>
      <c r="J127" s="55">
        <v>1162.5</v>
      </c>
      <c r="K127" s="60">
        <v>1187.5</v>
      </c>
      <c r="L127" s="60">
        <v>1187.5</v>
      </c>
      <c r="M127" s="56">
        <v>980</v>
      </c>
    </row>
    <row r="128" spans="1:26" ht="12.75" customHeight="1">
      <c r="A128" s="13">
        <v>126</v>
      </c>
      <c r="B128" s="42">
        <v>250.74</v>
      </c>
      <c r="C128" s="42">
        <v>313.74</v>
      </c>
      <c r="D128" s="42">
        <v>412.02</v>
      </c>
      <c r="E128" s="42">
        <v>614.88</v>
      </c>
      <c r="F128" s="42">
        <v>976.5</v>
      </c>
      <c r="G128" s="42">
        <v>1113.8399999999999</v>
      </c>
      <c r="H128" s="42">
        <v>1147.8599999999999</v>
      </c>
      <c r="I128" s="42">
        <v>1171.8</v>
      </c>
      <c r="J128" s="42">
        <v>1171.8</v>
      </c>
      <c r="K128" s="60">
        <v>1197</v>
      </c>
      <c r="L128" s="60">
        <v>1197</v>
      </c>
      <c r="M128" s="43">
        <v>987.84</v>
      </c>
    </row>
    <row r="129" spans="1:13" ht="12.75" customHeight="1">
      <c r="A129" s="13">
        <v>127</v>
      </c>
      <c r="B129" s="44">
        <v>252.73</v>
      </c>
      <c r="C129" s="44">
        <v>316.23</v>
      </c>
      <c r="D129" s="44">
        <v>415.29</v>
      </c>
      <c r="E129" s="44">
        <v>619.76</v>
      </c>
      <c r="F129" s="44">
        <v>984.25</v>
      </c>
      <c r="G129" s="44">
        <v>1122.68</v>
      </c>
      <c r="H129" s="44">
        <v>1156.97</v>
      </c>
      <c r="I129" s="44">
        <v>1181.0999999999999</v>
      </c>
      <c r="J129" s="44">
        <v>1181.0999999999999</v>
      </c>
      <c r="K129" s="60">
        <v>1206.5</v>
      </c>
      <c r="L129" s="60">
        <v>1206.5</v>
      </c>
      <c r="M129" s="45">
        <v>995.68</v>
      </c>
    </row>
    <row r="130" spans="1:13" ht="12.75" customHeight="1">
      <c r="A130" s="13">
        <v>128</v>
      </c>
      <c r="B130" s="44">
        <v>254.72</v>
      </c>
      <c r="C130" s="44">
        <v>318.72000000000003</v>
      </c>
      <c r="D130" s="44">
        <v>418.56</v>
      </c>
      <c r="E130" s="44">
        <v>624.64</v>
      </c>
      <c r="F130" s="44">
        <v>992</v>
      </c>
      <c r="G130" s="44">
        <v>1131.52</v>
      </c>
      <c r="H130" s="44">
        <v>1166.08</v>
      </c>
      <c r="I130" s="44">
        <v>1190.4000000000001</v>
      </c>
      <c r="J130" s="44">
        <v>1190.4000000000001</v>
      </c>
      <c r="K130" s="60">
        <v>1216</v>
      </c>
      <c r="L130" s="60">
        <v>1216</v>
      </c>
      <c r="M130" s="45">
        <v>1003.52</v>
      </c>
    </row>
    <row r="131" spans="1:13" ht="12.75" customHeight="1">
      <c r="A131" s="13">
        <v>129</v>
      </c>
      <c r="B131" s="44">
        <v>256.70999999999998</v>
      </c>
      <c r="C131" s="44">
        <v>321.20999999999998</v>
      </c>
      <c r="D131" s="44">
        <v>421.83</v>
      </c>
      <c r="E131" s="44">
        <v>629.52</v>
      </c>
      <c r="F131" s="44">
        <v>999.75</v>
      </c>
      <c r="G131" s="44">
        <v>1140.3599999999999</v>
      </c>
      <c r="H131" s="44">
        <v>1175.19</v>
      </c>
      <c r="I131" s="44">
        <v>1199.7</v>
      </c>
      <c r="J131" s="44">
        <v>1199.7</v>
      </c>
      <c r="K131" s="60">
        <v>1225.5</v>
      </c>
      <c r="L131" s="60">
        <v>1225.5</v>
      </c>
      <c r="M131" s="45">
        <v>1011.36</v>
      </c>
    </row>
    <row r="132" spans="1:13" ht="12.75" customHeight="1">
      <c r="A132" s="13">
        <v>130</v>
      </c>
      <c r="B132" s="46">
        <v>258.7</v>
      </c>
      <c r="C132" s="46">
        <v>323.7</v>
      </c>
      <c r="D132" s="46">
        <v>425.1</v>
      </c>
      <c r="E132" s="46">
        <v>634.4</v>
      </c>
      <c r="F132" s="46">
        <v>1007.5</v>
      </c>
      <c r="G132" s="46">
        <v>1149.2</v>
      </c>
      <c r="H132" s="46">
        <v>1184.3</v>
      </c>
      <c r="I132" s="46">
        <v>1209</v>
      </c>
      <c r="J132" s="46">
        <v>1209</v>
      </c>
      <c r="K132" s="60">
        <v>1235</v>
      </c>
      <c r="L132" s="60">
        <v>1235</v>
      </c>
      <c r="M132" s="47">
        <v>1019.2</v>
      </c>
    </row>
    <row r="133" spans="1:13" ht="12.75" customHeight="1">
      <c r="A133" s="31">
        <v>131</v>
      </c>
      <c r="B133" s="48">
        <v>260.69</v>
      </c>
      <c r="C133" s="48">
        <v>326.19</v>
      </c>
      <c r="D133" s="49">
        <v>428.37</v>
      </c>
      <c r="E133" s="49">
        <v>639.28</v>
      </c>
      <c r="F133" s="49">
        <v>1015.25</v>
      </c>
      <c r="G133" s="49">
        <v>1158.04</v>
      </c>
      <c r="H133" s="49">
        <v>1193.4100000000001</v>
      </c>
      <c r="I133" s="49">
        <v>1218.3</v>
      </c>
      <c r="J133" s="49">
        <v>1218.3</v>
      </c>
      <c r="K133" s="60">
        <v>1244.5</v>
      </c>
      <c r="L133" s="60">
        <v>1244.5</v>
      </c>
      <c r="M133" s="50">
        <v>1027.04</v>
      </c>
    </row>
    <row r="134" spans="1:13" ht="12.75" customHeight="1">
      <c r="A134" s="19">
        <v>132</v>
      </c>
      <c r="B134" s="51">
        <v>262.68</v>
      </c>
      <c r="C134" s="51">
        <v>328.68</v>
      </c>
      <c r="D134" s="52">
        <v>431.64</v>
      </c>
      <c r="E134" s="52">
        <v>644.16</v>
      </c>
      <c r="F134" s="52">
        <v>1023</v>
      </c>
      <c r="G134" s="52">
        <v>1166.8800000000001</v>
      </c>
      <c r="H134" s="52">
        <v>1202.52</v>
      </c>
      <c r="I134" s="52">
        <v>1227.5999999999999</v>
      </c>
      <c r="J134" s="52">
        <v>1227.5999999999999</v>
      </c>
      <c r="K134" s="60">
        <v>1254</v>
      </c>
      <c r="L134" s="60">
        <v>1254</v>
      </c>
      <c r="M134" s="53">
        <v>1034.8800000000001</v>
      </c>
    </row>
    <row r="135" spans="1:13" ht="12.75" customHeight="1">
      <c r="A135" s="19">
        <v>133</v>
      </c>
      <c r="B135" s="51">
        <v>264.67</v>
      </c>
      <c r="C135" s="51">
        <v>331.17</v>
      </c>
      <c r="D135" s="52">
        <v>434.91</v>
      </c>
      <c r="E135" s="52">
        <v>649.04</v>
      </c>
      <c r="F135" s="52">
        <v>1030.75</v>
      </c>
      <c r="G135" s="52">
        <v>1175.72</v>
      </c>
      <c r="H135" s="52">
        <v>1211.6300000000001</v>
      </c>
      <c r="I135" s="52">
        <v>1236.9000000000001</v>
      </c>
      <c r="J135" s="52">
        <v>1236.9000000000001</v>
      </c>
      <c r="K135" s="60">
        <v>1263.5</v>
      </c>
      <c r="L135" s="60">
        <v>1263.5</v>
      </c>
      <c r="M135" s="53">
        <v>1042.72</v>
      </c>
    </row>
    <row r="136" spans="1:13" ht="12.75" customHeight="1">
      <c r="A136" s="19">
        <v>134</v>
      </c>
      <c r="B136" s="51">
        <v>266.66000000000003</v>
      </c>
      <c r="C136" s="51">
        <v>333.66</v>
      </c>
      <c r="D136" s="52">
        <v>438.18</v>
      </c>
      <c r="E136" s="52">
        <v>653.91999999999996</v>
      </c>
      <c r="F136" s="52">
        <v>1038.5</v>
      </c>
      <c r="G136" s="52">
        <v>1184.56</v>
      </c>
      <c r="H136" s="52">
        <v>1220.74</v>
      </c>
      <c r="I136" s="52">
        <v>1246.2</v>
      </c>
      <c r="J136" s="52">
        <v>1246.2</v>
      </c>
      <c r="K136" s="60">
        <v>1273</v>
      </c>
      <c r="L136" s="60">
        <v>1273</v>
      </c>
      <c r="M136" s="53">
        <v>1050.56</v>
      </c>
    </row>
    <row r="137" spans="1:13" ht="12.75" customHeight="1">
      <c r="A137" s="19">
        <v>135</v>
      </c>
      <c r="B137" s="54">
        <v>268.64999999999998</v>
      </c>
      <c r="C137" s="54">
        <v>336.15</v>
      </c>
      <c r="D137" s="55">
        <v>441.45</v>
      </c>
      <c r="E137" s="55">
        <v>658.8</v>
      </c>
      <c r="F137" s="55">
        <v>1046.25</v>
      </c>
      <c r="G137" s="55">
        <v>1193.4000000000001</v>
      </c>
      <c r="H137" s="55">
        <v>1229.8499999999999</v>
      </c>
      <c r="I137" s="55">
        <v>1255.5</v>
      </c>
      <c r="J137" s="55">
        <v>1255.5</v>
      </c>
      <c r="K137" s="60">
        <v>1282.5</v>
      </c>
      <c r="L137" s="60">
        <v>1282.5</v>
      </c>
      <c r="M137" s="56">
        <v>1058.4000000000001</v>
      </c>
    </row>
    <row r="138" spans="1:13" ht="12.75" customHeight="1">
      <c r="A138" s="32">
        <v>136</v>
      </c>
      <c r="B138" s="42">
        <v>270.64</v>
      </c>
      <c r="C138" s="42">
        <v>338.64</v>
      </c>
      <c r="D138" s="42">
        <v>444.72</v>
      </c>
      <c r="E138" s="42">
        <v>663.68</v>
      </c>
      <c r="F138" s="42">
        <v>1054</v>
      </c>
      <c r="G138" s="42">
        <v>1202.24</v>
      </c>
      <c r="H138" s="42">
        <v>1238.96</v>
      </c>
      <c r="I138" s="42">
        <v>1264.8</v>
      </c>
      <c r="J138" s="42">
        <v>1264.8</v>
      </c>
      <c r="K138" s="60">
        <v>1292</v>
      </c>
      <c r="L138" s="60">
        <v>1292</v>
      </c>
      <c r="M138" s="43">
        <v>1066.24</v>
      </c>
    </row>
    <row r="139" spans="1:13" ht="12.75" customHeight="1">
      <c r="A139" s="13">
        <v>137</v>
      </c>
      <c r="B139" s="44">
        <v>272.63</v>
      </c>
      <c r="C139" s="44">
        <v>341.13</v>
      </c>
      <c r="D139" s="44">
        <v>447.99</v>
      </c>
      <c r="E139" s="44">
        <v>668.56</v>
      </c>
      <c r="F139" s="44">
        <v>1061.75</v>
      </c>
      <c r="G139" s="44">
        <v>1211.08</v>
      </c>
      <c r="H139" s="44">
        <v>1248.07</v>
      </c>
      <c r="I139" s="44">
        <v>1274.0999999999999</v>
      </c>
      <c r="J139" s="44">
        <v>1274.0999999999999</v>
      </c>
      <c r="K139" s="60">
        <v>1301.5</v>
      </c>
      <c r="L139" s="60">
        <v>1301.5</v>
      </c>
      <c r="M139" s="45">
        <v>1074.08</v>
      </c>
    </row>
    <row r="140" spans="1:13" ht="12.75" customHeight="1">
      <c r="A140" s="13">
        <v>138</v>
      </c>
      <c r="B140" s="44">
        <v>274.62</v>
      </c>
      <c r="C140" s="44">
        <v>343.62</v>
      </c>
      <c r="D140" s="44">
        <v>451.26</v>
      </c>
      <c r="E140" s="44">
        <v>673.44</v>
      </c>
      <c r="F140" s="44">
        <v>1069.5</v>
      </c>
      <c r="G140" s="44">
        <v>1219.92</v>
      </c>
      <c r="H140" s="44">
        <v>1257.18</v>
      </c>
      <c r="I140" s="44">
        <v>1283.4000000000001</v>
      </c>
      <c r="J140" s="44">
        <v>1283.4000000000001</v>
      </c>
      <c r="K140" s="60">
        <v>1311</v>
      </c>
      <c r="L140" s="60">
        <v>1311</v>
      </c>
      <c r="M140" s="45">
        <v>1081.92</v>
      </c>
    </row>
    <row r="141" spans="1:13" ht="12.75" customHeight="1">
      <c r="A141" s="13">
        <v>139</v>
      </c>
      <c r="B141" s="44">
        <v>276.61</v>
      </c>
      <c r="C141" s="44">
        <v>346.11</v>
      </c>
      <c r="D141" s="44">
        <v>454.53</v>
      </c>
      <c r="E141" s="44">
        <v>678.32</v>
      </c>
      <c r="F141" s="44">
        <v>1077.25</v>
      </c>
      <c r="G141" s="44">
        <v>1228.76</v>
      </c>
      <c r="H141" s="44">
        <v>1266.29</v>
      </c>
      <c r="I141" s="44">
        <v>1292.7</v>
      </c>
      <c r="J141" s="44">
        <v>1292.7</v>
      </c>
      <c r="K141" s="60">
        <v>1320.5</v>
      </c>
      <c r="L141" s="60">
        <v>1320.5</v>
      </c>
      <c r="M141" s="45">
        <v>1089.76</v>
      </c>
    </row>
    <row r="142" spans="1:13" ht="12.75" customHeight="1">
      <c r="A142" s="16">
        <v>140</v>
      </c>
      <c r="B142" s="46">
        <v>278.60000000000002</v>
      </c>
      <c r="C142" s="46">
        <v>348.6</v>
      </c>
      <c r="D142" s="46">
        <v>457.8</v>
      </c>
      <c r="E142" s="46">
        <v>683.2</v>
      </c>
      <c r="F142" s="46">
        <v>1085</v>
      </c>
      <c r="G142" s="46">
        <v>1237.5999999999999</v>
      </c>
      <c r="H142" s="46">
        <v>1275.4000000000001</v>
      </c>
      <c r="I142" s="46">
        <v>1302</v>
      </c>
      <c r="J142" s="46">
        <v>1302</v>
      </c>
      <c r="K142" s="60">
        <v>1330</v>
      </c>
      <c r="L142" s="60">
        <v>1330</v>
      </c>
      <c r="M142" s="47">
        <v>1097.5999999999999</v>
      </c>
    </row>
    <row r="143" spans="1:13" ht="12.75" customHeight="1">
      <c r="A143" s="19">
        <v>141</v>
      </c>
      <c r="B143" s="48">
        <v>280.58999999999997</v>
      </c>
      <c r="C143" s="48">
        <v>351.09</v>
      </c>
      <c r="D143" s="49">
        <v>461.07</v>
      </c>
      <c r="E143" s="49">
        <v>688.08</v>
      </c>
      <c r="F143" s="49">
        <v>1092.75</v>
      </c>
      <c r="G143" s="49">
        <v>1246.44</v>
      </c>
      <c r="H143" s="49">
        <v>1284.51</v>
      </c>
      <c r="I143" s="49">
        <v>1311.3</v>
      </c>
      <c r="J143" s="49">
        <v>1311.3</v>
      </c>
      <c r="K143" s="60">
        <v>1339.5</v>
      </c>
      <c r="L143" s="60">
        <v>1339.5</v>
      </c>
      <c r="M143" s="50">
        <v>1105.44</v>
      </c>
    </row>
    <row r="144" spans="1:13" ht="12.75" customHeight="1">
      <c r="A144" s="23">
        <v>142</v>
      </c>
      <c r="B144" s="51">
        <v>282.58</v>
      </c>
      <c r="C144" s="51">
        <v>353.58</v>
      </c>
      <c r="D144" s="52">
        <v>464.34</v>
      </c>
      <c r="E144" s="52">
        <v>692.96</v>
      </c>
      <c r="F144" s="52">
        <v>1100.5</v>
      </c>
      <c r="G144" s="52">
        <v>1255.28</v>
      </c>
      <c r="H144" s="52">
        <v>1293.6199999999999</v>
      </c>
      <c r="I144" s="52">
        <v>1320.6</v>
      </c>
      <c r="J144" s="52">
        <v>1320.6</v>
      </c>
      <c r="K144" s="60">
        <v>1349</v>
      </c>
      <c r="L144" s="60">
        <v>1349</v>
      </c>
      <c r="M144" s="53">
        <v>1113.28</v>
      </c>
    </row>
    <row r="145" spans="1:13" ht="12.75" customHeight="1">
      <c r="A145" s="23">
        <v>143</v>
      </c>
      <c r="B145" s="51">
        <v>284.57</v>
      </c>
      <c r="C145" s="51">
        <v>356.07</v>
      </c>
      <c r="D145" s="52">
        <v>467.61</v>
      </c>
      <c r="E145" s="52">
        <v>697.84</v>
      </c>
      <c r="F145" s="52">
        <v>1108.25</v>
      </c>
      <c r="G145" s="52">
        <v>1264.1199999999999</v>
      </c>
      <c r="H145" s="52">
        <v>1302.73</v>
      </c>
      <c r="I145" s="52">
        <v>1329.9</v>
      </c>
      <c r="J145" s="52">
        <v>1329.9</v>
      </c>
      <c r="K145" s="60">
        <v>1358.5</v>
      </c>
      <c r="L145" s="60">
        <v>1358.5</v>
      </c>
      <c r="M145" s="53">
        <v>1121.1199999999999</v>
      </c>
    </row>
    <row r="146" spans="1:13" ht="12.75" customHeight="1">
      <c r="A146" s="23">
        <v>144</v>
      </c>
      <c r="B146" s="51">
        <v>286.56</v>
      </c>
      <c r="C146" s="51">
        <v>358.56</v>
      </c>
      <c r="D146" s="52">
        <v>470.88</v>
      </c>
      <c r="E146" s="52">
        <v>702.72</v>
      </c>
      <c r="F146" s="52">
        <v>1116</v>
      </c>
      <c r="G146" s="52">
        <v>1272.96</v>
      </c>
      <c r="H146" s="52">
        <v>1311.84</v>
      </c>
      <c r="I146" s="52">
        <v>1339.2</v>
      </c>
      <c r="J146" s="52">
        <v>1339.2</v>
      </c>
      <c r="K146" s="60">
        <v>1368</v>
      </c>
      <c r="L146" s="60">
        <v>1368</v>
      </c>
      <c r="M146" s="53">
        <v>1128.96</v>
      </c>
    </row>
    <row r="147" spans="1:13" ht="12.75" customHeight="1">
      <c r="A147" s="23">
        <v>145</v>
      </c>
      <c r="B147" s="54">
        <v>288.55</v>
      </c>
      <c r="C147" s="54">
        <v>361.05</v>
      </c>
      <c r="D147" s="55">
        <v>474.15</v>
      </c>
      <c r="E147" s="55">
        <v>707.6</v>
      </c>
      <c r="F147" s="55">
        <v>1123.75</v>
      </c>
      <c r="G147" s="55">
        <v>1281.8</v>
      </c>
      <c r="H147" s="55">
        <v>1320.95</v>
      </c>
      <c r="I147" s="55">
        <v>1348.5</v>
      </c>
      <c r="J147" s="55">
        <v>1348.5</v>
      </c>
      <c r="K147" s="60">
        <v>1377.5</v>
      </c>
      <c r="L147" s="60">
        <v>1377.5</v>
      </c>
      <c r="M147" s="56">
        <v>1136.8</v>
      </c>
    </row>
    <row r="148" spans="1:13" ht="12.75" customHeight="1">
      <c r="A148" s="9">
        <v>146</v>
      </c>
      <c r="B148" s="42">
        <v>290.54000000000002</v>
      </c>
      <c r="C148" s="42">
        <v>363.54</v>
      </c>
      <c r="D148" s="42">
        <v>477.42</v>
      </c>
      <c r="E148" s="42">
        <v>712.48</v>
      </c>
      <c r="F148" s="42">
        <v>1131.5</v>
      </c>
      <c r="G148" s="42">
        <v>1290.6400000000001</v>
      </c>
      <c r="H148" s="42">
        <v>1330.06</v>
      </c>
      <c r="I148" s="42">
        <v>1357.8</v>
      </c>
      <c r="J148" s="42">
        <v>1357.8</v>
      </c>
      <c r="K148" s="60">
        <v>1387</v>
      </c>
      <c r="L148" s="60">
        <v>1387</v>
      </c>
      <c r="M148" s="43">
        <v>1144.6400000000001</v>
      </c>
    </row>
    <row r="149" spans="1:13" ht="12.75" customHeight="1">
      <c r="A149" s="33">
        <v>147</v>
      </c>
      <c r="B149" s="44">
        <v>292.52999999999997</v>
      </c>
      <c r="C149" s="44">
        <v>366.03</v>
      </c>
      <c r="D149" s="44">
        <v>480.69</v>
      </c>
      <c r="E149" s="44">
        <v>717.36</v>
      </c>
      <c r="F149" s="44">
        <v>1139.25</v>
      </c>
      <c r="G149" s="44">
        <v>1299.48</v>
      </c>
      <c r="H149" s="44">
        <v>1339.17</v>
      </c>
      <c r="I149" s="44">
        <v>1367.1</v>
      </c>
      <c r="J149" s="44">
        <v>1367.1</v>
      </c>
      <c r="K149" s="60">
        <v>1396.5</v>
      </c>
      <c r="L149" s="60">
        <v>1396.5</v>
      </c>
      <c r="M149" s="45">
        <v>1152.48</v>
      </c>
    </row>
    <row r="150" spans="1:13" ht="12.75" customHeight="1">
      <c r="A150" s="33">
        <v>148</v>
      </c>
      <c r="B150" s="44">
        <v>294.52</v>
      </c>
      <c r="C150" s="44">
        <v>368.52</v>
      </c>
      <c r="D150" s="44">
        <v>483.96</v>
      </c>
      <c r="E150" s="44">
        <v>722.24</v>
      </c>
      <c r="F150" s="44">
        <v>1147</v>
      </c>
      <c r="G150" s="44">
        <v>1308.32</v>
      </c>
      <c r="H150" s="44">
        <v>1348.28</v>
      </c>
      <c r="I150" s="44">
        <v>1376.4</v>
      </c>
      <c r="J150" s="44">
        <v>1376.4</v>
      </c>
      <c r="K150" s="60">
        <v>1406</v>
      </c>
      <c r="L150" s="60">
        <v>1406</v>
      </c>
      <c r="M150" s="45">
        <v>1160.32</v>
      </c>
    </row>
    <row r="151" spans="1:13" ht="12.75" customHeight="1">
      <c r="A151" s="33">
        <v>149</v>
      </c>
      <c r="B151" s="44">
        <v>296.51</v>
      </c>
      <c r="C151" s="44">
        <v>371.01</v>
      </c>
      <c r="D151" s="44">
        <v>487.23</v>
      </c>
      <c r="E151" s="44">
        <v>727.12</v>
      </c>
      <c r="F151" s="44">
        <v>1154.75</v>
      </c>
      <c r="G151" s="44">
        <v>1317.16</v>
      </c>
      <c r="H151" s="44">
        <v>1357.39</v>
      </c>
      <c r="I151" s="44">
        <v>1385.7</v>
      </c>
      <c r="J151" s="44">
        <v>1385.7</v>
      </c>
      <c r="K151" s="60">
        <v>1415.5</v>
      </c>
      <c r="L151" s="60">
        <v>1415.5</v>
      </c>
      <c r="M151" s="45">
        <v>1168.1600000000001</v>
      </c>
    </row>
    <row r="152" spans="1:13" ht="12.75" customHeight="1">
      <c r="A152" s="16">
        <v>150</v>
      </c>
      <c r="B152" s="46">
        <v>298.5</v>
      </c>
      <c r="C152" s="46">
        <v>373.5</v>
      </c>
      <c r="D152" s="46">
        <v>490.5</v>
      </c>
      <c r="E152" s="46">
        <v>732</v>
      </c>
      <c r="F152" s="46">
        <v>1162.5</v>
      </c>
      <c r="G152" s="46">
        <v>1326</v>
      </c>
      <c r="H152" s="46">
        <v>1366.5</v>
      </c>
      <c r="I152" s="46">
        <v>1395</v>
      </c>
      <c r="J152" s="46">
        <v>1395</v>
      </c>
      <c r="K152" s="60">
        <v>1425</v>
      </c>
      <c r="L152" s="60">
        <v>1425</v>
      </c>
      <c r="M152" s="47">
        <v>1176</v>
      </c>
    </row>
    <row r="153" spans="1:13" ht="12.75" customHeight="1">
      <c r="A153" s="36">
        <v>1000</v>
      </c>
      <c r="B153" s="61">
        <v>1.99</v>
      </c>
      <c r="C153" s="61">
        <v>2.4900000000000002</v>
      </c>
      <c r="D153" s="61">
        <v>3.27</v>
      </c>
      <c r="E153" s="61">
        <v>4.88</v>
      </c>
      <c r="F153" s="61">
        <v>7.78</v>
      </c>
      <c r="G153" s="61">
        <v>8.84</v>
      </c>
      <c r="H153" s="61">
        <v>9.11</v>
      </c>
      <c r="I153" s="61">
        <v>9.3000000000000007</v>
      </c>
      <c r="J153" s="61">
        <v>9.3000000000000007</v>
      </c>
      <c r="K153" s="61">
        <v>9.5</v>
      </c>
      <c r="L153" s="61">
        <v>9.5</v>
      </c>
      <c r="M153" s="61">
        <v>7.84</v>
      </c>
    </row>
    <row r="154" spans="1:13" ht="12.75" customHeight="1"/>
    <row r="155" spans="1:13" ht="12.75" customHeight="1"/>
    <row r="156" spans="1:13" ht="12.75" customHeight="1"/>
    <row r="157" spans="1:13" ht="12.75" customHeight="1"/>
    <row r="158" spans="1:13" ht="12.75" customHeight="1"/>
    <row r="159" spans="1:13" ht="12.75" customHeight="1"/>
    <row r="160" spans="1:13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0.51" bottom="0.56999999999999995" header="0" footer="0"/>
  <pageSetup scale="92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BFBFBF"/>
  </sheetPr>
  <dimension ref="A1:U1000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/>
  <cols>
    <col min="1" max="1" width="11" customWidth="1"/>
    <col min="2" max="2" width="8.5703125" customWidth="1"/>
    <col min="3" max="3" width="7.140625" customWidth="1"/>
    <col min="4" max="5" width="9.42578125" customWidth="1"/>
    <col min="6" max="6" width="7.140625" customWidth="1"/>
    <col min="7" max="7" width="9" customWidth="1"/>
    <col min="8" max="8" width="7.140625" customWidth="1"/>
    <col min="9" max="9" width="6.5703125" customWidth="1"/>
    <col min="10" max="10" width="9.42578125" customWidth="1"/>
    <col min="11" max="11" width="9" customWidth="1"/>
    <col min="12" max="12" width="6.7109375" customWidth="1"/>
    <col min="13" max="14" width="8.5703125" customWidth="1"/>
    <col min="15" max="15" width="9" customWidth="1"/>
    <col min="16" max="16" width="8.5703125" customWidth="1"/>
    <col min="17" max="17" width="9.42578125" customWidth="1"/>
    <col min="18" max="26" width="8.5703125" customWidth="1"/>
  </cols>
  <sheetData>
    <row r="1" spans="1:21" ht="12.75" customHeight="1">
      <c r="A1" s="226" t="s">
        <v>98</v>
      </c>
    </row>
    <row r="2" spans="1:21" ht="12.75" customHeight="1">
      <c r="A2" s="213" t="s">
        <v>185</v>
      </c>
    </row>
    <row r="3" spans="1:21" ht="12.75" customHeight="1"/>
    <row r="4" spans="1:21" ht="12.75" customHeight="1">
      <c r="A4" s="309" t="s">
        <v>74</v>
      </c>
      <c r="B4" s="309" t="s">
        <v>163</v>
      </c>
      <c r="C4" s="309" t="s">
        <v>164</v>
      </c>
      <c r="D4" s="309" t="s">
        <v>165</v>
      </c>
      <c r="E4" s="309" t="s">
        <v>166</v>
      </c>
      <c r="F4" s="309" t="s">
        <v>167</v>
      </c>
      <c r="G4" s="309" t="s">
        <v>168</v>
      </c>
      <c r="H4" s="309" t="s">
        <v>169</v>
      </c>
      <c r="I4" s="309" t="s">
        <v>170</v>
      </c>
      <c r="J4" s="309" t="s">
        <v>171</v>
      </c>
      <c r="K4" s="309" t="s">
        <v>172</v>
      </c>
      <c r="L4" s="309" t="s">
        <v>173</v>
      </c>
      <c r="M4" s="309" t="s">
        <v>174</v>
      </c>
      <c r="N4" s="309" t="s">
        <v>175</v>
      </c>
      <c r="O4" s="309" t="s">
        <v>176</v>
      </c>
      <c r="P4" s="309" t="s">
        <v>177</v>
      </c>
      <c r="Q4" s="309" t="s">
        <v>178</v>
      </c>
      <c r="R4" s="309" t="s">
        <v>179</v>
      </c>
      <c r="S4" s="309" t="s">
        <v>180</v>
      </c>
      <c r="T4" s="309" t="s">
        <v>181</v>
      </c>
      <c r="U4" s="309" t="s">
        <v>182</v>
      </c>
    </row>
    <row r="5" spans="1:21" ht="12.75" customHeight="1">
      <c r="A5" s="309" t="s">
        <v>49</v>
      </c>
      <c r="B5" s="309">
        <v>1</v>
      </c>
      <c r="C5" s="309">
        <v>2</v>
      </c>
      <c r="D5" s="309">
        <v>3</v>
      </c>
      <c r="E5" s="309">
        <v>4</v>
      </c>
      <c r="F5" s="309">
        <v>5</v>
      </c>
      <c r="G5" s="309">
        <v>6</v>
      </c>
      <c r="H5" s="309">
        <v>7</v>
      </c>
      <c r="I5" s="309">
        <v>8</v>
      </c>
      <c r="J5" s="309">
        <v>9</v>
      </c>
      <c r="K5" s="309">
        <v>10</v>
      </c>
      <c r="L5" s="309">
        <v>11</v>
      </c>
      <c r="M5" s="309">
        <v>12</v>
      </c>
      <c r="N5" s="309">
        <v>13</v>
      </c>
      <c r="O5" s="309">
        <v>14</v>
      </c>
      <c r="P5" s="309">
        <v>15</v>
      </c>
      <c r="Q5" s="309">
        <v>16</v>
      </c>
      <c r="R5" s="309">
        <v>17</v>
      </c>
      <c r="S5" s="309">
        <v>18</v>
      </c>
      <c r="T5" s="309">
        <v>19</v>
      </c>
      <c r="U5" s="309">
        <v>20</v>
      </c>
    </row>
    <row r="6" spans="1:21" ht="12.75" customHeight="1">
      <c r="A6" s="312">
        <v>1</v>
      </c>
      <c r="B6" s="313">
        <f>IF(LEN(USPS_Pri_Int_Base!B2)&gt;0,ROUND(USPS_Pri_Int_Base!B2*(1+PostalMarkup),2),"N/A")</f>
        <v>50.08</v>
      </c>
      <c r="C6" s="313">
        <f>IF(LEN(USPS_Pri_Int_Base!C2)&gt;0,ROUND(USPS_Pri_Int_Base!C2*(1+PostalMarkup),2),"N/A")</f>
        <v>70.67</v>
      </c>
      <c r="D6" s="313">
        <f>IF(LEN(USPS_Pri_Int_Base!D2)&gt;0,ROUND(USPS_Pri_Int_Base!D2*(1+PostalMarkup),2),"N/A")</f>
        <v>79.81</v>
      </c>
      <c r="E6" s="313">
        <f>IF(LEN(USPS_Pri_Int_Base!E2)&gt;0,ROUND(USPS_Pri_Int_Base!E2*(1+PostalMarkup),2),"N/A")</f>
        <v>80.959999999999994</v>
      </c>
      <c r="F6" s="313">
        <f>IF(LEN(USPS_Pri_Int_Base!F2)&gt;0,ROUND(USPS_Pri_Int_Base!F2*(1+PostalMarkup),2),"N/A")</f>
        <v>82.46</v>
      </c>
      <c r="G6" s="313">
        <f>IF(LEN(USPS_Pri_Int_Base!G2)&gt;0,ROUND(USPS_Pri_Int_Base!G2*(1+PostalMarkup),2),"N/A")</f>
        <v>76.19</v>
      </c>
      <c r="H6" s="313">
        <f>IF(LEN(USPS_Pri_Int_Base!H2)&gt;0,ROUND(USPS_Pri_Int_Base!H2*(1+PostalMarkup),2),"N/A")</f>
        <v>77.11</v>
      </c>
      <c r="I6" s="313">
        <f>IF(LEN(USPS_Pri_Int_Base!I2)&gt;0,ROUND(USPS_Pri_Int_Base!I2*(1+PostalMarkup),2),"N/A")</f>
        <v>75.61</v>
      </c>
      <c r="J6" s="313">
        <f>IF(LEN(USPS_Pri_Int_Base!J2)&gt;0,ROUND(USPS_Pri_Int_Base!J2*(1+PostalMarkup),2),"N/A")</f>
        <v>78.599999999999994</v>
      </c>
      <c r="K6" s="313">
        <f>IF(LEN(USPS_Pri_Int_Base!K2)&gt;0,ROUND(USPS_Pri_Int_Base!K2*(1+PostalMarkup),2),"N/A")</f>
        <v>72.510000000000005</v>
      </c>
      <c r="L6" s="313">
        <f>IF(LEN(USPS_Pri_Int_Base!L2)&gt;0,ROUND(USPS_Pri_Int_Base!L2*(1+PostalMarkup),2),"N/A")</f>
        <v>74.81</v>
      </c>
      <c r="M6" s="313">
        <f>IF(LEN(USPS_Pri_Int_Base!M2)&gt;0,ROUND(USPS_Pri_Int_Base!M2*(1+PostalMarkup),2),"N/A")</f>
        <v>81.25</v>
      </c>
      <c r="N6" s="313">
        <f>IF(LEN(USPS_Pri_Int_Base!N2)&gt;0,ROUND(USPS_Pri_Int_Base!N2*(1+PostalMarkup),2),"N/A")</f>
        <v>82.97</v>
      </c>
      <c r="O6" s="313">
        <f>IF(LEN(USPS_Pri_Int_Base!O2)&gt;0,ROUND(USPS_Pri_Int_Base!O2*(1+PostalMarkup),2),"N/A")</f>
        <v>74.98</v>
      </c>
      <c r="P6" s="313">
        <f>IF(LEN(USPS_Pri_Int_Base!P2)&gt;0,ROUND(USPS_Pri_Int_Base!P2*(1+PostalMarkup),2),"N/A")</f>
        <v>79.930000000000007</v>
      </c>
      <c r="Q6" s="313">
        <f>IF(LEN(USPS_Pri_Int_Base!Q2)&gt;0,ROUND(USPS_Pri_Int_Base!Q2*(1+PostalMarkup),2),"N/A")</f>
        <v>94.65</v>
      </c>
      <c r="R6" s="313">
        <f>IF(LEN(USPS_Pri_Int_Base!R2)&gt;0,ROUND(USPS_Pri_Int_Base!R2*(1+PostalMarkup),2),"N/A")</f>
        <v>75.959999999999994</v>
      </c>
      <c r="S6" s="313">
        <f>IF(LEN(USPS_Pri_Int_Base!S2)&gt;0,ROUND(USPS_Pri_Int_Base!S2*(1+PostalMarkup),2),"N/A")</f>
        <v>78.78</v>
      </c>
      <c r="T6" s="313">
        <f>IF(LEN(USPS_Pri_Int_Base!T2)&gt;0,ROUND(USPS_Pri_Int_Base!T2*(1+PostalMarkup),2),"N/A")</f>
        <v>95.62</v>
      </c>
      <c r="U6" s="313">
        <f>IF(LEN(USPS_Pri_Int_Base!U2)&gt;0,ROUND(USPS_Pri_Int_Base!U2*(1+PostalMarkup),2),"N/A")</f>
        <v>80.16</v>
      </c>
    </row>
    <row r="7" spans="1:21" ht="12.75" customHeight="1">
      <c r="A7" s="312">
        <v>2</v>
      </c>
      <c r="B7" s="313">
        <f>IF(LEN(USPS_Pri_Int_Base!B3)&gt;0,ROUND(USPS_Pri_Int_Base!B3*(1+PostalMarkup),2),"N/A")</f>
        <v>54.11</v>
      </c>
      <c r="C7" s="313">
        <f>IF(LEN(USPS_Pri_Int_Base!C3)&gt;0,ROUND(USPS_Pri_Int_Base!C3*(1+PostalMarkup),2),"N/A")</f>
        <v>74.12</v>
      </c>
      <c r="D7" s="313">
        <f>IF(LEN(USPS_Pri_Int_Base!D3)&gt;0,ROUND(USPS_Pri_Int_Base!D3*(1+PostalMarkup),2),"N/A")</f>
        <v>84.41</v>
      </c>
      <c r="E7" s="313">
        <f>IF(LEN(USPS_Pri_Int_Base!E3)&gt;0,ROUND(USPS_Pri_Int_Base!E3*(1+PostalMarkup),2),"N/A")</f>
        <v>85.1</v>
      </c>
      <c r="F7" s="313">
        <f>IF(LEN(USPS_Pri_Int_Base!F3)&gt;0,ROUND(USPS_Pri_Int_Base!F3*(1+PostalMarkup),2),"N/A")</f>
        <v>88.61</v>
      </c>
      <c r="G7" s="313">
        <f>IF(LEN(USPS_Pri_Int_Base!G3)&gt;0,ROUND(USPS_Pri_Int_Base!G3*(1+PostalMarkup),2),"N/A")</f>
        <v>82.74</v>
      </c>
      <c r="H7" s="313">
        <f>IF(LEN(USPS_Pri_Int_Base!H3)&gt;0,ROUND(USPS_Pri_Int_Base!H3*(1+PostalMarkup),2),"N/A")</f>
        <v>83.43</v>
      </c>
      <c r="I7" s="313">
        <f>IF(LEN(USPS_Pri_Int_Base!I3)&gt;0,ROUND(USPS_Pri_Int_Base!I3*(1+PostalMarkup),2),"N/A")</f>
        <v>84.53</v>
      </c>
      <c r="J7" s="313">
        <f>IF(LEN(USPS_Pri_Int_Base!J3)&gt;0,ROUND(USPS_Pri_Int_Base!J3*(1+PostalMarkup),2),"N/A")</f>
        <v>86.25</v>
      </c>
      <c r="K7" s="313">
        <f>IF(LEN(USPS_Pri_Int_Base!K3)&gt;0,ROUND(USPS_Pri_Int_Base!K3*(1+PostalMarkup),2),"N/A")</f>
        <v>78.83</v>
      </c>
      <c r="L7" s="313">
        <f>IF(LEN(USPS_Pri_Int_Base!L3)&gt;0,ROUND(USPS_Pri_Int_Base!L3*(1+PostalMarkup),2),"N/A")</f>
        <v>79.930000000000007</v>
      </c>
      <c r="M7" s="313">
        <f>IF(LEN(USPS_Pri_Int_Base!M3)&gt;0,ROUND(USPS_Pri_Int_Base!M3*(1+PostalMarkup),2),"N/A")</f>
        <v>89.64</v>
      </c>
      <c r="N7" s="313">
        <f>IF(LEN(USPS_Pri_Int_Base!N3)&gt;0,ROUND(USPS_Pri_Int_Base!N3*(1+PostalMarkup),2),"N/A")</f>
        <v>87.69</v>
      </c>
      <c r="O7" s="313">
        <f>IF(LEN(USPS_Pri_Int_Base!O3)&gt;0,ROUND(USPS_Pri_Int_Base!O3*(1+PostalMarkup),2),"N/A")</f>
        <v>80.849999999999994</v>
      </c>
      <c r="P7" s="313">
        <f>IF(LEN(USPS_Pri_Int_Base!P3)&gt;0,ROUND(USPS_Pri_Int_Base!P3*(1+PostalMarkup),2),"N/A")</f>
        <v>84.7</v>
      </c>
      <c r="Q7" s="313">
        <f>IF(LEN(USPS_Pri_Int_Base!Q3)&gt;0,ROUND(USPS_Pri_Int_Base!Q3*(1+PostalMarkup),2),"N/A")</f>
        <v>98.33</v>
      </c>
      <c r="R7" s="313">
        <f>IF(LEN(USPS_Pri_Int_Base!R3)&gt;0,ROUND(USPS_Pri_Int_Base!R3*(1+PostalMarkup),2),"N/A")</f>
        <v>79.87</v>
      </c>
      <c r="S7" s="313">
        <f>IF(LEN(USPS_Pri_Int_Base!S3)&gt;0,ROUND(USPS_Pri_Int_Base!S3*(1+PostalMarkup),2),"N/A")</f>
        <v>82.69</v>
      </c>
      <c r="T7" s="313">
        <f>IF(LEN(USPS_Pri_Int_Base!T3)&gt;0,ROUND(USPS_Pri_Int_Base!T3*(1+PostalMarkup),2),"N/A")</f>
        <v>105.4</v>
      </c>
      <c r="U7" s="313">
        <f>IF(LEN(USPS_Pri_Int_Base!U3)&gt;0,ROUND(USPS_Pri_Int_Base!U3*(1+PostalMarkup),2),"N/A")</f>
        <v>88.44</v>
      </c>
    </row>
    <row r="8" spans="1:21" ht="12.75" customHeight="1">
      <c r="A8" s="312">
        <v>3</v>
      </c>
      <c r="B8" s="313">
        <f>IF(LEN(USPS_Pri_Int_Base!B4)&gt;0,ROUND(USPS_Pri_Int_Base!B4*(1+PostalMarkup),2),"N/A")</f>
        <v>58.02</v>
      </c>
      <c r="C8" s="313">
        <f>IF(LEN(USPS_Pri_Int_Base!C4)&gt;0,ROUND(USPS_Pri_Int_Base!C4*(1+PostalMarkup),2),"N/A")</f>
        <v>78.66</v>
      </c>
      <c r="D8" s="313">
        <f>IF(LEN(USPS_Pri_Int_Base!D4)&gt;0,ROUND(USPS_Pri_Int_Base!D4*(1+PostalMarkup),2),"N/A")</f>
        <v>90.97</v>
      </c>
      <c r="E8" s="313">
        <f>IF(LEN(USPS_Pri_Int_Base!E4)&gt;0,ROUND(USPS_Pri_Int_Base!E4*(1+PostalMarkup),2),"N/A")</f>
        <v>89.53</v>
      </c>
      <c r="F8" s="313">
        <f>IF(LEN(USPS_Pri_Int_Base!F4)&gt;0,ROUND(USPS_Pri_Int_Base!F4*(1+PostalMarkup),2),"N/A")</f>
        <v>95.62</v>
      </c>
      <c r="G8" s="313">
        <f>IF(LEN(USPS_Pri_Int_Base!G4)&gt;0,ROUND(USPS_Pri_Int_Base!G4*(1+PostalMarkup),2),"N/A")</f>
        <v>89.18</v>
      </c>
      <c r="H8" s="313">
        <f>IF(LEN(USPS_Pri_Int_Base!H4)&gt;0,ROUND(USPS_Pri_Int_Base!H4*(1+PostalMarkup),2),"N/A")</f>
        <v>90.39</v>
      </c>
      <c r="I8" s="313">
        <f>IF(LEN(USPS_Pri_Int_Base!I4)&gt;0,ROUND(USPS_Pri_Int_Base!I4*(1+PostalMarkup),2),"N/A")</f>
        <v>93.5</v>
      </c>
      <c r="J8" s="313">
        <f>IF(LEN(USPS_Pri_Int_Base!J4)&gt;0,ROUND(USPS_Pri_Int_Base!J4*(1+PostalMarkup),2),"N/A")</f>
        <v>95.45</v>
      </c>
      <c r="K8" s="313">
        <f>IF(LEN(USPS_Pri_Int_Base!K4)&gt;0,ROUND(USPS_Pri_Int_Base!K4*(1+PostalMarkup),2),"N/A")</f>
        <v>85.33</v>
      </c>
      <c r="L8" s="313">
        <f>IF(LEN(USPS_Pri_Int_Base!L4)&gt;0,ROUND(USPS_Pri_Int_Base!L4*(1+PostalMarkup),2),"N/A")</f>
        <v>86.14</v>
      </c>
      <c r="M8" s="313">
        <f>IF(LEN(USPS_Pri_Int_Base!M4)&gt;0,ROUND(USPS_Pri_Int_Base!M4*(1+PostalMarkup),2),"N/A")</f>
        <v>99.82</v>
      </c>
      <c r="N8" s="313">
        <f>IF(LEN(USPS_Pri_Int_Base!N4)&gt;0,ROUND(USPS_Pri_Int_Base!N4*(1+PostalMarkup),2),"N/A")</f>
        <v>93.9</v>
      </c>
      <c r="O8" s="313">
        <f>IF(LEN(USPS_Pri_Int_Base!O4)&gt;0,ROUND(USPS_Pri_Int_Base!O4*(1+PostalMarkup),2),"N/A")</f>
        <v>86.54</v>
      </c>
      <c r="P8" s="313">
        <f>IF(LEN(USPS_Pri_Int_Base!P4)&gt;0,ROUND(USPS_Pri_Int_Base!P4*(1+PostalMarkup),2),"N/A")</f>
        <v>90.33</v>
      </c>
      <c r="Q8" s="313">
        <f>IF(LEN(USPS_Pri_Int_Base!Q4)&gt;0,ROUND(USPS_Pri_Int_Base!Q4*(1+PostalMarkup),2),"N/A")</f>
        <v>102.64</v>
      </c>
      <c r="R8" s="313">
        <f>IF(LEN(USPS_Pri_Int_Base!R4)&gt;0,ROUND(USPS_Pri_Int_Base!R4*(1+PostalMarkup),2),"N/A")</f>
        <v>85.04</v>
      </c>
      <c r="S8" s="313">
        <f>IF(LEN(USPS_Pri_Int_Base!S4)&gt;0,ROUND(USPS_Pri_Int_Base!S4*(1+PostalMarkup),2),"N/A")</f>
        <v>87.98</v>
      </c>
      <c r="T8" s="313">
        <f>IF(LEN(USPS_Pri_Int_Base!T4)&gt;0,ROUND(USPS_Pri_Int_Base!T4*(1+PostalMarkup),2),"N/A")</f>
        <v>119.83</v>
      </c>
      <c r="U8" s="313">
        <f>IF(LEN(USPS_Pri_Int_Base!U4)&gt;0,ROUND(USPS_Pri_Int_Base!U4*(1+PostalMarkup),2),"N/A")</f>
        <v>94.47</v>
      </c>
    </row>
    <row r="9" spans="1:21" ht="12.75" customHeight="1">
      <c r="A9" s="312">
        <v>4</v>
      </c>
      <c r="B9" s="313">
        <f>IF(LEN(USPS_Pri_Int_Base!B5)&gt;0,ROUND(USPS_Pri_Int_Base!B5*(1+PostalMarkup),2),"N/A")</f>
        <v>61.93</v>
      </c>
      <c r="C9" s="313">
        <f>IF(LEN(USPS_Pri_Int_Base!C5)&gt;0,ROUND(USPS_Pri_Int_Base!C5*(1+PostalMarkup),2),"N/A")</f>
        <v>84.47</v>
      </c>
      <c r="D9" s="313">
        <f>IF(LEN(USPS_Pri_Int_Base!D5)&gt;0,ROUND(USPS_Pri_Int_Base!D5*(1+PostalMarkup),2),"N/A")</f>
        <v>98.5</v>
      </c>
      <c r="E9" s="313">
        <f>IF(LEN(USPS_Pri_Int_Base!E5)&gt;0,ROUND(USPS_Pri_Int_Base!E5*(1+PostalMarkup),2),"N/A")</f>
        <v>96.31</v>
      </c>
      <c r="F9" s="313">
        <f>IF(LEN(USPS_Pri_Int_Base!F5)&gt;0,ROUND(USPS_Pri_Int_Base!F5*(1+PostalMarkup),2),"N/A")</f>
        <v>102.52</v>
      </c>
      <c r="G9" s="313">
        <f>IF(LEN(USPS_Pri_Int_Base!G5)&gt;0,ROUND(USPS_Pri_Int_Base!G5*(1+PostalMarkup),2),"N/A")</f>
        <v>95.68</v>
      </c>
      <c r="H9" s="313">
        <f>IF(LEN(USPS_Pri_Int_Base!H5)&gt;0,ROUND(USPS_Pri_Int_Base!H5*(1+PostalMarkup),2),"N/A")</f>
        <v>99.48</v>
      </c>
      <c r="I9" s="313">
        <f>IF(LEN(USPS_Pri_Int_Base!I5)&gt;0,ROUND(USPS_Pri_Int_Base!I5*(1+PostalMarkup),2),"N/A")</f>
        <v>102.52</v>
      </c>
      <c r="J9" s="313">
        <f>IF(LEN(USPS_Pri_Int_Base!J5)&gt;0,ROUND(USPS_Pri_Int_Base!J5*(1+PostalMarkup),2),"N/A")</f>
        <v>104.59</v>
      </c>
      <c r="K9" s="313">
        <f>IF(LEN(USPS_Pri_Int_Base!K5)&gt;0,ROUND(USPS_Pri_Int_Base!K5*(1+PostalMarkup),2),"N/A")</f>
        <v>91.71</v>
      </c>
      <c r="L9" s="313">
        <f>IF(LEN(USPS_Pri_Int_Base!L5)&gt;0,ROUND(USPS_Pri_Int_Base!L5*(1+PostalMarkup),2),"N/A")</f>
        <v>94.07</v>
      </c>
      <c r="M9" s="313">
        <f>IF(LEN(USPS_Pri_Int_Base!M5)&gt;0,ROUND(USPS_Pri_Int_Base!M5*(1+PostalMarkup),2),"N/A")</f>
        <v>111.32</v>
      </c>
      <c r="N9" s="313">
        <f>IF(LEN(USPS_Pri_Int_Base!N5)&gt;0,ROUND(USPS_Pri_Int_Base!N5*(1+PostalMarkup),2),"N/A")</f>
        <v>101.14</v>
      </c>
      <c r="O9" s="313">
        <f>IF(LEN(USPS_Pri_Int_Base!O5)&gt;0,ROUND(USPS_Pri_Int_Base!O5*(1+PostalMarkup),2),"N/A")</f>
        <v>92.29</v>
      </c>
      <c r="P9" s="313">
        <f>IF(LEN(USPS_Pri_Int_Base!P5)&gt;0,ROUND(USPS_Pri_Int_Base!P5*(1+PostalMarkup),2),"N/A")</f>
        <v>96.14</v>
      </c>
      <c r="Q9" s="313">
        <f>IF(LEN(USPS_Pri_Int_Base!Q5)&gt;0,ROUND(USPS_Pri_Int_Base!Q5*(1+PostalMarkup),2),"N/A")</f>
        <v>108.85</v>
      </c>
      <c r="R9" s="313">
        <f>IF(LEN(USPS_Pri_Int_Base!R5)&gt;0,ROUND(USPS_Pri_Int_Base!R5*(1+PostalMarkup),2),"N/A")</f>
        <v>90.28</v>
      </c>
      <c r="S9" s="313">
        <f>IF(LEN(USPS_Pri_Int_Base!S5)&gt;0,ROUND(USPS_Pri_Int_Base!S5*(1+PostalMarkup),2),"N/A")</f>
        <v>94.59</v>
      </c>
      <c r="T9" s="313">
        <f>IF(LEN(USPS_Pri_Int_Base!T5)&gt;0,ROUND(USPS_Pri_Int_Base!T5*(1+PostalMarkup),2),"N/A")</f>
        <v>134.09</v>
      </c>
      <c r="U9" s="313">
        <f>IF(LEN(USPS_Pri_Int_Base!U5)&gt;0,ROUND(USPS_Pri_Int_Base!U5*(1+PostalMarkup),2),"N/A")</f>
        <v>101.72</v>
      </c>
    </row>
    <row r="10" spans="1:21" ht="12.75" customHeight="1">
      <c r="A10" s="312">
        <v>5</v>
      </c>
      <c r="B10" s="313">
        <f>IF(LEN(USPS_Pri_Int_Base!B6)&gt;0,ROUND(USPS_Pri_Int_Base!B6*(1+PostalMarkup),2),"N/A")</f>
        <v>67.91</v>
      </c>
      <c r="C10" s="313">
        <f>IF(LEN(USPS_Pri_Int_Base!C6)&gt;0,ROUND(USPS_Pri_Int_Base!C6*(1+PostalMarkup),2),"N/A")</f>
        <v>90.33</v>
      </c>
      <c r="D10" s="313">
        <f>IF(LEN(USPS_Pri_Int_Base!D6)&gt;0,ROUND(USPS_Pri_Int_Base!D6*(1+PostalMarkup),2),"N/A")</f>
        <v>106.15</v>
      </c>
      <c r="E10" s="313">
        <f>IF(LEN(USPS_Pri_Int_Base!E6)&gt;0,ROUND(USPS_Pri_Int_Base!E6*(1+PostalMarkup),2),"N/A")</f>
        <v>103.16</v>
      </c>
      <c r="F10" s="313">
        <f>IF(LEN(USPS_Pri_Int_Base!F6)&gt;0,ROUND(USPS_Pri_Int_Base!F6*(1+PostalMarkup),2),"N/A")</f>
        <v>109.31</v>
      </c>
      <c r="G10" s="313">
        <f>IF(LEN(USPS_Pri_Int_Base!G6)&gt;0,ROUND(USPS_Pri_Int_Base!G6*(1+PostalMarkup),2),"N/A")</f>
        <v>102.87</v>
      </c>
      <c r="H10" s="313">
        <f>IF(LEN(USPS_Pri_Int_Base!H6)&gt;0,ROUND(USPS_Pri_Int_Base!H6*(1+PostalMarkup),2),"N/A")</f>
        <v>108.27</v>
      </c>
      <c r="I10" s="313">
        <f>IF(LEN(USPS_Pri_Int_Base!I6)&gt;0,ROUND(USPS_Pri_Int_Base!I6*(1+PostalMarkup),2),"N/A")</f>
        <v>111.49</v>
      </c>
      <c r="J10" s="313">
        <f>IF(LEN(USPS_Pri_Int_Base!J6)&gt;0,ROUND(USPS_Pri_Int_Base!J6*(1+PostalMarkup),2),"N/A")</f>
        <v>113.68</v>
      </c>
      <c r="K10" s="313">
        <f>IF(LEN(USPS_Pri_Int_Base!K6)&gt;0,ROUND(USPS_Pri_Int_Base!K6*(1+PostalMarkup),2),"N/A")</f>
        <v>98.5</v>
      </c>
      <c r="L10" s="313">
        <f>IF(LEN(USPS_Pri_Int_Base!L6)&gt;0,ROUND(USPS_Pri_Int_Base!L6*(1+PostalMarkup),2),"N/A")</f>
        <v>101.89</v>
      </c>
      <c r="M10" s="313">
        <f>IF(LEN(USPS_Pri_Int_Base!M6)&gt;0,ROUND(USPS_Pri_Int_Base!M6*(1+PostalMarkup),2),"N/A")</f>
        <v>122.65</v>
      </c>
      <c r="N10" s="313">
        <f>IF(LEN(USPS_Pri_Int_Base!N6)&gt;0,ROUND(USPS_Pri_Int_Base!N6*(1+PostalMarkup),2),"N/A")</f>
        <v>109.42</v>
      </c>
      <c r="O10" s="313">
        <f>IF(LEN(USPS_Pri_Int_Base!O6)&gt;0,ROUND(USPS_Pri_Int_Base!O6*(1+PostalMarkup),2),"N/A")</f>
        <v>98.56</v>
      </c>
      <c r="P10" s="313">
        <f>IF(LEN(USPS_Pri_Int_Base!P6)&gt;0,ROUND(USPS_Pri_Int_Base!P6*(1+PostalMarkup),2),"N/A")</f>
        <v>101.6</v>
      </c>
      <c r="Q10" s="313">
        <f>IF(LEN(USPS_Pri_Int_Base!Q6)&gt;0,ROUND(USPS_Pri_Int_Base!Q6*(1+PostalMarkup),2),"N/A")</f>
        <v>114.83</v>
      </c>
      <c r="R10" s="313">
        <f>IF(LEN(USPS_Pri_Int_Base!R6)&gt;0,ROUND(USPS_Pri_Int_Base!R6*(1+PostalMarkup),2),"N/A")</f>
        <v>96.14</v>
      </c>
      <c r="S10" s="313">
        <f>IF(LEN(USPS_Pri_Int_Base!S6)&gt;0,ROUND(USPS_Pri_Int_Base!S6*(1+PostalMarkup),2),"N/A")</f>
        <v>101.09</v>
      </c>
      <c r="T10" s="313">
        <f>IF(LEN(USPS_Pri_Int_Base!T6)&gt;0,ROUND(USPS_Pri_Int_Base!T6*(1+PostalMarkup),2),"N/A")</f>
        <v>146.74</v>
      </c>
      <c r="U10" s="313">
        <f>IF(LEN(USPS_Pri_Int_Base!U6)&gt;0,ROUND(USPS_Pri_Int_Base!U6*(1+PostalMarkup),2),"N/A")</f>
        <v>108.62</v>
      </c>
    </row>
    <row r="11" spans="1:21" ht="12.75" customHeight="1">
      <c r="A11" s="312">
        <v>6</v>
      </c>
      <c r="B11" s="313">
        <f>IF(LEN(USPS_Pri_Int_Base!B7)&gt;0,ROUND(USPS_Pri_Int_Base!B7*(1+PostalMarkup),2),"N/A")</f>
        <v>74</v>
      </c>
      <c r="C11" s="313">
        <f>IF(LEN(USPS_Pri_Int_Base!C7)&gt;0,ROUND(USPS_Pri_Int_Base!C7*(1+PostalMarkup),2),"N/A")</f>
        <v>96.49</v>
      </c>
      <c r="D11" s="313">
        <f>IF(LEN(USPS_Pri_Int_Base!D7)&gt;0,ROUND(USPS_Pri_Int_Base!D7*(1+PostalMarkup),2),"N/A")</f>
        <v>113.68</v>
      </c>
      <c r="E11" s="313">
        <f>IF(LEN(USPS_Pri_Int_Base!E7)&gt;0,ROUND(USPS_Pri_Int_Base!E7*(1+PostalMarkup),2),"N/A")</f>
        <v>110.11</v>
      </c>
      <c r="F11" s="313">
        <f>IF(LEN(USPS_Pri_Int_Base!F7)&gt;0,ROUND(USPS_Pri_Int_Base!F7*(1+PostalMarkup),2),"N/A")</f>
        <v>116.38</v>
      </c>
      <c r="G11" s="313">
        <f>IF(LEN(USPS_Pri_Int_Base!G7)&gt;0,ROUND(USPS_Pri_Int_Base!G7*(1+PostalMarkup),2),"N/A")</f>
        <v>111.21</v>
      </c>
      <c r="H11" s="313">
        <f>IF(LEN(USPS_Pri_Int_Base!H7)&gt;0,ROUND(USPS_Pri_Int_Base!H7*(1+PostalMarkup),2),"N/A")</f>
        <v>117.3</v>
      </c>
      <c r="I11" s="313">
        <f>IF(LEN(USPS_Pri_Int_Base!I7)&gt;0,ROUND(USPS_Pri_Int_Base!I7*(1+PostalMarkup),2),"N/A")</f>
        <v>120.46</v>
      </c>
      <c r="J11" s="313">
        <f>IF(LEN(USPS_Pri_Int_Base!J7)&gt;0,ROUND(USPS_Pri_Int_Base!J7*(1+PostalMarkup),2),"N/A")</f>
        <v>123.57</v>
      </c>
      <c r="K11" s="313">
        <f>IF(LEN(USPS_Pri_Int_Base!K7)&gt;0,ROUND(USPS_Pri_Int_Base!K7*(1+PostalMarkup),2),"N/A")</f>
        <v>106.32</v>
      </c>
      <c r="L11" s="313">
        <f>IF(LEN(USPS_Pri_Int_Base!L7)&gt;0,ROUND(USPS_Pri_Int_Base!L7*(1+PostalMarkup),2),"N/A")</f>
        <v>115.69</v>
      </c>
      <c r="M11" s="313">
        <f>IF(LEN(USPS_Pri_Int_Base!M7)&gt;0,ROUND(USPS_Pri_Int_Base!M7*(1+PostalMarkup),2),"N/A")</f>
        <v>150.47999999999999</v>
      </c>
      <c r="N11" s="313">
        <f>IF(LEN(USPS_Pri_Int_Base!N7)&gt;0,ROUND(USPS_Pri_Int_Base!N7*(1+PostalMarkup),2),"N/A")</f>
        <v>118.45</v>
      </c>
      <c r="O11" s="313">
        <f>IF(LEN(USPS_Pri_Int_Base!O7)&gt;0,ROUND(USPS_Pri_Int_Base!O7*(1+PostalMarkup),2),"N/A")</f>
        <v>105.8</v>
      </c>
      <c r="P11" s="313">
        <f>IF(LEN(USPS_Pri_Int_Base!P7)&gt;0,ROUND(USPS_Pri_Int_Base!P7*(1+PostalMarkup),2),"N/A")</f>
        <v>107.35</v>
      </c>
      <c r="Q11" s="313">
        <f>IF(LEN(USPS_Pri_Int_Base!Q7)&gt;0,ROUND(USPS_Pri_Int_Base!Q7*(1+PostalMarkup),2),"N/A")</f>
        <v>121.1</v>
      </c>
      <c r="R11" s="313">
        <f>IF(LEN(USPS_Pri_Int_Base!R7)&gt;0,ROUND(USPS_Pri_Int_Base!R7*(1+PostalMarkup),2),"N/A")</f>
        <v>102.58</v>
      </c>
      <c r="S11" s="313">
        <f>IF(LEN(USPS_Pri_Int_Base!S7)&gt;0,ROUND(USPS_Pri_Int_Base!S7*(1+PostalMarkup),2),"N/A")</f>
        <v>107.81</v>
      </c>
      <c r="T11" s="313">
        <f>IF(LEN(USPS_Pri_Int_Base!T7)&gt;0,ROUND(USPS_Pri_Int_Base!T7*(1+PostalMarkup),2),"N/A")</f>
        <v>159.33000000000001</v>
      </c>
      <c r="U11" s="313">
        <f>IF(LEN(USPS_Pri_Int_Base!U7)&gt;0,ROUND(USPS_Pri_Int_Base!U7*(1+PostalMarkup),2),"N/A")</f>
        <v>112.07</v>
      </c>
    </row>
    <row r="12" spans="1:21" ht="12.75" customHeight="1">
      <c r="A12" s="312">
        <v>7</v>
      </c>
      <c r="B12" s="313">
        <f>IF(LEN(USPS_Pri_Int_Base!B8)&gt;0,ROUND(USPS_Pri_Int_Base!B8*(1+PostalMarkup),2),"N/A")</f>
        <v>80.16</v>
      </c>
      <c r="C12" s="313">
        <f>IF(LEN(USPS_Pri_Int_Base!C8)&gt;0,ROUND(USPS_Pri_Int_Base!C8*(1+PostalMarkup),2),"N/A")</f>
        <v>102.81</v>
      </c>
      <c r="D12" s="313">
        <f>IF(LEN(USPS_Pri_Int_Base!D8)&gt;0,ROUND(USPS_Pri_Int_Base!D8*(1+PostalMarkup),2),"N/A")</f>
        <v>121.27</v>
      </c>
      <c r="E12" s="313">
        <f>IF(LEN(USPS_Pri_Int_Base!E8)&gt;0,ROUND(USPS_Pri_Int_Base!E8*(1+PostalMarkup),2),"N/A")</f>
        <v>117.07</v>
      </c>
      <c r="F12" s="313">
        <f>IF(LEN(USPS_Pri_Int_Base!F8)&gt;0,ROUND(USPS_Pri_Int_Base!F8*(1+PostalMarkup),2),"N/A")</f>
        <v>123.45</v>
      </c>
      <c r="G12" s="313">
        <f>IF(LEN(USPS_Pri_Int_Base!G8)&gt;0,ROUND(USPS_Pri_Int_Base!G8*(1+PostalMarkup),2),"N/A")</f>
        <v>119.72</v>
      </c>
      <c r="H12" s="313">
        <f>IF(LEN(USPS_Pri_Int_Base!H8)&gt;0,ROUND(USPS_Pri_Int_Base!H8*(1+PostalMarkup),2),"N/A")</f>
        <v>126.33</v>
      </c>
      <c r="I12" s="313">
        <f>IF(LEN(USPS_Pri_Int_Base!I8)&gt;0,ROUND(USPS_Pri_Int_Base!I8*(1+PostalMarkup),2),"N/A")</f>
        <v>129.49</v>
      </c>
      <c r="J12" s="313">
        <f>IF(LEN(USPS_Pri_Int_Base!J8)&gt;0,ROUND(USPS_Pri_Int_Base!J8*(1+PostalMarkup),2),"N/A")</f>
        <v>133.91999999999999</v>
      </c>
      <c r="K12" s="313">
        <f>IF(LEN(USPS_Pri_Int_Base!K8)&gt;0,ROUND(USPS_Pri_Int_Base!K8*(1+PostalMarkup),2),"N/A")</f>
        <v>113.91</v>
      </c>
      <c r="L12" s="313">
        <f>IF(LEN(USPS_Pri_Int_Base!L8)&gt;0,ROUND(USPS_Pri_Int_Base!L8*(1+PostalMarkup),2),"N/A")</f>
        <v>124.26</v>
      </c>
      <c r="M12" s="313">
        <f>IF(LEN(USPS_Pri_Int_Base!M8)&gt;0,ROUND(USPS_Pri_Int_Base!M8*(1+PostalMarkup),2),"N/A")</f>
        <v>160.47999999999999</v>
      </c>
      <c r="N12" s="313">
        <f>IF(LEN(USPS_Pri_Int_Base!N8)&gt;0,ROUND(USPS_Pri_Int_Base!N8*(1+PostalMarkup),2),"N/A")</f>
        <v>126.96</v>
      </c>
      <c r="O12" s="313">
        <f>IF(LEN(USPS_Pri_Int_Base!O8)&gt;0,ROUND(USPS_Pri_Int_Base!O8*(1+PostalMarkup),2),"N/A")</f>
        <v>113.33</v>
      </c>
      <c r="P12" s="313">
        <f>IF(LEN(USPS_Pri_Int_Base!P8)&gt;0,ROUND(USPS_Pri_Int_Base!P8*(1+PostalMarkup),2),"N/A")</f>
        <v>113.1</v>
      </c>
      <c r="Q12" s="313">
        <f>IF(LEN(USPS_Pri_Int_Base!Q8)&gt;0,ROUND(USPS_Pri_Int_Base!Q8*(1+PostalMarkup),2),"N/A")</f>
        <v>127.31</v>
      </c>
      <c r="R12" s="313">
        <f>IF(LEN(USPS_Pri_Int_Base!R8)&gt;0,ROUND(USPS_Pri_Int_Base!R8*(1+PostalMarkup),2),"N/A")</f>
        <v>109.02</v>
      </c>
      <c r="S12" s="313">
        <f>IF(LEN(USPS_Pri_Int_Base!S8)&gt;0,ROUND(USPS_Pri_Int_Base!S8*(1+PostalMarkup),2),"N/A")</f>
        <v>114.54</v>
      </c>
      <c r="T12" s="313">
        <f>IF(LEN(USPS_Pri_Int_Base!T8)&gt;0,ROUND(USPS_Pri_Int_Base!T8*(1+PostalMarkup),2),"N/A")</f>
        <v>171.93</v>
      </c>
      <c r="U12" s="313">
        <f>IF(LEN(USPS_Pri_Int_Base!U8)&gt;0,ROUND(USPS_Pri_Int_Base!U8*(1+PostalMarkup),2),"N/A")</f>
        <v>115.52</v>
      </c>
    </row>
    <row r="13" spans="1:21" ht="12.75" customHeight="1">
      <c r="A13" s="312">
        <v>8</v>
      </c>
      <c r="B13" s="313">
        <f>IF(LEN(USPS_Pri_Int_Base!B9)&gt;0,ROUND(USPS_Pri_Int_Base!B9*(1+PostalMarkup),2),"N/A")</f>
        <v>86.6</v>
      </c>
      <c r="C13" s="313">
        <f>IF(LEN(USPS_Pri_Int_Base!C9)&gt;0,ROUND(USPS_Pri_Int_Base!C9*(1+PostalMarkup),2),"N/A")</f>
        <v>108.85</v>
      </c>
      <c r="D13" s="313">
        <f>IF(LEN(USPS_Pri_Int_Base!D9)&gt;0,ROUND(USPS_Pri_Int_Base!D9*(1+PostalMarkup),2),"N/A")</f>
        <v>128.86000000000001</v>
      </c>
      <c r="E13" s="313">
        <f>IF(LEN(USPS_Pri_Int_Base!E9)&gt;0,ROUND(USPS_Pri_Int_Base!E9*(1+PostalMarkup),2),"N/A")</f>
        <v>124.14</v>
      </c>
      <c r="F13" s="313">
        <f>IF(LEN(USPS_Pri_Int_Base!F9)&gt;0,ROUND(USPS_Pri_Int_Base!F9*(1+PostalMarkup),2),"N/A")</f>
        <v>130.58000000000001</v>
      </c>
      <c r="G13" s="313">
        <f>IF(LEN(USPS_Pri_Int_Base!G9)&gt;0,ROUND(USPS_Pri_Int_Base!G9*(1+PostalMarkup),2),"N/A")</f>
        <v>128.05000000000001</v>
      </c>
      <c r="H13" s="313">
        <f>IF(LEN(USPS_Pri_Int_Base!H9)&gt;0,ROUND(USPS_Pri_Int_Base!H9*(1+PostalMarkup),2),"N/A")</f>
        <v>135.53</v>
      </c>
      <c r="I13" s="313">
        <f>IF(LEN(USPS_Pri_Int_Base!I9)&gt;0,ROUND(USPS_Pri_Int_Base!I9*(1+PostalMarkup),2),"N/A")</f>
        <v>138.46</v>
      </c>
      <c r="J13" s="313">
        <f>IF(LEN(USPS_Pri_Int_Base!J9)&gt;0,ROUND(USPS_Pri_Int_Base!J9*(1+PostalMarkup),2),"N/A")</f>
        <v>144.1</v>
      </c>
      <c r="K13" s="313">
        <f>IF(LEN(USPS_Pri_Int_Base!K9)&gt;0,ROUND(USPS_Pri_Int_Base!K9*(1+PostalMarkup),2),"N/A")</f>
        <v>121.79</v>
      </c>
      <c r="L13" s="313">
        <f>IF(LEN(USPS_Pri_Int_Base!L9)&gt;0,ROUND(USPS_Pri_Int_Base!L9*(1+PostalMarkup),2),"N/A")</f>
        <v>132.83000000000001</v>
      </c>
      <c r="M13" s="313">
        <f>IF(LEN(USPS_Pri_Int_Base!M9)&gt;0,ROUND(USPS_Pri_Int_Base!M9*(1+PostalMarkup),2),"N/A")</f>
        <v>170.78</v>
      </c>
      <c r="N13" s="313">
        <f>IF(LEN(USPS_Pri_Int_Base!N9)&gt;0,ROUND(USPS_Pri_Int_Base!N9*(1+PostalMarkup),2),"N/A")</f>
        <v>135.69999999999999</v>
      </c>
      <c r="O13" s="313">
        <f>IF(LEN(USPS_Pri_Int_Base!O9)&gt;0,ROUND(USPS_Pri_Int_Base!O9*(1+PostalMarkup),2),"N/A")</f>
        <v>120.81</v>
      </c>
      <c r="P13" s="313">
        <f>IF(LEN(USPS_Pri_Int_Base!P9)&gt;0,ROUND(USPS_Pri_Int_Base!P9*(1+PostalMarkup),2),"N/A")</f>
        <v>118.91</v>
      </c>
      <c r="Q13" s="313">
        <f>IF(LEN(USPS_Pri_Int_Base!Q9)&gt;0,ROUND(USPS_Pri_Int_Base!Q9*(1+PostalMarkup),2),"N/A")</f>
        <v>133.63</v>
      </c>
      <c r="R13" s="313">
        <f>IF(LEN(USPS_Pri_Int_Base!R9)&gt;0,ROUND(USPS_Pri_Int_Base!R9*(1+PostalMarkup),2),"N/A")</f>
        <v>115.4</v>
      </c>
      <c r="S13" s="313">
        <f>IF(LEN(USPS_Pri_Int_Base!S9)&gt;0,ROUND(USPS_Pri_Int_Base!S9*(1+PostalMarkup),2),"N/A")</f>
        <v>121.27</v>
      </c>
      <c r="T13" s="313">
        <f>IF(LEN(USPS_Pri_Int_Base!T9)&gt;0,ROUND(USPS_Pri_Int_Base!T9*(1+PostalMarkup),2),"N/A")</f>
        <v>184.52</v>
      </c>
      <c r="U13" s="313">
        <f>IF(LEN(USPS_Pri_Int_Base!U9)&gt;0,ROUND(USPS_Pri_Int_Base!U9*(1+PostalMarkup),2),"N/A")</f>
        <v>122.42</v>
      </c>
    </row>
    <row r="14" spans="1:21" ht="12.75" customHeight="1">
      <c r="A14" s="312">
        <v>9</v>
      </c>
      <c r="B14" s="313">
        <f>IF(LEN(USPS_Pri_Int_Base!B10)&gt;0,ROUND(USPS_Pri_Int_Base!B10*(1+PostalMarkup),2),"N/A")</f>
        <v>92.69</v>
      </c>
      <c r="C14" s="313">
        <f>IF(LEN(USPS_Pri_Int_Base!C10)&gt;0,ROUND(USPS_Pri_Int_Base!C10*(1+PostalMarkup),2),"N/A")</f>
        <v>115.06</v>
      </c>
      <c r="D14" s="313">
        <f>IF(LEN(USPS_Pri_Int_Base!D10)&gt;0,ROUND(USPS_Pri_Int_Base!D10*(1+PostalMarkup),2),"N/A")</f>
        <v>136.44999999999999</v>
      </c>
      <c r="E14" s="313">
        <f>IF(LEN(USPS_Pri_Int_Base!E10)&gt;0,ROUND(USPS_Pri_Int_Base!E10*(1+PostalMarkup),2),"N/A")</f>
        <v>131.04</v>
      </c>
      <c r="F14" s="313">
        <f>IF(LEN(USPS_Pri_Int_Base!F10)&gt;0,ROUND(USPS_Pri_Int_Base!F10*(1+PostalMarkup),2),"N/A")</f>
        <v>137.47999999999999</v>
      </c>
      <c r="G14" s="313">
        <f>IF(LEN(USPS_Pri_Int_Base!G10)&gt;0,ROUND(USPS_Pri_Int_Base!G10*(1+PostalMarkup),2),"N/A")</f>
        <v>136.51</v>
      </c>
      <c r="H14" s="313">
        <f>IF(LEN(USPS_Pri_Int_Base!H10)&gt;0,ROUND(USPS_Pri_Int_Base!H10*(1+PostalMarkup),2),"N/A")</f>
        <v>144.66999999999999</v>
      </c>
      <c r="I14" s="313">
        <f>IF(LEN(USPS_Pri_Int_Base!I10)&gt;0,ROUND(USPS_Pri_Int_Base!I10*(1+PostalMarkup),2),"N/A")</f>
        <v>147.43</v>
      </c>
      <c r="J14" s="313">
        <f>IF(LEN(USPS_Pri_Int_Base!J10)&gt;0,ROUND(USPS_Pri_Int_Base!J10*(1+PostalMarkup),2),"N/A")</f>
        <v>154.27000000000001</v>
      </c>
      <c r="K14" s="313">
        <f>IF(LEN(USPS_Pri_Int_Base!K10)&gt;0,ROUND(USPS_Pri_Int_Base!K10*(1+PostalMarkup),2),"N/A")</f>
        <v>129.55000000000001</v>
      </c>
      <c r="L14" s="313">
        <f>IF(LEN(USPS_Pri_Int_Base!L10)&gt;0,ROUND(USPS_Pri_Int_Base!L10*(1+PostalMarkup),2),"N/A")</f>
        <v>141.34</v>
      </c>
      <c r="M14" s="313">
        <f>IF(LEN(USPS_Pri_Int_Base!M10)&gt;0,ROUND(USPS_Pri_Int_Base!M10*(1+PostalMarkup),2),"N/A")</f>
        <v>180.9</v>
      </c>
      <c r="N14" s="313">
        <f>IF(LEN(USPS_Pri_Int_Base!N10)&gt;0,ROUND(USPS_Pri_Int_Base!N10*(1+PostalMarkup),2),"N/A")</f>
        <v>144.5</v>
      </c>
      <c r="O14" s="313">
        <f>IF(LEN(USPS_Pri_Int_Base!O10)&gt;0,ROUND(USPS_Pri_Int_Base!O10*(1+PostalMarkup),2),"N/A")</f>
        <v>127.94</v>
      </c>
      <c r="P14" s="313">
        <f>IF(LEN(USPS_Pri_Int_Base!P10)&gt;0,ROUND(USPS_Pri_Int_Base!P10*(1+PostalMarkup),2),"N/A")</f>
        <v>124.6</v>
      </c>
      <c r="Q14" s="313">
        <f>IF(LEN(USPS_Pri_Int_Base!Q10)&gt;0,ROUND(USPS_Pri_Int_Base!Q10*(1+PostalMarkup),2),"N/A")</f>
        <v>139.84</v>
      </c>
      <c r="R14" s="313">
        <f>IF(LEN(USPS_Pri_Int_Base!R10)&gt;0,ROUND(USPS_Pri_Int_Base!R10*(1+PostalMarkup),2),"N/A")</f>
        <v>121.79</v>
      </c>
      <c r="S14" s="313">
        <f>IF(LEN(USPS_Pri_Int_Base!S10)&gt;0,ROUND(USPS_Pri_Int_Base!S10*(1+PostalMarkup),2),"N/A")</f>
        <v>127.94</v>
      </c>
      <c r="T14" s="313">
        <f>IF(LEN(USPS_Pri_Int_Base!T10)&gt;0,ROUND(USPS_Pri_Int_Base!T10*(1+PostalMarkup),2),"N/A")</f>
        <v>194.41</v>
      </c>
      <c r="U14" s="313">
        <f>IF(LEN(USPS_Pri_Int_Base!U10)&gt;0,ROUND(USPS_Pri_Int_Base!U10*(1+PostalMarkup),2),"N/A")</f>
        <v>129.15</v>
      </c>
    </row>
    <row r="15" spans="1:21" ht="12.75" customHeight="1">
      <c r="A15" s="312">
        <v>10</v>
      </c>
      <c r="B15" s="313">
        <f>IF(LEN(USPS_Pri_Int_Base!B11)&gt;0,ROUND(USPS_Pri_Int_Base!B11*(1+PostalMarkup),2),"N/A")</f>
        <v>99.19</v>
      </c>
      <c r="C15" s="313">
        <f>IF(LEN(USPS_Pri_Int_Base!C11)&gt;0,ROUND(USPS_Pri_Int_Base!C11*(1+PostalMarkup),2),"N/A")</f>
        <v>121.27</v>
      </c>
      <c r="D15" s="313">
        <f>IF(LEN(USPS_Pri_Int_Base!D11)&gt;0,ROUND(USPS_Pri_Int_Base!D11*(1+PostalMarkup),2),"N/A")</f>
        <v>143.97999999999999</v>
      </c>
      <c r="E15" s="313">
        <f>IF(LEN(USPS_Pri_Int_Base!E11)&gt;0,ROUND(USPS_Pri_Int_Base!E11*(1+PostalMarkup),2),"N/A")</f>
        <v>138.12</v>
      </c>
      <c r="F15" s="313">
        <f>IF(LEN(USPS_Pri_Int_Base!F11)&gt;0,ROUND(USPS_Pri_Int_Base!F11*(1+PostalMarkup),2),"N/A")</f>
        <v>144.66999999999999</v>
      </c>
      <c r="G15" s="313">
        <f>IF(LEN(USPS_Pri_Int_Base!G11)&gt;0,ROUND(USPS_Pri_Int_Base!G11*(1+PostalMarkup),2),"N/A")</f>
        <v>145.02000000000001</v>
      </c>
      <c r="H15" s="313">
        <f>IF(LEN(USPS_Pri_Int_Base!H11)&gt;0,ROUND(USPS_Pri_Int_Base!H11*(1+PostalMarkup),2),"N/A")</f>
        <v>153.76</v>
      </c>
      <c r="I15" s="313">
        <f>IF(LEN(USPS_Pri_Int_Base!I11)&gt;0,ROUND(USPS_Pri_Int_Base!I11*(1+PostalMarkup),2),"N/A")</f>
        <v>156.4</v>
      </c>
      <c r="J15" s="313">
        <f>IF(LEN(USPS_Pri_Int_Base!J11)&gt;0,ROUND(USPS_Pri_Int_Base!J11*(1+PostalMarkup),2),"N/A")</f>
        <v>164.51</v>
      </c>
      <c r="K15" s="313">
        <f>IF(LEN(USPS_Pri_Int_Base!K11)&gt;0,ROUND(USPS_Pri_Int_Base!K11*(1+PostalMarkup),2),"N/A")</f>
        <v>137.25</v>
      </c>
      <c r="L15" s="313">
        <f>IF(LEN(USPS_Pri_Int_Base!L11)&gt;0,ROUND(USPS_Pri_Int_Base!L11*(1+PostalMarkup),2),"N/A")</f>
        <v>149.96</v>
      </c>
      <c r="M15" s="313">
        <f>IF(LEN(USPS_Pri_Int_Base!M11)&gt;0,ROUND(USPS_Pri_Int_Base!M11*(1+PostalMarkup),2),"N/A")</f>
        <v>191.07</v>
      </c>
      <c r="N15" s="313">
        <f>IF(LEN(USPS_Pri_Int_Base!N11)&gt;0,ROUND(USPS_Pri_Int_Base!N11*(1+PostalMarkup),2),"N/A")</f>
        <v>152.94999999999999</v>
      </c>
      <c r="O15" s="313">
        <f>IF(LEN(USPS_Pri_Int_Base!O11)&gt;0,ROUND(USPS_Pri_Int_Base!O11*(1+PostalMarkup),2),"N/A")</f>
        <v>135.59</v>
      </c>
      <c r="P15" s="313">
        <f>IF(LEN(USPS_Pri_Int_Base!P11)&gt;0,ROUND(USPS_Pri_Int_Base!P11*(1+PostalMarkup),2),"N/A")</f>
        <v>130.53</v>
      </c>
      <c r="Q15" s="313">
        <f>IF(LEN(USPS_Pri_Int_Base!Q11)&gt;0,ROUND(USPS_Pri_Int_Base!Q11*(1+PostalMarkup),2),"N/A")</f>
        <v>146.22</v>
      </c>
      <c r="R15" s="313">
        <f>IF(LEN(USPS_Pri_Int_Base!R11)&gt;0,ROUND(USPS_Pri_Int_Base!R11*(1+PostalMarkup),2),"N/A")</f>
        <v>128.28</v>
      </c>
      <c r="S15" s="313">
        <f>IF(LEN(USPS_Pri_Int_Base!S11)&gt;0,ROUND(USPS_Pri_Int_Base!S11*(1+PostalMarkup),2),"N/A")</f>
        <v>134.72</v>
      </c>
      <c r="T15" s="313">
        <f>IF(LEN(USPS_Pri_Int_Base!T11)&gt;0,ROUND(USPS_Pri_Int_Base!T11*(1+PostalMarkup),2),"N/A")</f>
        <v>203.44</v>
      </c>
      <c r="U15" s="313">
        <f>IF(LEN(USPS_Pri_Int_Base!U11)&gt;0,ROUND(USPS_Pri_Int_Base!U11*(1+PostalMarkup),2),"N/A")</f>
        <v>136.16</v>
      </c>
    </row>
    <row r="16" spans="1:21" ht="12.75" customHeight="1">
      <c r="A16" s="312">
        <v>11</v>
      </c>
      <c r="B16" s="313">
        <f>IF(LEN(USPS_Pri_Int_Base!B12)&gt;0,ROUND(USPS_Pri_Int_Base!B12*(1+PostalMarkup),2),"N/A")</f>
        <v>105.34</v>
      </c>
      <c r="C16" s="313">
        <f>IF(LEN(USPS_Pri_Int_Base!C12)&gt;0,ROUND(USPS_Pri_Int_Base!C12*(1+PostalMarkup),2),"N/A")</f>
        <v>127.36</v>
      </c>
      <c r="D16" s="313">
        <f>IF(LEN(USPS_Pri_Int_Base!D12)&gt;0,ROUND(USPS_Pri_Int_Base!D12*(1+PostalMarkup),2),"N/A")</f>
        <v>151.63</v>
      </c>
      <c r="E16" s="313">
        <f>IF(LEN(USPS_Pri_Int_Base!E12)&gt;0,ROUND(USPS_Pri_Int_Base!E12*(1+PostalMarkup),2),"N/A")</f>
        <v>145.07</v>
      </c>
      <c r="F16" s="313">
        <f>IF(LEN(USPS_Pri_Int_Base!F12)&gt;0,ROUND(USPS_Pri_Int_Base!F12*(1+PostalMarkup),2),"N/A")</f>
        <v>151.63</v>
      </c>
      <c r="G16" s="313">
        <f>IF(LEN(USPS_Pri_Int_Base!G12)&gt;0,ROUND(USPS_Pri_Int_Base!G12*(1+PostalMarkup),2),"N/A")</f>
        <v>153.30000000000001</v>
      </c>
      <c r="H16" s="313">
        <f>IF(LEN(USPS_Pri_Int_Base!H12)&gt;0,ROUND(USPS_Pri_Int_Base!H12*(1+PostalMarkup),2),"N/A")</f>
        <v>162.78</v>
      </c>
      <c r="I16" s="313">
        <f>IF(LEN(USPS_Pri_Int_Base!I12)&gt;0,ROUND(USPS_Pri_Int_Base!I12*(1+PostalMarkup),2),"N/A")</f>
        <v>165.37</v>
      </c>
      <c r="J16" s="313">
        <f>IF(LEN(USPS_Pri_Int_Base!J12)&gt;0,ROUND(USPS_Pri_Int_Base!J12*(1+PostalMarkup),2),"N/A")</f>
        <v>174.69</v>
      </c>
      <c r="K16" s="313">
        <f>IF(LEN(USPS_Pri_Int_Base!K12)&gt;0,ROUND(USPS_Pri_Int_Base!K12*(1+PostalMarkup),2),"N/A")</f>
        <v>144.9</v>
      </c>
      <c r="L16" s="313">
        <f>IF(LEN(USPS_Pri_Int_Base!L12)&gt;0,ROUND(USPS_Pri_Int_Base!L12*(1+PostalMarkup),2),"N/A")</f>
        <v>158.41</v>
      </c>
      <c r="M16" s="313">
        <f>IF(LEN(USPS_Pri_Int_Base!M12)&gt;0,ROUND(USPS_Pri_Int_Base!M12*(1+PostalMarkup),2),"N/A")</f>
        <v>201.31</v>
      </c>
      <c r="N16" s="313">
        <f>IF(LEN(USPS_Pri_Int_Base!N12)&gt;0,ROUND(USPS_Pri_Int_Base!N12*(1+PostalMarkup),2),"N/A")</f>
        <v>161.97999999999999</v>
      </c>
      <c r="O16" s="313">
        <f>IF(LEN(USPS_Pri_Int_Base!O12)&gt;0,ROUND(USPS_Pri_Int_Base!O12*(1+PostalMarkup),2),"N/A")</f>
        <v>142.88999999999999</v>
      </c>
      <c r="P16" s="313">
        <f>IF(LEN(USPS_Pri_Int_Base!P12)&gt;0,ROUND(USPS_Pri_Int_Base!P12*(1+PostalMarkup),2),"N/A")</f>
        <v>136.1</v>
      </c>
      <c r="Q16" s="313">
        <f>IF(LEN(USPS_Pri_Int_Base!Q12)&gt;0,ROUND(USPS_Pri_Int_Base!Q12*(1+PostalMarkup),2),"N/A")</f>
        <v>152.43</v>
      </c>
      <c r="R16" s="313">
        <f>IF(LEN(USPS_Pri_Int_Base!R12)&gt;0,ROUND(USPS_Pri_Int_Base!R12*(1+PostalMarkup),2),"N/A")</f>
        <v>134.55000000000001</v>
      </c>
      <c r="S16" s="313">
        <f>IF(LEN(USPS_Pri_Int_Base!S12)&gt;0,ROUND(USPS_Pri_Int_Base!S12*(1+PostalMarkup),2),"N/A")</f>
        <v>141.28</v>
      </c>
      <c r="T16" s="313">
        <f>IF(LEN(USPS_Pri_Int_Base!T12)&gt;0,ROUND(USPS_Pri_Int_Base!T12*(1+PostalMarkup),2),"N/A")</f>
        <v>222.35</v>
      </c>
      <c r="U16" s="313">
        <f>IF(LEN(USPS_Pri_Int_Base!U12)&gt;0,ROUND(USPS_Pri_Int_Base!U12*(1+PostalMarkup),2),"N/A")</f>
        <v>142.72</v>
      </c>
    </row>
    <row r="17" spans="1:21" ht="12.75" customHeight="1">
      <c r="A17" s="312">
        <v>12</v>
      </c>
      <c r="B17" s="313">
        <f>IF(LEN(USPS_Pri_Int_Base!B13)&gt;0,ROUND(USPS_Pri_Int_Base!B13*(1+PostalMarkup),2),"N/A")</f>
        <v>111.67</v>
      </c>
      <c r="C17" s="313">
        <f>IF(LEN(USPS_Pri_Int_Base!C13)&gt;0,ROUND(USPS_Pri_Int_Base!C13*(1+PostalMarkup),2),"N/A")</f>
        <v>133.57</v>
      </c>
      <c r="D17" s="313">
        <f>IF(LEN(USPS_Pri_Int_Base!D13)&gt;0,ROUND(USPS_Pri_Int_Base!D13*(1+PostalMarkup),2),"N/A")</f>
        <v>159.1</v>
      </c>
      <c r="E17" s="313">
        <f>IF(LEN(USPS_Pri_Int_Base!E13)&gt;0,ROUND(USPS_Pri_Int_Base!E13*(1+PostalMarkup),2),"N/A")</f>
        <v>152.09</v>
      </c>
      <c r="F17" s="313">
        <f>IF(LEN(USPS_Pri_Int_Base!F13)&gt;0,ROUND(USPS_Pri_Int_Base!F13*(1+PostalMarkup),2),"N/A")</f>
        <v>158.76</v>
      </c>
      <c r="G17" s="313">
        <f>IF(LEN(USPS_Pri_Int_Base!G13)&gt;0,ROUND(USPS_Pri_Int_Base!G13*(1+PostalMarkup),2),"N/A")</f>
        <v>161.63</v>
      </c>
      <c r="H17" s="313">
        <f>IF(LEN(USPS_Pri_Int_Base!H13)&gt;0,ROUND(USPS_Pri_Int_Base!H13*(1+PostalMarkup),2),"N/A")</f>
        <v>171.93</v>
      </c>
      <c r="I17" s="313">
        <f>IF(LEN(USPS_Pri_Int_Base!I13)&gt;0,ROUND(USPS_Pri_Int_Base!I13*(1+PostalMarkup),2),"N/A")</f>
        <v>174.34</v>
      </c>
      <c r="J17" s="313">
        <f>IF(LEN(USPS_Pri_Int_Base!J13)&gt;0,ROUND(USPS_Pri_Int_Base!J13*(1+PostalMarkup),2),"N/A")</f>
        <v>184.81</v>
      </c>
      <c r="K17" s="313">
        <f>IF(LEN(USPS_Pri_Int_Base!K13)&gt;0,ROUND(USPS_Pri_Int_Base!K13*(1+PostalMarkup),2),"N/A")</f>
        <v>152.66</v>
      </c>
      <c r="L17" s="313">
        <f>IF(LEN(USPS_Pri_Int_Base!L13)&gt;0,ROUND(USPS_Pri_Int_Base!L13*(1+PostalMarkup),2),"N/A")</f>
        <v>166.87</v>
      </c>
      <c r="M17" s="313">
        <f>IF(LEN(USPS_Pri_Int_Base!M13)&gt;0,ROUND(USPS_Pri_Int_Base!M13*(1+PostalMarkup),2),"N/A")</f>
        <v>211.37</v>
      </c>
      <c r="N17" s="313">
        <f>IF(LEN(USPS_Pri_Int_Base!N13)&gt;0,ROUND(USPS_Pri_Int_Base!N13*(1+PostalMarkup),2),"N/A")</f>
        <v>170.43</v>
      </c>
      <c r="O17" s="313">
        <f>IF(LEN(USPS_Pri_Int_Base!O13)&gt;0,ROUND(USPS_Pri_Int_Base!O13*(1+PostalMarkup),2),"N/A")</f>
        <v>150.41999999999999</v>
      </c>
      <c r="P17" s="313">
        <f>IF(LEN(USPS_Pri_Int_Base!P13)&gt;0,ROUND(USPS_Pri_Int_Base!P13*(1+PostalMarkup),2),"N/A")</f>
        <v>141.91</v>
      </c>
      <c r="Q17" s="313">
        <f>IF(LEN(USPS_Pri_Int_Base!Q13)&gt;0,ROUND(USPS_Pri_Int_Base!Q13*(1+PostalMarkup),2),"N/A")</f>
        <v>158.69999999999999</v>
      </c>
      <c r="R17" s="313">
        <f>IF(LEN(USPS_Pri_Int_Base!R13)&gt;0,ROUND(USPS_Pri_Int_Base!R13*(1+PostalMarkup),2),"N/A")</f>
        <v>140.99</v>
      </c>
      <c r="S17" s="313">
        <f>IF(LEN(USPS_Pri_Int_Base!S13)&gt;0,ROUND(USPS_Pri_Int_Base!S13*(1+PostalMarkup),2),"N/A")</f>
        <v>148.12</v>
      </c>
      <c r="T17" s="313">
        <f>IF(LEN(USPS_Pri_Int_Base!T13)&gt;0,ROUND(USPS_Pri_Int_Base!T13*(1+PostalMarkup),2),"N/A")</f>
        <v>234.89</v>
      </c>
      <c r="U17" s="313">
        <f>IF(LEN(USPS_Pri_Int_Base!U13)&gt;0,ROUND(USPS_Pri_Int_Base!U13*(1+PostalMarkup),2),"N/A")</f>
        <v>149.66999999999999</v>
      </c>
    </row>
    <row r="18" spans="1:21" ht="12.75" customHeight="1">
      <c r="A18" s="312">
        <v>13</v>
      </c>
      <c r="B18" s="313">
        <f>IF(LEN(USPS_Pri_Int_Base!B14)&gt;0,ROUND(USPS_Pri_Int_Base!B14*(1+PostalMarkup),2),"N/A")</f>
        <v>117.82</v>
      </c>
      <c r="C18" s="313">
        <f>IF(LEN(USPS_Pri_Int_Base!C14)&gt;0,ROUND(USPS_Pri_Int_Base!C14*(1+PostalMarkup),2),"N/A")</f>
        <v>139.72999999999999</v>
      </c>
      <c r="D18" s="313">
        <f>IF(LEN(USPS_Pri_Int_Base!D14)&gt;0,ROUND(USPS_Pri_Int_Base!D14*(1+PostalMarkup),2),"N/A")</f>
        <v>166.69</v>
      </c>
      <c r="E18" s="313">
        <f>IF(LEN(USPS_Pri_Int_Base!E14)&gt;0,ROUND(USPS_Pri_Int_Base!E14*(1+PostalMarkup),2),"N/A")</f>
        <v>159.05000000000001</v>
      </c>
      <c r="F18" s="313">
        <f>IF(LEN(USPS_Pri_Int_Base!F14)&gt;0,ROUND(USPS_Pri_Int_Base!F14*(1+PostalMarkup),2),"N/A")</f>
        <v>165.77</v>
      </c>
      <c r="G18" s="313">
        <f>IF(LEN(USPS_Pri_Int_Base!G14)&gt;0,ROUND(USPS_Pri_Int_Base!G14*(1+PostalMarkup),2),"N/A")</f>
        <v>169.97</v>
      </c>
      <c r="H18" s="313">
        <f>IF(LEN(USPS_Pri_Int_Base!H14)&gt;0,ROUND(USPS_Pri_Int_Base!H14*(1+PostalMarkup),2),"N/A")</f>
        <v>180.72</v>
      </c>
      <c r="I18" s="313">
        <f>IF(LEN(USPS_Pri_Int_Base!I14)&gt;0,ROUND(USPS_Pri_Int_Base!I14*(1+PostalMarkup),2),"N/A")</f>
        <v>183.31</v>
      </c>
      <c r="J18" s="313">
        <f>IF(LEN(USPS_Pri_Int_Base!J14)&gt;0,ROUND(USPS_Pri_Int_Base!J14*(1+PostalMarkup),2),"N/A")</f>
        <v>196.02</v>
      </c>
      <c r="K18" s="313">
        <f>IF(LEN(USPS_Pri_Int_Base!K14)&gt;0,ROUND(USPS_Pri_Int_Base!K14*(1+PostalMarkup),2),"N/A")</f>
        <v>160.37</v>
      </c>
      <c r="L18" s="313">
        <f>IF(LEN(USPS_Pri_Int_Base!L14)&gt;0,ROUND(USPS_Pri_Int_Base!L14*(1+PostalMarkup),2),"N/A")</f>
        <v>175.55</v>
      </c>
      <c r="M18" s="313">
        <f>IF(LEN(USPS_Pri_Int_Base!M14)&gt;0,ROUND(USPS_Pri_Int_Base!M14*(1+PostalMarkup),2),"N/A")</f>
        <v>221.55</v>
      </c>
      <c r="N18" s="313">
        <f>IF(LEN(USPS_Pri_Int_Base!N14)&gt;0,ROUND(USPS_Pri_Int_Base!N14*(1+PostalMarkup),2),"N/A")</f>
        <v>178.83</v>
      </c>
      <c r="O18" s="313">
        <f>IF(LEN(USPS_Pri_Int_Base!O14)&gt;0,ROUND(USPS_Pri_Int_Base!O14*(1+PostalMarkup),2),"N/A")</f>
        <v>157.66999999999999</v>
      </c>
      <c r="P18" s="313">
        <f>IF(LEN(USPS_Pri_Int_Base!P14)&gt;0,ROUND(USPS_Pri_Int_Base!P14*(1+PostalMarkup),2),"N/A")</f>
        <v>147.72</v>
      </c>
      <c r="Q18" s="313">
        <f>IF(LEN(USPS_Pri_Int_Base!Q14)&gt;0,ROUND(USPS_Pri_Int_Base!Q14*(1+PostalMarkup),2),"N/A")</f>
        <v>164.97</v>
      </c>
      <c r="R18" s="313">
        <f>IF(LEN(USPS_Pri_Int_Base!R14)&gt;0,ROUND(USPS_Pri_Int_Base!R14*(1+PostalMarkup),2),"N/A")</f>
        <v>147.37</v>
      </c>
      <c r="S18" s="313">
        <f>IF(LEN(USPS_Pri_Int_Base!S14)&gt;0,ROUND(USPS_Pri_Int_Base!S14*(1+PostalMarkup),2),"N/A")</f>
        <v>154.85</v>
      </c>
      <c r="T18" s="313">
        <f>IF(LEN(USPS_Pri_Int_Base!T14)&gt;0,ROUND(USPS_Pri_Int_Base!T14*(1+PostalMarkup),2),"N/A")</f>
        <v>247.54</v>
      </c>
      <c r="U18" s="313">
        <f>IF(LEN(USPS_Pri_Int_Base!U14)&gt;0,ROUND(USPS_Pri_Int_Base!U14*(1+PostalMarkup),2),"N/A")</f>
        <v>156.46</v>
      </c>
    </row>
    <row r="19" spans="1:21" ht="12.75" customHeight="1">
      <c r="A19" s="312">
        <v>14</v>
      </c>
      <c r="B19" s="313">
        <f>IF(LEN(USPS_Pri_Int_Base!B15)&gt;0,ROUND(USPS_Pri_Int_Base!B15*(1+PostalMarkup),2),"N/A")</f>
        <v>124.2</v>
      </c>
      <c r="C19" s="313">
        <f>IF(LEN(USPS_Pri_Int_Base!C15)&gt;0,ROUND(USPS_Pri_Int_Base!C15*(1+PostalMarkup),2),"N/A")</f>
        <v>145.88</v>
      </c>
      <c r="D19" s="313">
        <f>IF(LEN(USPS_Pri_Int_Base!D15)&gt;0,ROUND(USPS_Pri_Int_Base!D15*(1+PostalMarkup),2),"N/A")</f>
        <v>174.23</v>
      </c>
      <c r="E19" s="313">
        <f>IF(LEN(USPS_Pri_Int_Base!E15)&gt;0,ROUND(USPS_Pri_Int_Base!E15*(1+PostalMarkup),2),"N/A")</f>
        <v>166</v>
      </c>
      <c r="F19" s="313">
        <f>IF(LEN(USPS_Pri_Int_Base!F15)&gt;0,ROUND(USPS_Pri_Int_Base!F15*(1+PostalMarkup),2),"N/A")</f>
        <v>172.9</v>
      </c>
      <c r="G19" s="313">
        <f>IF(LEN(USPS_Pri_Int_Base!G15)&gt;0,ROUND(USPS_Pri_Int_Base!G15*(1+PostalMarkup),2),"N/A")</f>
        <v>178.48</v>
      </c>
      <c r="H19" s="313">
        <f>IF(LEN(USPS_Pri_Int_Base!H15)&gt;0,ROUND(USPS_Pri_Int_Base!H15*(1+PostalMarkup),2),"N/A")</f>
        <v>189.98</v>
      </c>
      <c r="I19" s="313">
        <f>IF(LEN(USPS_Pri_Int_Base!I15)&gt;0,ROUND(USPS_Pri_Int_Base!I15*(1+PostalMarkup),2),"N/A")</f>
        <v>192.34</v>
      </c>
      <c r="J19" s="313">
        <f>IF(LEN(USPS_Pri_Int_Base!J15)&gt;0,ROUND(USPS_Pri_Int_Base!J15*(1+PostalMarkup),2),"N/A")</f>
        <v>205.16</v>
      </c>
      <c r="K19" s="313">
        <f>IF(LEN(USPS_Pri_Int_Base!K15)&gt;0,ROUND(USPS_Pri_Int_Base!K15*(1+PostalMarkup),2),"N/A")</f>
        <v>168.07</v>
      </c>
      <c r="L19" s="313">
        <f>IF(LEN(USPS_Pri_Int_Base!L15)&gt;0,ROUND(USPS_Pri_Int_Base!L15*(1+PostalMarkup),2),"N/A")</f>
        <v>184.12</v>
      </c>
      <c r="M19" s="313">
        <f>IF(LEN(USPS_Pri_Int_Base!M15)&gt;0,ROUND(USPS_Pri_Int_Base!M15*(1+PostalMarkup),2),"N/A")</f>
        <v>231.73</v>
      </c>
      <c r="N19" s="313">
        <f>IF(LEN(USPS_Pri_Int_Base!N15)&gt;0,ROUND(USPS_Pri_Int_Base!N15*(1+PostalMarkup),2),"N/A")</f>
        <v>187.62</v>
      </c>
      <c r="O19" s="313">
        <f>IF(LEN(USPS_Pri_Int_Base!O15)&gt;0,ROUND(USPS_Pri_Int_Base!O15*(1+PostalMarkup),2),"N/A")</f>
        <v>165.08</v>
      </c>
      <c r="P19" s="313">
        <f>IF(LEN(USPS_Pri_Int_Base!P15)&gt;0,ROUND(USPS_Pri_Int_Base!P15*(1+PostalMarkup),2),"N/A")</f>
        <v>153.41</v>
      </c>
      <c r="Q19" s="313">
        <f>IF(LEN(USPS_Pri_Int_Base!Q15)&gt;0,ROUND(USPS_Pri_Int_Base!Q15*(1+PostalMarkup),2),"N/A")</f>
        <v>171.18</v>
      </c>
      <c r="R19" s="313">
        <f>IF(LEN(USPS_Pri_Int_Base!R15)&gt;0,ROUND(USPS_Pri_Int_Base!R15*(1+PostalMarkup),2),"N/A")</f>
        <v>153.69999999999999</v>
      </c>
      <c r="S19" s="313">
        <f>IF(LEN(USPS_Pri_Int_Base!S15)&gt;0,ROUND(USPS_Pri_Int_Base!S15*(1+PostalMarkup),2),"N/A")</f>
        <v>161.58000000000001</v>
      </c>
      <c r="T19" s="313">
        <f>IF(LEN(USPS_Pri_Int_Base!T15)&gt;0,ROUND(USPS_Pri_Int_Base!T15*(1+PostalMarkup),2),"N/A")</f>
        <v>260.13</v>
      </c>
      <c r="U19" s="313">
        <f>IF(LEN(USPS_Pri_Int_Base!U15)&gt;0,ROUND(USPS_Pri_Int_Base!U15*(1+PostalMarkup),2),"N/A")</f>
        <v>163.24</v>
      </c>
    </row>
    <row r="20" spans="1:21" ht="12.75" customHeight="1">
      <c r="A20" s="312">
        <v>15</v>
      </c>
      <c r="B20" s="313">
        <f>IF(LEN(USPS_Pri_Int_Base!B16)&gt;0,ROUND(USPS_Pri_Int_Base!B16*(1+PostalMarkup),2),"N/A")</f>
        <v>130.53</v>
      </c>
      <c r="C20" s="313">
        <f>IF(LEN(USPS_Pri_Int_Base!C16)&gt;0,ROUND(USPS_Pri_Int_Base!C16*(1+PostalMarkup),2),"N/A")</f>
        <v>152.15</v>
      </c>
      <c r="D20" s="313">
        <f>IF(LEN(USPS_Pri_Int_Base!D16)&gt;0,ROUND(USPS_Pri_Int_Base!D16*(1+PostalMarkup),2),"N/A")</f>
        <v>181.87</v>
      </c>
      <c r="E20" s="313">
        <f>IF(LEN(USPS_Pri_Int_Base!E16)&gt;0,ROUND(USPS_Pri_Int_Base!E16*(1+PostalMarkup),2),"N/A")</f>
        <v>173.13</v>
      </c>
      <c r="F20" s="313">
        <f>IF(LEN(USPS_Pri_Int_Base!F16)&gt;0,ROUND(USPS_Pri_Int_Base!F16*(1+PostalMarkup),2),"N/A")</f>
        <v>180.21</v>
      </c>
      <c r="G20" s="313">
        <f>IF(LEN(USPS_Pri_Int_Base!G16)&gt;0,ROUND(USPS_Pri_Int_Base!G16*(1+PostalMarkup),2),"N/A")</f>
        <v>186.99</v>
      </c>
      <c r="H20" s="313">
        <f>IF(LEN(USPS_Pri_Int_Base!H16)&gt;0,ROUND(USPS_Pri_Int_Base!H16*(1+PostalMarkup),2),"N/A")</f>
        <v>199.24</v>
      </c>
      <c r="I20" s="313">
        <f>IF(LEN(USPS_Pri_Int_Base!I16)&gt;0,ROUND(USPS_Pri_Int_Base!I16*(1+PostalMarkup),2),"N/A")</f>
        <v>201.31</v>
      </c>
      <c r="J20" s="313">
        <f>IF(LEN(USPS_Pri_Int_Base!J16)&gt;0,ROUND(USPS_Pri_Int_Base!J16*(1+PostalMarkup),2),"N/A")</f>
        <v>215.57</v>
      </c>
      <c r="K20" s="313">
        <f>IF(LEN(USPS_Pri_Int_Base!K16)&gt;0,ROUND(USPS_Pri_Int_Base!K16*(1+PostalMarkup),2),"N/A")</f>
        <v>176.01</v>
      </c>
      <c r="L20" s="313">
        <f>IF(LEN(USPS_Pri_Int_Base!L16)&gt;0,ROUND(USPS_Pri_Int_Base!L16*(1+PostalMarkup),2),"N/A")</f>
        <v>192.63</v>
      </c>
      <c r="M20" s="313">
        <f>IF(LEN(USPS_Pri_Int_Base!M16)&gt;0,ROUND(USPS_Pri_Int_Base!M16*(1+PostalMarkup),2),"N/A")</f>
        <v>241.96</v>
      </c>
      <c r="N20" s="313">
        <f>IF(LEN(USPS_Pri_Int_Base!N16)&gt;0,ROUND(USPS_Pri_Int_Base!N16*(1+PostalMarkup),2),"N/A")</f>
        <v>196.65</v>
      </c>
      <c r="O20" s="313">
        <f>IF(LEN(USPS_Pri_Int_Base!O16)&gt;0,ROUND(USPS_Pri_Int_Base!O16*(1+PostalMarkup),2),"N/A")</f>
        <v>172.56</v>
      </c>
      <c r="P20" s="313">
        <f>IF(LEN(USPS_Pri_Int_Base!P16)&gt;0,ROUND(USPS_Pri_Int_Base!P16*(1+PostalMarkup),2),"N/A")</f>
        <v>159.28</v>
      </c>
      <c r="Q20" s="313">
        <f>IF(LEN(USPS_Pri_Int_Base!Q16)&gt;0,ROUND(USPS_Pri_Int_Base!Q16*(1+PostalMarkup),2),"N/A")</f>
        <v>177.62</v>
      </c>
      <c r="R20" s="313">
        <f>IF(LEN(USPS_Pri_Int_Base!R16)&gt;0,ROUND(USPS_Pri_Int_Base!R16*(1+PostalMarkup),2),"N/A")</f>
        <v>160.31</v>
      </c>
      <c r="S20" s="313">
        <f>IF(LEN(USPS_Pri_Int_Base!S16)&gt;0,ROUND(USPS_Pri_Int_Base!S16*(1+PostalMarkup),2),"N/A")</f>
        <v>168.3</v>
      </c>
      <c r="T20" s="313">
        <f>IF(LEN(USPS_Pri_Int_Base!T16)&gt;0,ROUND(USPS_Pri_Int_Base!T16*(1+PostalMarkup),2),"N/A")</f>
        <v>272.72000000000003</v>
      </c>
      <c r="U20" s="313">
        <f>IF(LEN(USPS_Pri_Int_Base!U16)&gt;0,ROUND(USPS_Pri_Int_Base!U16*(1+PostalMarkup),2),"N/A")</f>
        <v>170.26</v>
      </c>
    </row>
    <row r="21" spans="1:21" ht="12.75" customHeight="1">
      <c r="A21" s="312">
        <v>16</v>
      </c>
      <c r="B21" s="313">
        <f>IF(LEN(USPS_Pri_Int_Base!B17)&gt;0,ROUND(USPS_Pri_Int_Base!B17*(1+PostalMarkup),2),"N/A")</f>
        <v>136.62</v>
      </c>
      <c r="C21" s="313">
        <f>IF(LEN(USPS_Pri_Int_Base!C17)&gt;0,ROUND(USPS_Pri_Int_Base!C17*(1+PostalMarkup),2),"N/A")</f>
        <v>158.30000000000001</v>
      </c>
      <c r="D21" s="313">
        <f>IF(LEN(USPS_Pri_Int_Base!D17)&gt;0,ROUND(USPS_Pri_Int_Base!D17*(1+PostalMarkup),2),"N/A")</f>
        <v>189.41</v>
      </c>
      <c r="E21" s="313">
        <f>IF(LEN(USPS_Pri_Int_Base!E17)&gt;0,ROUND(USPS_Pri_Int_Base!E17*(1+PostalMarkup),2),"N/A")</f>
        <v>179.92</v>
      </c>
      <c r="F21" s="313">
        <f>IF(LEN(USPS_Pri_Int_Base!F17)&gt;0,ROUND(USPS_Pri_Int_Base!F17*(1+PostalMarkup),2),"N/A")</f>
        <v>187.11</v>
      </c>
      <c r="G21" s="313">
        <f>IF(LEN(USPS_Pri_Int_Base!G17)&gt;0,ROUND(USPS_Pri_Int_Base!G17*(1+PostalMarkup),2),"N/A")</f>
        <v>195.27</v>
      </c>
      <c r="H21" s="313">
        <f>IF(LEN(USPS_Pri_Int_Base!H17)&gt;0,ROUND(USPS_Pri_Int_Base!H17*(1+PostalMarkup),2),"N/A")</f>
        <v>208.21</v>
      </c>
      <c r="I21" s="313">
        <f>IF(LEN(USPS_Pri_Int_Base!I17)&gt;0,ROUND(USPS_Pri_Int_Base!I17*(1+PostalMarkup),2),"N/A")</f>
        <v>211.03</v>
      </c>
      <c r="J21" s="313">
        <f>IF(LEN(USPS_Pri_Int_Base!J17)&gt;0,ROUND(USPS_Pri_Int_Base!J17*(1+PostalMarkup),2),"N/A")</f>
        <v>225.69</v>
      </c>
      <c r="K21" s="313">
        <f>IF(LEN(USPS_Pri_Int_Base!K17)&gt;0,ROUND(USPS_Pri_Int_Base!K17*(1+PostalMarkup),2),"N/A")</f>
        <v>183.6</v>
      </c>
      <c r="L21" s="313">
        <f>IF(LEN(USPS_Pri_Int_Base!L17)&gt;0,ROUND(USPS_Pri_Int_Base!L17*(1+PostalMarkup),2),"N/A")</f>
        <v>201.14</v>
      </c>
      <c r="M21" s="313">
        <f>IF(LEN(USPS_Pri_Int_Base!M17)&gt;0,ROUND(USPS_Pri_Int_Base!M17*(1+PostalMarkup),2),"N/A")</f>
        <v>252.08</v>
      </c>
      <c r="N21" s="313">
        <f>IF(LEN(USPS_Pri_Int_Base!N17)&gt;0,ROUND(USPS_Pri_Int_Base!N17*(1+PostalMarkup),2),"N/A")</f>
        <v>205.05</v>
      </c>
      <c r="O21" s="313">
        <f>IF(LEN(USPS_Pri_Int_Base!O17)&gt;0,ROUND(USPS_Pri_Int_Base!O17*(1+PostalMarkup),2),"N/A")</f>
        <v>179.8</v>
      </c>
      <c r="P21" s="313">
        <f>IF(LEN(USPS_Pri_Int_Base!P17)&gt;0,ROUND(USPS_Pri_Int_Base!P17*(1+PostalMarkup),2),"N/A")</f>
        <v>165.03</v>
      </c>
      <c r="Q21" s="313">
        <f>IF(LEN(USPS_Pri_Int_Base!Q17)&gt;0,ROUND(USPS_Pri_Int_Base!Q17*(1+PostalMarkup),2),"N/A")</f>
        <v>183.31</v>
      </c>
      <c r="R21" s="313">
        <f>IF(LEN(USPS_Pri_Int_Base!R17)&gt;0,ROUND(USPS_Pri_Int_Base!R17*(1+PostalMarkup),2),"N/A")</f>
        <v>166.46</v>
      </c>
      <c r="S21" s="313">
        <f>IF(LEN(USPS_Pri_Int_Base!S17)&gt;0,ROUND(USPS_Pri_Int_Base!S17*(1+PostalMarkup),2),"N/A")</f>
        <v>174.86</v>
      </c>
      <c r="T21" s="313">
        <f>IF(LEN(USPS_Pri_Int_Base!T17)&gt;0,ROUND(USPS_Pri_Int_Base!T17*(1+PostalMarkup),2),"N/A")</f>
        <v>285.32</v>
      </c>
      <c r="U21" s="313">
        <f>IF(LEN(USPS_Pri_Int_Base!U17)&gt;0,ROUND(USPS_Pri_Int_Base!U17*(1+PostalMarkup),2),"N/A")</f>
        <v>176.99</v>
      </c>
    </row>
    <row r="22" spans="1:21" ht="12.75" customHeight="1">
      <c r="A22" s="312">
        <v>17</v>
      </c>
      <c r="B22" s="313">
        <f>IF(LEN(USPS_Pri_Int_Base!B18)&gt;0,ROUND(USPS_Pri_Int_Base!B18*(1+PostalMarkup),2),"N/A")</f>
        <v>143</v>
      </c>
      <c r="C22" s="313">
        <f>IF(LEN(USPS_Pri_Int_Base!C18)&gt;0,ROUND(USPS_Pri_Int_Base!C18*(1+PostalMarkup),2),"N/A")</f>
        <v>164.45</v>
      </c>
      <c r="D22" s="313">
        <f>IF(LEN(USPS_Pri_Int_Base!D18)&gt;0,ROUND(USPS_Pri_Int_Base!D18*(1+PostalMarkup),2),"N/A")</f>
        <v>197</v>
      </c>
      <c r="E22" s="313">
        <f>IF(LEN(USPS_Pri_Int_Base!E18)&gt;0,ROUND(USPS_Pri_Int_Base!E18*(1+PostalMarkup),2),"N/A")</f>
        <v>186.93</v>
      </c>
      <c r="F22" s="313">
        <f>IF(LEN(USPS_Pri_Int_Base!F18)&gt;0,ROUND(USPS_Pri_Int_Base!F18*(1+PostalMarkup),2),"N/A")</f>
        <v>194.12</v>
      </c>
      <c r="G22" s="313">
        <f>IF(LEN(USPS_Pri_Int_Base!G18)&gt;0,ROUND(USPS_Pri_Int_Base!G18*(1+PostalMarkup),2),"N/A")</f>
        <v>203.67</v>
      </c>
      <c r="H22" s="313">
        <f>IF(LEN(USPS_Pri_Int_Base!H18)&gt;0,ROUND(USPS_Pri_Int_Base!H18*(1+PostalMarkup),2),"N/A")</f>
        <v>217.29</v>
      </c>
      <c r="I22" s="313">
        <f>IF(LEN(USPS_Pri_Int_Base!I18)&gt;0,ROUND(USPS_Pri_Int_Base!I18*(1+PostalMarkup),2),"N/A")</f>
        <v>220.17</v>
      </c>
      <c r="J22" s="313">
        <f>IF(LEN(USPS_Pri_Int_Base!J18)&gt;0,ROUND(USPS_Pri_Int_Base!J18*(1+PostalMarkup),2),"N/A")</f>
        <v>235.98</v>
      </c>
      <c r="K22" s="313">
        <f>IF(LEN(USPS_Pri_Int_Base!K18)&gt;0,ROUND(USPS_Pri_Int_Base!K18*(1+PostalMarkup),2),"N/A")</f>
        <v>191.3</v>
      </c>
      <c r="L22" s="313">
        <f>IF(LEN(USPS_Pri_Int_Base!L18)&gt;0,ROUND(USPS_Pri_Int_Base!L18*(1+PostalMarkup),2),"N/A")</f>
        <v>209.7</v>
      </c>
      <c r="M22" s="313">
        <f>IF(LEN(USPS_Pri_Int_Base!M18)&gt;0,ROUND(USPS_Pri_Int_Base!M18*(1+PostalMarkup),2),"N/A")</f>
        <v>262.14</v>
      </c>
      <c r="N22" s="313">
        <f>IF(LEN(USPS_Pri_Int_Base!N18)&gt;0,ROUND(USPS_Pri_Int_Base!N18*(1+PostalMarkup),2),"N/A")</f>
        <v>213.61</v>
      </c>
      <c r="O22" s="313">
        <f>IF(LEN(USPS_Pri_Int_Base!O18)&gt;0,ROUND(USPS_Pri_Int_Base!O18*(1+PostalMarkup),2),"N/A")</f>
        <v>186.99</v>
      </c>
      <c r="P22" s="313">
        <f>IF(LEN(USPS_Pri_Int_Base!P18)&gt;0,ROUND(USPS_Pri_Int_Base!P18*(1+PostalMarkup),2),"N/A")</f>
        <v>170.66</v>
      </c>
      <c r="Q22" s="313">
        <f>IF(LEN(USPS_Pri_Int_Base!Q18)&gt;0,ROUND(USPS_Pri_Int_Base!Q18*(1+PostalMarkup),2),"N/A")</f>
        <v>189.98</v>
      </c>
      <c r="R22" s="313">
        <f>IF(LEN(USPS_Pri_Int_Base!R18)&gt;0,ROUND(USPS_Pri_Int_Base!R18*(1+PostalMarkup),2),"N/A")</f>
        <v>172.96</v>
      </c>
      <c r="S22" s="313">
        <f>IF(LEN(USPS_Pri_Int_Base!S18)&gt;0,ROUND(USPS_Pri_Int_Base!S18*(1+PostalMarkup),2),"N/A")</f>
        <v>181.7</v>
      </c>
      <c r="T22" s="313">
        <f>IF(LEN(USPS_Pri_Int_Base!T18)&gt;0,ROUND(USPS_Pri_Int_Base!T18*(1+PostalMarkup),2),"N/A")</f>
        <v>297.91000000000003</v>
      </c>
      <c r="U22" s="313">
        <f>IF(LEN(USPS_Pri_Int_Base!U18)&gt;0,ROUND(USPS_Pri_Int_Base!U18*(1+PostalMarkup),2),"N/A")</f>
        <v>183.54</v>
      </c>
    </row>
    <row r="23" spans="1:21" ht="12.75" customHeight="1">
      <c r="A23" s="312">
        <v>18</v>
      </c>
      <c r="B23" s="313">
        <f>IF(LEN(USPS_Pri_Int_Base!B19)&gt;0,ROUND(USPS_Pri_Int_Base!B19*(1+PostalMarkup),2),"N/A")</f>
        <v>149.5</v>
      </c>
      <c r="C23" s="313">
        <f>IF(LEN(USPS_Pri_Int_Base!C19)&gt;0,ROUND(USPS_Pri_Int_Base!C19*(1+PostalMarkup),2),"N/A")</f>
        <v>170.6</v>
      </c>
      <c r="D23" s="313">
        <f>IF(LEN(USPS_Pri_Int_Base!D19)&gt;0,ROUND(USPS_Pri_Int_Base!D19*(1+PostalMarkup),2),"N/A")</f>
        <v>204.59</v>
      </c>
      <c r="E23" s="313">
        <f>IF(LEN(USPS_Pri_Int_Base!E19)&gt;0,ROUND(USPS_Pri_Int_Base!E19*(1+PostalMarkup),2),"N/A")</f>
        <v>193.95</v>
      </c>
      <c r="F23" s="313">
        <f>IF(LEN(USPS_Pri_Int_Base!F19)&gt;0,ROUND(USPS_Pri_Int_Base!F19*(1+PostalMarkup),2),"N/A")</f>
        <v>201.25</v>
      </c>
      <c r="G23" s="313">
        <f>IF(LEN(USPS_Pri_Int_Base!G19)&gt;0,ROUND(USPS_Pri_Int_Base!G19*(1+PostalMarkup),2),"N/A")</f>
        <v>212.12</v>
      </c>
      <c r="H23" s="313">
        <f>IF(LEN(USPS_Pri_Int_Base!H19)&gt;0,ROUND(USPS_Pri_Int_Base!H19*(1+PostalMarkup),2),"N/A")</f>
        <v>226.44</v>
      </c>
      <c r="I23" s="313">
        <f>IF(LEN(USPS_Pri_Int_Base!I19)&gt;0,ROUND(USPS_Pri_Int_Base!I19*(1+PostalMarkup),2),"N/A")</f>
        <v>229.48</v>
      </c>
      <c r="J23" s="313">
        <f>IF(LEN(USPS_Pri_Int_Base!J19)&gt;0,ROUND(USPS_Pri_Int_Base!J19*(1+PostalMarkup),2),"N/A")</f>
        <v>246.16</v>
      </c>
      <c r="K23" s="313">
        <f>IF(LEN(USPS_Pri_Int_Base!K19)&gt;0,ROUND(USPS_Pri_Int_Base!K19*(1+PostalMarkup),2),"N/A")</f>
        <v>199.12</v>
      </c>
      <c r="L23" s="313">
        <f>IF(LEN(USPS_Pri_Int_Base!L19)&gt;0,ROUND(USPS_Pri_Int_Base!L19*(1+PostalMarkup),2),"N/A")</f>
        <v>218.39</v>
      </c>
      <c r="M23" s="313">
        <f>IF(LEN(USPS_Pri_Int_Base!M19)&gt;0,ROUND(USPS_Pri_Int_Base!M19*(1+PostalMarkup),2),"N/A")</f>
        <v>273.99</v>
      </c>
      <c r="N23" s="313">
        <f>IF(LEN(USPS_Pri_Int_Base!N19)&gt;0,ROUND(USPS_Pri_Int_Base!N19*(1+PostalMarkup),2),"N/A")</f>
        <v>222.35</v>
      </c>
      <c r="O23" s="313">
        <f>IF(LEN(USPS_Pri_Int_Base!O19)&gt;0,ROUND(USPS_Pri_Int_Base!O19*(1+PostalMarkup),2),"N/A")</f>
        <v>194.41</v>
      </c>
      <c r="P23" s="313">
        <f>IF(LEN(USPS_Pri_Int_Base!P19)&gt;0,ROUND(USPS_Pri_Int_Base!P19*(1+PostalMarkup),2),"N/A")</f>
        <v>176.58</v>
      </c>
      <c r="Q23" s="313">
        <f>IF(LEN(USPS_Pri_Int_Base!Q19)&gt;0,ROUND(USPS_Pri_Int_Base!Q19*(1+PostalMarkup),2),"N/A")</f>
        <v>196.25</v>
      </c>
      <c r="R23" s="313">
        <f>IF(LEN(USPS_Pri_Int_Base!R19)&gt;0,ROUND(USPS_Pri_Int_Base!R19*(1+PostalMarkup),2),"N/A")</f>
        <v>179.29</v>
      </c>
      <c r="S23" s="313">
        <f>IF(LEN(USPS_Pri_Int_Base!S19)&gt;0,ROUND(USPS_Pri_Int_Base!S19*(1+PostalMarkup),2),"N/A")</f>
        <v>188.37</v>
      </c>
      <c r="T23" s="313">
        <f>IF(LEN(USPS_Pri_Int_Base!T19)&gt;0,ROUND(USPS_Pri_Int_Base!T19*(1+PostalMarkup),2),"N/A")</f>
        <v>310.5</v>
      </c>
      <c r="U23" s="313">
        <f>IF(LEN(USPS_Pri_Int_Base!U19)&gt;0,ROUND(USPS_Pri_Int_Base!U19*(1+PostalMarkup),2),"N/A")</f>
        <v>190.56</v>
      </c>
    </row>
    <row r="24" spans="1:21" ht="12.75" customHeight="1">
      <c r="A24" s="312">
        <v>19</v>
      </c>
      <c r="B24" s="313">
        <f>IF(LEN(USPS_Pri_Int_Base!B20)&gt;0,ROUND(USPS_Pri_Int_Base!B20*(1+PostalMarkup),2),"N/A")</f>
        <v>155.37</v>
      </c>
      <c r="C24" s="313">
        <f>IF(LEN(USPS_Pri_Int_Base!C20)&gt;0,ROUND(USPS_Pri_Int_Base!C20*(1+PostalMarkup),2),"N/A")</f>
        <v>176.87</v>
      </c>
      <c r="D24" s="313">
        <f>IF(LEN(USPS_Pri_Int_Base!D20)&gt;0,ROUND(USPS_Pri_Int_Base!D20*(1+PostalMarkup),2),"N/A")</f>
        <v>212.18</v>
      </c>
      <c r="E24" s="313">
        <f>IF(LEN(USPS_Pri_Int_Base!E20)&gt;0,ROUND(USPS_Pri_Int_Base!E20*(1+PostalMarkup),2),"N/A")</f>
        <v>200.73</v>
      </c>
      <c r="F24" s="313">
        <f>IF(LEN(USPS_Pri_Int_Base!F20)&gt;0,ROUND(USPS_Pri_Int_Base!F20*(1+PostalMarkup),2),"N/A")</f>
        <v>208.09</v>
      </c>
      <c r="G24" s="313">
        <f>IF(LEN(USPS_Pri_Int_Base!G20)&gt;0,ROUND(USPS_Pri_Int_Base!G20*(1+PostalMarkup),2),"N/A")</f>
        <v>220.51</v>
      </c>
      <c r="H24" s="313">
        <f>IF(LEN(USPS_Pri_Int_Base!H20)&gt;0,ROUND(USPS_Pri_Int_Base!H20*(1+PostalMarkup),2),"N/A")</f>
        <v>235.18</v>
      </c>
      <c r="I24" s="313">
        <f>IF(LEN(USPS_Pri_Int_Base!I20)&gt;0,ROUND(USPS_Pri_Int_Base!I20*(1+PostalMarkup),2),"N/A")</f>
        <v>238.57</v>
      </c>
      <c r="J24" s="313">
        <f>IF(LEN(USPS_Pri_Int_Base!J20)&gt;0,ROUND(USPS_Pri_Int_Base!J20*(1+PostalMarkup),2),"N/A")</f>
        <v>256.27999999999997</v>
      </c>
      <c r="K24" s="313">
        <f>IF(LEN(USPS_Pri_Int_Base!K20)&gt;0,ROUND(USPS_Pri_Int_Base!K20*(1+PostalMarkup),2),"N/A")</f>
        <v>206.83</v>
      </c>
      <c r="L24" s="313">
        <f>IF(LEN(USPS_Pri_Int_Base!L20)&gt;0,ROUND(USPS_Pri_Int_Base!L20*(1+PostalMarkup),2),"N/A")</f>
        <v>226.67</v>
      </c>
      <c r="M24" s="313">
        <f>IF(LEN(USPS_Pri_Int_Base!M20)&gt;0,ROUND(USPS_Pri_Int_Base!M20*(1+PostalMarkup),2),"N/A")</f>
        <v>285.14</v>
      </c>
      <c r="N24" s="313">
        <f>IF(LEN(USPS_Pri_Int_Base!N20)&gt;0,ROUND(USPS_Pri_Int_Base!N20*(1+PostalMarkup),2),"N/A")</f>
        <v>230.46</v>
      </c>
      <c r="O24" s="313">
        <f>IF(LEN(USPS_Pri_Int_Base!O20)&gt;0,ROUND(USPS_Pri_Int_Base!O20*(1+PostalMarkup),2),"N/A")</f>
        <v>201.77</v>
      </c>
      <c r="P24" s="313">
        <f>IF(LEN(USPS_Pri_Int_Base!P20)&gt;0,ROUND(USPS_Pri_Int_Base!P20*(1+PostalMarkup),2),"N/A")</f>
        <v>182.22</v>
      </c>
      <c r="Q24" s="313">
        <f>IF(LEN(USPS_Pri_Int_Base!Q20)&gt;0,ROUND(USPS_Pri_Int_Base!Q20*(1+PostalMarkup),2),"N/A")</f>
        <v>202.46</v>
      </c>
      <c r="R24" s="313">
        <f>IF(LEN(USPS_Pri_Int_Base!R20)&gt;0,ROUND(USPS_Pri_Int_Base!R20*(1+PostalMarkup),2),"N/A")</f>
        <v>185.78</v>
      </c>
      <c r="S24" s="313">
        <f>IF(LEN(USPS_Pri_Int_Base!S20)&gt;0,ROUND(USPS_Pri_Int_Base!S20*(1+PostalMarkup),2),"N/A")</f>
        <v>195.1</v>
      </c>
      <c r="T24" s="313">
        <f>IF(LEN(USPS_Pri_Int_Base!T20)&gt;0,ROUND(USPS_Pri_Int_Base!T20*(1+PostalMarkup),2),"N/A")</f>
        <v>323.14999999999998</v>
      </c>
      <c r="U24" s="313">
        <f>IF(LEN(USPS_Pri_Int_Base!U20)&gt;0,ROUND(USPS_Pri_Int_Base!U20*(1+PostalMarkup),2),"N/A")</f>
        <v>197.05</v>
      </c>
    </row>
    <row r="25" spans="1:21" ht="12.75" customHeight="1">
      <c r="A25" s="312">
        <v>20</v>
      </c>
      <c r="B25" s="313">
        <f>IF(LEN(USPS_Pri_Int_Base!B21)&gt;0,ROUND(USPS_Pri_Int_Base!B21*(1+PostalMarkup),2),"N/A")</f>
        <v>161.75</v>
      </c>
      <c r="C25" s="313">
        <f>IF(LEN(USPS_Pri_Int_Base!C21)&gt;0,ROUND(USPS_Pri_Int_Base!C21*(1+PostalMarkup),2),"N/A")</f>
        <v>183.02</v>
      </c>
      <c r="D25" s="313">
        <f>IF(LEN(USPS_Pri_Int_Base!D21)&gt;0,ROUND(USPS_Pri_Int_Base!D21*(1+PostalMarkup),2),"N/A")</f>
        <v>219.71</v>
      </c>
      <c r="E25" s="313">
        <f>IF(LEN(USPS_Pri_Int_Base!E21)&gt;0,ROUND(USPS_Pri_Int_Base!E21*(1+PostalMarkup),2),"N/A")</f>
        <v>208.09</v>
      </c>
      <c r="F25" s="313">
        <f>IF(LEN(USPS_Pri_Int_Base!F21)&gt;0,ROUND(USPS_Pri_Int_Base!F21*(1+PostalMarkup),2),"N/A")</f>
        <v>215.51</v>
      </c>
      <c r="G25" s="313">
        <f>IF(LEN(USPS_Pri_Int_Base!G21)&gt;0,ROUND(USPS_Pri_Int_Base!G21*(1+PostalMarkup),2),"N/A")</f>
        <v>229.02</v>
      </c>
      <c r="H25" s="313">
        <f>IF(LEN(USPS_Pri_Int_Base!H21)&gt;0,ROUND(USPS_Pri_Int_Base!H21*(1+PostalMarkup),2),"N/A")</f>
        <v>244.61</v>
      </c>
      <c r="I25" s="313">
        <f>IF(LEN(USPS_Pri_Int_Base!I21)&gt;0,ROUND(USPS_Pri_Int_Base!I21*(1+PostalMarkup),2),"N/A")</f>
        <v>248.63</v>
      </c>
      <c r="J25" s="313">
        <f>IF(LEN(USPS_Pri_Int_Base!J21)&gt;0,ROUND(USPS_Pri_Int_Base!J21*(1+PostalMarkup),2),"N/A")</f>
        <v>266.74</v>
      </c>
      <c r="K25" s="313">
        <f>IF(LEN(USPS_Pri_Int_Base!K21)&gt;0,ROUND(USPS_Pri_Int_Base!K21*(1+PostalMarkup),2),"N/A")</f>
        <v>214.59</v>
      </c>
      <c r="L25" s="313">
        <f>IF(LEN(USPS_Pri_Int_Base!L21)&gt;0,ROUND(USPS_Pri_Int_Base!L21*(1+PostalMarkup),2),"N/A")</f>
        <v>235.46</v>
      </c>
      <c r="M25" s="313">
        <f>IF(LEN(USPS_Pri_Int_Base!M21)&gt;0,ROUND(USPS_Pri_Int_Base!M21*(1+PostalMarkup),2),"N/A")</f>
        <v>297.62</v>
      </c>
      <c r="N25" s="313">
        <f>IF(LEN(USPS_Pri_Int_Base!N21)&gt;0,ROUND(USPS_Pri_Int_Base!N21*(1+PostalMarkup),2),"N/A")</f>
        <v>240.06</v>
      </c>
      <c r="O25" s="313">
        <f>IF(LEN(USPS_Pri_Int_Base!O21)&gt;0,ROUND(USPS_Pri_Int_Base!O21*(1+PostalMarkup),2),"N/A")</f>
        <v>209.47</v>
      </c>
      <c r="P25" s="313">
        <f>IF(LEN(USPS_Pri_Int_Base!P21)&gt;0,ROUND(USPS_Pri_Int_Base!P21*(1+PostalMarkup),2),"N/A")</f>
        <v>188.14</v>
      </c>
      <c r="Q25" s="313">
        <f>IF(LEN(USPS_Pri_Int_Base!Q21)&gt;0,ROUND(USPS_Pri_Int_Base!Q21*(1+PostalMarkup),2),"N/A")</f>
        <v>208.73</v>
      </c>
      <c r="R25" s="313">
        <f>IF(LEN(USPS_Pri_Int_Base!R21)&gt;0,ROUND(USPS_Pri_Int_Base!R21*(1+PostalMarkup),2),"N/A")</f>
        <v>192.17</v>
      </c>
      <c r="S25" s="313">
        <f>IF(LEN(USPS_Pri_Int_Base!S21)&gt;0,ROUND(USPS_Pri_Int_Base!S21*(1+PostalMarkup),2),"N/A")</f>
        <v>202</v>
      </c>
      <c r="T25" s="313">
        <f>IF(LEN(USPS_Pri_Int_Base!T21)&gt;0,ROUND(USPS_Pri_Int_Base!T21*(1+PostalMarkup),2),"N/A")</f>
        <v>335.74</v>
      </c>
      <c r="U25" s="313">
        <f>IF(LEN(USPS_Pri_Int_Base!U21)&gt;0,ROUND(USPS_Pri_Int_Base!U21*(1+PostalMarkup),2),"N/A")</f>
        <v>204.13</v>
      </c>
    </row>
    <row r="26" spans="1:21" ht="12.75" customHeight="1">
      <c r="A26" s="312">
        <v>21</v>
      </c>
      <c r="B26" s="313">
        <f>IF(LEN(USPS_Pri_Int_Base!B22)&gt;0,ROUND(USPS_Pri_Int_Base!B22*(1+PostalMarkup),2),"N/A")</f>
        <v>163.24</v>
      </c>
      <c r="C26" s="313">
        <f>IF(LEN(USPS_Pri_Int_Base!C22)&gt;0,ROUND(USPS_Pri_Int_Base!C22*(1+PostalMarkup),2),"N/A")</f>
        <v>185.15</v>
      </c>
      <c r="D26" s="313">
        <f>IF(LEN(USPS_Pri_Int_Base!D22)&gt;0,ROUND(USPS_Pri_Int_Base!D22*(1+PostalMarkup),2),"N/A")</f>
        <v>220.11</v>
      </c>
      <c r="E26" s="313">
        <f>IF(LEN(USPS_Pri_Int_Base!E22)&gt;0,ROUND(USPS_Pri_Int_Base!E22*(1+PostalMarkup),2),"N/A")</f>
        <v>209.01</v>
      </c>
      <c r="F26" s="313">
        <f>IF(LEN(USPS_Pri_Int_Base!F22)&gt;0,ROUND(USPS_Pri_Int_Base!F22*(1+PostalMarkup),2),"N/A")</f>
        <v>216.32</v>
      </c>
      <c r="G26" s="313">
        <f>IF(LEN(USPS_Pri_Int_Base!G22)&gt;0,ROUND(USPS_Pri_Int_Base!G22*(1+PostalMarkup),2),"N/A")</f>
        <v>235.75</v>
      </c>
      <c r="H26" s="313">
        <f>IF(LEN(USPS_Pri_Int_Base!H22)&gt;0,ROUND(USPS_Pri_Int_Base!H22*(1+PostalMarkup),2),"N/A")</f>
        <v>251.97</v>
      </c>
      <c r="I26" s="313">
        <f>IF(LEN(USPS_Pri_Int_Base!I22)&gt;0,ROUND(USPS_Pri_Int_Base!I22*(1+PostalMarkup),2),"N/A")</f>
        <v>251.28</v>
      </c>
      <c r="J26" s="313">
        <f>IF(LEN(USPS_Pri_Int_Base!J22)&gt;0,ROUND(USPS_Pri_Int_Base!J22*(1+PostalMarkup),2),"N/A")</f>
        <v>274.97000000000003</v>
      </c>
      <c r="K26" s="313">
        <f>IF(LEN(USPS_Pri_Int_Base!K22)&gt;0,ROUND(USPS_Pri_Int_Base!K22*(1+PostalMarkup),2),"N/A")</f>
        <v>217.47</v>
      </c>
      <c r="L26" s="313">
        <f>IF(LEN(USPS_Pri_Int_Base!L22)&gt;0,ROUND(USPS_Pri_Int_Base!L22*(1+PostalMarkup),2),"N/A")</f>
        <v>242.54</v>
      </c>
      <c r="M26" s="313">
        <f>IF(LEN(USPS_Pri_Int_Base!M22)&gt;0,ROUND(USPS_Pri_Int_Base!M22*(1+PostalMarkup),2),"N/A")</f>
        <v>308.08999999999997</v>
      </c>
      <c r="N26" s="313">
        <f>IF(LEN(USPS_Pri_Int_Base!N22)&gt;0,ROUND(USPS_Pri_Int_Base!N22*(1+PostalMarkup),2),"N/A")</f>
        <v>246.73</v>
      </c>
      <c r="O26" s="313">
        <f>IF(LEN(USPS_Pri_Int_Base!O22)&gt;0,ROUND(USPS_Pri_Int_Base!O22*(1+PostalMarkup),2),"N/A")</f>
        <v>210.74</v>
      </c>
      <c r="P26" s="313">
        <f>IF(LEN(USPS_Pri_Int_Base!P22)&gt;0,ROUND(USPS_Pri_Int_Base!P22*(1+PostalMarkup),2),"N/A")</f>
        <v>192.57</v>
      </c>
      <c r="Q26" s="313">
        <f>IF(LEN(USPS_Pri_Int_Base!Q22)&gt;0,ROUND(USPS_Pri_Int_Base!Q22*(1+PostalMarkup),2),"N/A")</f>
        <v>213.67</v>
      </c>
      <c r="R26" s="313">
        <f>IF(LEN(USPS_Pri_Int_Base!R22)&gt;0,ROUND(USPS_Pri_Int_Base!R22*(1+PostalMarkup),2),"N/A")</f>
        <v>193.2</v>
      </c>
      <c r="S26" s="313">
        <f>IF(LEN(USPS_Pri_Int_Base!S22)&gt;0,ROUND(USPS_Pri_Int_Base!S22*(1+PostalMarkup),2),"N/A")</f>
        <v>202.92</v>
      </c>
      <c r="T26" s="313">
        <f>IF(LEN(USPS_Pri_Int_Base!T22)&gt;0,ROUND(USPS_Pri_Int_Base!T22*(1+PostalMarkup),2),"N/A")</f>
        <v>344.25</v>
      </c>
      <c r="U26" s="313">
        <f>IF(LEN(USPS_Pri_Int_Base!U22)&gt;0,ROUND(USPS_Pri_Int_Base!U22*(1+PostalMarkup),2),"N/A")</f>
        <v>209.13</v>
      </c>
    </row>
    <row r="27" spans="1:21" ht="12.75" customHeight="1">
      <c r="A27" s="312">
        <v>22</v>
      </c>
      <c r="B27" s="313">
        <f>IF(LEN(USPS_Pri_Int_Base!B23)&gt;0,ROUND(USPS_Pri_Int_Base!B23*(1+PostalMarkup),2),"N/A")</f>
        <v>164.74</v>
      </c>
      <c r="C27" s="313">
        <f>IF(LEN(USPS_Pri_Int_Base!C23)&gt;0,ROUND(USPS_Pri_Int_Base!C23*(1+PostalMarkup),2),"N/A")</f>
        <v>187.22</v>
      </c>
      <c r="D27" s="313">
        <f>IF(LEN(USPS_Pri_Int_Base!D23)&gt;0,ROUND(USPS_Pri_Int_Base!D23*(1+PostalMarkup),2),"N/A")</f>
        <v>221.66</v>
      </c>
      <c r="E27" s="313">
        <f>IF(LEN(USPS_Pri_Int_Base!E23)&gt;0,ROUND(USPS_Pri_Int_Base!E23*(1+PostalMarkup),2),"N/A")</f>
        <v>209.93</v>
      </c>
      <c r="F27" s="313">
        <f>IF(LEN(USPS_Pri_Int_Base!F23)&gt;0,ROUND(USPS_Pri_Int_Base!F23*(1+PostalMarkup),2),"N/A")</f>
        <v>217.06</v>
      </c>
      <c r="G27" s="313">
        <f>IF(LEN(USPS_Pri_Int_Base!G23)&gt;0,ROUND(USPS_Pri_Int_Base!G23*(1+PostalMarkup),2),"N/A")</f>
        <v>242.71</v>
      </c>
      <c r="H27" s="313">
        <f>IF(LEN(USPS_Pri_Int_Base!H23)&gt;0,ROUND(USPS_Pri_Int_Base!H23*(1+PostalMarkup),2),"N/A")</f>
        <v>259.61</v>
      </c>
      <c r="I27" s="313">
        <f>IF(LEN(USPS_Pri_Int_Base!I23)&gt;0,ROUND(USPS_Pri_Int_Base!I23*(1+PostalMarkup),2),"N/A")</f>
        <v>253.92</v>
      </c>
      <c r="J27" s="313">
        <f>IF(LEN(USPS_Pri_Int_Base!J23)&gt;0,ROUND(USPS_Pri_Int_Base!J23*(1+PostalMarkup),2),"N/A")</f>
        <v>283.64999999999998</v>
      </c>
      <c r="K27" s="313">
        <f>IF(LEN(USPS_Pri_Int_Base!K23)&gt;0,ROUND(USPS_Pri_Int_Base!K23*(1+PostalMarkup),2),"N/A")</f>
        <v>220.28</v>
      </c>
      <c r="L27" s="313">
        <f>IF(LEN(USPS_Pri_Int_Base!L23)&gt;0,ROUND(USPS_Pri_Int_Base!L23*(1+PostalMarkup),2),"N/A")</f>
        <v>249.49</v>
      </c>
      <c r="M27" s="313">
        <f>IF(LEN(USPS_Pri_Int_Base!M23)&gt;0,ROUND(USPS_Pri_Int_Base!M23*(1+PostalMarkup),2),"N/A")</f>
        <v>319.93</v>
      </c>
      <c r="N27" s="313">
        <f>IF(LEN(USPS_Pri_Int_Base!N23)&gt;0,ROUND(USPS_Pri_Int_Base!N23*(1+PostalMarkup),2),"N/A")</f>
        <v>254.32</v>
      </c>
      <c r="O27" s="313">
        <f>IF(LEN(USPS_Pri_Int_Base!O23)&gt;0,ROUND(USPS_Pri_Int_Base!O23*(1+PostalMarkup),2),"N/A")</f>
        <v>212.06</v>
      </c>
      <c r="P27" s="313">
        <f>IF(LEN(USPS_Pri_Int_Base!P23)&gt;0,ROUND(USPS_Pri_Int_Base!P23*(1+PostalMarkup),2),"N/A")</f>
        <v>196.94</v>
      </c>
      <c r="Q27" s="313">
        <f>IF(LEN(USPS_Pri_Int_Base!Q23)&gt;0,ROUND(USPS_Pri_Int_Base!Q23*(1+PostalMarkup),2),"N/A")</f>
        <v>218.56</v>
      </c>
      <c r="R27" s="313">
        <f>IF(LEN(USPS_Pri_Int_Base!R23)&gt;0,ROUND(USPS_Pri_Int_Base!R23*(1+PostalMarkup),2),"N/A")</f>
        <v>194.18</v>
      </c>
      <c r="S27" s="313">
        <f>IF(LEN(USPS_Pri_Int_Base!S23)&gt;0,ROUND(USPS_Pri_Int_Base!S23*(1+PostalMarkup),2),"N/A")</f>
        <v>203.84</v>
      </c>
      <c r="T27" s="313">
        <f>IF(LEN(USPS_Pri_Int_Base!T23)&gt;0,ROUND(USPS_Pri_Int_Base!T23*(1+PostalMarkup),2),"N/A")</f>
        <v>352.42</v>
      </c>
      <c r="U27" s="313">
        <f>IF(LEN(USPS_Pri_Int_Base!U23)&gt;0,ROUND(USPS_Pri_Int_Base!U23*(1+PostalMarkup),2),"N/A")</f>
        <v>214.99</v>
      </c>
    </row>
    <row r="28" spans="1:21" ht="12.75" customHeight="1">
      <c r="A28" s="312">
        <v>23</v>
      </c>
      <c r="B28" s="313">
        <f>IF(LEN(USPS_Pri_Int_Base!B24)&gt;0,ROUND(USPS_Pri_Int_Base!B24*(1+PostalMarkup),2),"N/A")</f>
        <v>168.53</v>
      </c>
      <c r="C28" s="313">
        <f>IF(LEN(USPS_Pri_Int_Base!C24)&gt;0,ROUND(USPS_Pri_Int_Base!C24*(1+PostalMarkup),2),"N/A")</f>
        <v>191.94</v>
      </c>
      <c r="D28" s="313">
        <f>IF(LEN(USPS_Pri_Int_Base!D24)&gt;0,ROUND(USPS_Pri_Int_Base!D24*(1+PostalMarkup),2),"N/A")</f>
        <v>228.79</v>
      </c>
      <c r="E28" s="313">
        <f>IF(LEN(USPS_Pri_Int_Base!E24)&gt;0,ROUND(USPS_Pri_Int_Base!E24*(1+PostalMarkup),2),"N/A")</f>
        <v>210.85</v>
      </c>
      <c r="F28" s="313">
        <f>IF(LEN(USPS_Pri_Int_Base!F24)&gt;0,ROUND(USPS_Pri_Int_Base!F24*(1+PostalMarkup),2),"N/A")</f>
        <v>217.87</v>
      </c>
      <c r="G28" s="313">
        <f>IF(LEN(USPS_Pri_Int_Base!G24)&gt;0,ROUND(USPS_Pri_Int_Base!G24*(1+PostalMarkup),2),"N/A")</f>
        <v>249.55</v>
      </c>
      <c r="H28" s="313">
        <f>IF(LEN(USPS_Pri_Int_Base!H24)&gt;0,ROUND(USPS_Pri_Int_Base!H24*(1+PostalMarkup),2),"N/A")</f>
        <v>266.97000000000003</v>
      </c>
      <c r="I28" s="313">
        <f>IF(LEN(USPS_Pri_Int_Base!I24)&gt;0,ROUND(USPS_Pri_Int_Base!I24*(1+PostalMarkup),2),"N/A")</f>
        <v>257.83</v>
      </c>
      <c r="J28" s="313">
        <f>IF(LEN(USPS_Pri_Int_Base!J24)&gt;0,ROUND(USPS_Pri_Int_Base!J24*(1+PostalMarkup),2),"N/A")</f>
        <v>291.81</v>
      </c>
      <c r="K28" s="313">
        <f>IF(LEN(USPS_Pri_Int_Base!K24)&gt;0,ROUND(USPS_Pri_Int_Base!K24*(1+PostalMarkup),2),"N/A")</f>
        <v>226.44</v>
      </c>
      <c r="L28" s="313">
        <f>IF(LEN(USPS_Pri_Int_Base!L24)&gt;0,ROUND(USPS_Pri_Int_Base!L24*(1+PostalMarkup),2),"N/A")</f>
        <v>256.16000000000003</v>
      </c>
      <c r="M28" s="313">
        <f>IF(LEN(USPS_Pri_Int_Base!M24)&gt;0,ROUND(USPS_Pri_Int_Base!M24*(1+PostalMarkup),2),"N/A")</f>
        <v>331.78</v>
      </c>
      <c r="N28" s="313">
        <f>IF(LEN(USPS_Pri_Int_Base!N24)&gt;0,ROUND(USPS_Pri_Int_Base!N24*(1+PostalMarkup),2),"N/A")</f>
        <v>260.99</v>
      </c>
      <c r="O28" s="313">
        <f>IF(LEN(USPS_Pri_Int_Base!O24)&gt;0,ROUND(USPS_Pri_Int_Base!O24*(1+PostalMarkup),2),"N/A")</f>
        <v>213.38</v>
      </c>
      <c r="P28" s="313">
        <f>IF(LEN(USPS_Pri_Int_Base!P24)&gt;0,ROUND(USPS_Pri_Int_Base!P24*(1+PostalMarkup),2),"N/A")</f>
        <v>201.37</v>
      </c>
      <c r="Q28" s="313">
        <f>IF(LEN(USPS_Pri_Int_Base!Q24)&gt;0,ROUND(USPS_Pri_Int_Base!Q24*(1+PostalMarkup),2),"N/A")</f>
        <v>223.45</v>
      </c>
      <c r="R28" s="313">
        <f>IF(LEN(USPS_Pri_Int_Base!R24)&gt;0,ROUND(USPS_Pri_Int_Base!R24*(1+PostalMarkup),2),"N/A")</f>
        <v>195.16</v>
      </c>
      <c r="S28" s="313">
        <f>IF(LEN(USPS_Pri_Int_Base!S24)&gt;0,ROUND(USPS_Pri_Int_Base!S24*(1+PostalMarkup),2),"N/A")</f>
        <v>204.7</v>
      </c>
      <c r="T28" s="313">
        <f>IF(LEN(USPS_Pri_Int_Base!T24)&gt;0,ROUND(USPS_Pri_Int_Base!T24*(1+PostalMarkup),2),"N/A")</f>
        <v>360.35</v>
      </c>
      <c r="U28" s="313">
        <f>IF(LEN(USPS_Pri_Int_Base!U24)&gt;0,ROUND(USPS_Pri_Int_Base!U24*(1+PostalMarkup),2),"N/A")</f>
        <v>220.57</v>
      </c>
    </row>
    <row r="29" spans="1:21" ht="12.75" customHeight="1">
      <c r="A29" s="312">
        <v>24</v>
      </c>
      <c r="B29" s="313">
        <f>IF(LEN(USPS_Pri_Int_Base!B25)&gt;0,ROUND(USPS_Pri_Int_Base!B25*(1+PostalMarkup),2),"N/A")</f>
        <v>172.27</v>
      </c>
      <c r="C29" s="313">
        <f>IF(LEN(USPS_Pri_Int_Base!C25)&gt;0,ROUND(USPS_Pri_Int_Base!C25*(1+PostalMarkup),2),"N/A")</f>
        <v>196.65</v>
      </c>
      <c r="D29" s="313">
        <f>IF(LEN(USPS_Pri_Int_Base!D25)&gt;0,ROUND(USPS_Pri_Int_Base!D25*(1+PostalMarkup),2),"N/A")</f>
        <v>235.98</v>
      </c>
      <c r="E29" s="313">
        <f>IF(LEN(USPS_Pri_Int_Base!E25)&gt;0,ROUND(USPS_Pri_Int_Base!E25*(1+PostalMarkup),2),"N/A")</f>
        <v>216.03</v>
      </c>
      <c r="F29" s="313">
        <f>IF(LEN(USPS_Pri_Int_Base!F25)&gt;0,ROUND(USPS_Pri_Int_Base!F25*(1+PostalMarkup),2),"N/A")</f>
        <v>223.04</v>
      </c>
      <c r="G29" s="313">
        <f>IF(LEN(USPS_Pri_Int_Base!G25)&gt;0,ROUND(USPS_Pri_Int_Base!G25*(1+PostalMarkup),2),"N/A")</f>
        <v>256.16000000000003</v>
      </c>
      <c r="H29" s="313">
        <f>IF(LEN(USPS_Pri_Int_Base!H25)&gt;0,ROUND(USPS_Pri_Int_Base!H25*(1+PostalMarkup),2),"N/A")</f>
        <v>274.22000000000003</v>
      </c>
      <c r="I29" s="313">
        <f>IF(LEN(USPS_Pri_Int_Base!I25)&gt;0,ROUND(USPS_Pri_Int_Base!I25*(1+PostalMarkup),2),"N/A")</f>
        <v>266.23</v>
      </c>
      <c r="J29" s="313">
        <f>IF(LEN(USPS_Pri_Int_Base!J25)&gt;0,ROUND(USPS_Pri_Int_Base!J25*(1+PostalMarkup),2),"N/A")</f>
        <v>300.14999999999998</v>
      </c>
      <c r="K29" s="313">
        <f>IF(LEN(USPS_Pri_Int_Base!K25)&gt;0,ROUND(USPS_Pri_Int_Base!K25*(1+PostalMarkup),2),"N/A")</f>
        <v>232.3</v>
      </c>
      <c r="L29" s="313">
        <f>IF(LEN(USPS_Pri_Int_Base!L25)&gt;0,ROUND(USPS_Pri_Int_Base!L25*(1+PostalMarkup),2),"N/A")</f>
        <v>263.12</v>
      </c>
      <c r="M29" s="313">
        <f>IF(LEN(USPS_Pri_Int_Base!M25)&gt;0,ROUND(USPS_Pri_Int_Base!M25*(1+PostalMarkup),2),"N/A")</f>
        <v>343.56</v>
      </c>
      <c r="N29" s="313">
        <f>IF(LEN(USPS_Pri_Int_Base!N25)&gt;0,ROUND(USPS_Pri_Int_Base!N25*(1+PostalMarkup),2),"N/A")</f>
        <v>268.07</v>
      </c>
      <c r="O29" s="313">
        <f>IF(LEN(USPS_Pri_Int_Base!O25)&gt;0,ROUND(USPS_Pri_Int_Base!O25*(1+PostalMarkup),2),"N/A")</f>
        <v>218.85</v>
      </c>
      <c r="P29" s="313">
        <f>IF(LEN(USPS_Pri_Int_Base!P25)&gt;0,ROUND(USPS_Pri_Int_Base!P25*(1+PostalMarkup),2),"N/A")</f>
        <v>205.68</v>
      </c>
      <c r="Q29" s="313">
        <f>IF(LEN(USPS_Pri_Int_Base!Q25)&gt;0,ROUND(USPS_Pri_Int_Base!Q25*(1+PostalMarkup),2),"N/A")</f>
        <v>228.16</v>
      </c>
      <c r="R29" s="313">
        <f>IF(LEN(USPS_Pri_Int_Base!R25)&gt;0,ROUND(USPS_Pri_Int_Base!R25*(1+PostalMarkup),2),"N/A")</f>
        <v>199.47</v>
      </c>
      <c r="S29" s="313">
        <f>IF(LEN(USPS_Pri_Int_Base!S25)&gt;0,ROUND(USPS_Pri_Int_Base!S25*(1+PostalMarkup),2),"N/A")</f>
        <v>209.42</v>
      </c>
      <c r="T29" s="313">
        <f>IF(LEN(USPS_Pri_Int_Base!T25)&gt;0,ROUND(USPS_Pri_Int_Base!T25*(1+PostalMarkup),2),"N/A")</f>
        <v>367.94</v>
      </c>
      <c r="U29" s="313">
        <f>IF(LEN(USPS_Pri_Int_Base!U25)&gt;0,ROUND(USPS_Pri_Int_Base!U25*(1+PostalMarkup),2),"N/A")</f>
        <v>225.8</v>
      </c>
    </row>
    <row r="30" spans="1:21" ht="12.75" customHeight="1">
      <c r="A30" s="312">
        <v>25</v>
      </c>
      <c r="B30" s="313">
        <f>IF(LEN(USPS_Pri_Int_Base!B26)&gt;0,ROUND(USPS_Pri_Int_Base!B26*(1+PostalMarkup),2),"N/A")</f>
        <v>175.95</v>
      </c>
      <c r="C30" s="313">
        <f>IF(LEN(USPS_Pri_Int_Base!C26)&gt;0,ROUND(USPS_Pri_Int_Base!C26*(1+PostalMarkup),2),"N/A")</f>
        <v>201.31</v>
      </c>
      <c r="D30" s="313">
        <f>IF(LEN(USPS_Pri_Int_Base!D26)&gt;0,ROUND(USPS_Pri_Int_Base!D26*(1+PostalMarkup),2),"N/A")</f>
        <v>243.11</v>
      </c>
      <c r="E30" s="313">
        <f>IF(LEN(USPS_Pri_Int_Base!E26)&gt;0,ROUND(USPS_Pri_Int_Base!E26*(1+PostalMarkup),2),"N/A")</f>
        <v>221.15</v>
      </c>
      <c r="F30" s="313">
        <f>IF(LEN(USPS_Pri_Int_Base!F26)&gt;0,ROUND(USPS_Pri_Int_Base!F26*(1+PostalMarkup),2),"N/A")</f>
        <v>228.45</v>
      </c>
      <c r="G30" s="313">
        <f>IF(LEN(USPS_Pri_Int_Base!G26)&gt;0,ROUND(USPS_Pri_Int_Base!G26*(1+PostalMarkup),2),"N/A")</f>
        <v>263.12</v>
      </c>
      <c r="H30" s="313">
        <f>IF(LEN(USPS_Pri_Int_Base!H26)&gt;0,ROUND(USPS_Pri_Int_Base!H26*(1+PostalMarkup),2),"N/A")</f>
        <v>281.35000000000002</v>
      </c>
      <c r="I30" s="313">
        <f>IF(LEN(USPS_Pri_Int_Base!I26)&gt;0,ROUND(USPS_Pri_Int_Base!I26*(1+PostalMarkup),2),"N/A")</f>
        <v>274.68</v>
      </c>
      <c r="J30" s="313">
        <f>IF(LEN(USPS_Pri_Int_Base!J26)&gt;0,ROUND(USPS_Pri_Int_Base!J26*(1+PostalMarkup),2),"N/A")</f>
        <v>307.91000000000003</v>
      </c>
      <c r="K30" s="313">
        <f>IF(LEN(USPS_Pri_Int_Base!K26)&gt;0,ROUND(USPS_Pri_Int_Base!K26*(1+PostalMarkup),2),"N/A")</f>
        <v>238.4</v>
      </c>
      <c r="L30" s="313">
        <f>IF(LEN(USPS_Pri_Int_Base!L26)&gt;0,ROUND(USPS_Pri_Int_Base!L26*(1+PostalMarkup),2),"N/A")</f>
        <v>270.02</v>
      </c>
      <c r="M30" s="313">
        <f>IF(LEN(USPS_Pri_Int_Base!M26)&gt;0,ROUND(USPS_Pri_Int_Base!M26*(1+PostalMarkup),2),"N/A")</f>
        <v>355.41</v>
      </c>
      <c r="N30" s="313">
        <f>IF(LEN(USPS_Pri_Int_Base!N26)&gt;0,ROUND(USPS_Pri_Int_Base!N26*(1+PostalMarkup),2),"N/A")</f>
        <v>275.14</v>
      </c>
      <c r="O30" s="313">
        <f>IF(LEN(USPS_Pri_Int_Base!O26)&gt;0,ROUND(USPS_Pri_Int_Base!O26*(1+PostalMarkup),2),"N/A")</f>
        <v>224.19</v>
      </c>
      <c r="P30" s="313">
        <f>IF(LEN(USPS_Pri_Int_Base!P26)&gt;0,ROUND(USPS_Pri_Int_Base!P26*(1+PostalMarkup),2),"N/A")</f>
        <v>210.16</v>
      </c>
      <c r="Q30" s="313">
        <f>IF(LEN(USPS_Pri_Int_Base!Q26)&gt;0,ROUND(USPS_Pri_Int_Base!Q26*(1+PostalMarkup),2),"N/A")</f>
        <v>233.22</v>
      </c>
      <c r="R30" s="313">
        <f>IF(LEN(USPS_Pri_Int_Base!R26)&gt;0,ROUND(USPS_Pri_Int_Base!R26*(1+PostalMarkup),2),"N/A")</f>
        <v>204.13</v>
      </c>
      <c r="S30" s="313">
        <f>IF(LEN(USPS_Pri_Int_Base!S26)&gt;0,ROUND(USPS_Pri_Int_Base!S26*(1+PostalMarkup),2),"N/A")</f>
        <v>214.59</v>
      </c>
      <c r="T30" s="313">
        <f>IF(LEN(USPS_Pri_Int_Base!T26)&gt;0,ROUND(USPS_Pri_Int_Base!T26*(1+PostalMarkup),2),"N/A")</f>
        <v>375.3</v>
      </c>
      <c r="U30" s="313">
        <f>IF(LEN(USPS_Pri_Int_Base!U26)&gt;0,ROUND(USPS_Pri_Int_Base!U26*(1+PostalMarkup),2),"N/A")</f>
        <v>231.21</v>
      </c>
    </row>
    <row r="31" spans="1:21" ht="12.75" customHeight="1">
      <c r="A31" s="312">
        <v>26</v>
      </c>
      <c r="B31" s="313">
        <f>IF(LEN(USPS_Pri_Int_Base!B27)&gt;0,ROUND(USPS_Pri_Int_Base!B27*(1+PostalMarkup),2),"N/A")</f>
        <v>179.11</v>
      </c>
      <c r="C31" s="313">
        <f>IF(LEN(USPS_Pri_Int_Base!C27)&gt;0,ROUND(USPS_Pri_Int_Base!C27*(1+PostalMarkup),2),"N/A")</f>
        <v>205.91</v>
      </c>
      <c r="D31" s="313">
        <f>IF(LEN(USPS_Pri_Int_Base!D27)&gt;0,ROUND(USPS_Pri_Int_Base!D27*(1+PostalMarkup),2),"N/A")</f>
        <v>250.24</v>
      </c>
      <c r="E31" s="313">
        <f>IF(LEN(USPS_Pri_Int_Base!E27)&gt;0,ROUND(USPS_Pri_Int_Base!E27*(1+PostalMarkup),2),"N/A")</f>
        <v>226.03</v>
      </c>
      <c r="F31" s="313">
        <f>IF(LEN(USPS_Pri_Int_Base!F27)&gt;0,ROUND(USPS_Pri_Int_Base!F27*(1+PostalMarkup),2),"N/A")</f>
        <v>232.99</v>
      </c>
      <c r="G31" s="313">
        <f>IF(LEN(USPS_Pri_Int_Base!G27)&gt;0,ROUND(USPS_Pri_Int_Base!G27*(1+PostalMarkup),2),"N/A")</f>
        <v>269.45</v>
      </c>
      <c r="H31" s="313">
        <f>IF(LEN(USPS_Pri_Int_Base!H27)&gt;0,ROUND(USPS_Pri_Int_Base!H27*(1+PostalMarkup),2),"N/A")</f>
        <v>288.36</v>
      </c>
      <c r="I31" s="313">
        <f>IF(LEN(USPS_Pri_Int_Base!I27)&gt;0,ROUND(USPS_Pri_Int_Base!I27*(1+PostalMarkup),2),"N/A")</f>
        <v>283.25</v>
      </c>
      <c r="J31" s="313">
        <f>IF(LEN(USPS_Pri_Int_Base!J27)&gt;0,ROUND(USPS_Pri_Int_Base!J27*(1+PostalMarkup),2),"N/A")</f>
        <v>316.14</v>
      </c>
      <c r="K31" s="313">
        <f>IF(LEN(USPS_Pri_Int_Base!K27)&gt;0,ROUND(USPS_Pri_Int_Base!K27*(1+PostalMarkup),2),"N/A")</f>
        <v>244.2</v>
      </c>
      <c r="L31" s="313">
        <f>IF(LEN(USPS_Pri_Int_Base!L27)&gt;0,ROUND(USPS_Pri_Int_Base!L27*(1+PostalMarkup),2),"N/A")</f>
        <v>276.45999999999998</v>
      </c>
      <c r="M31" s="313">
        <f>IF(LEN(USPS_Pri_Int_Base!M27)&gt;0,ROUND(USPS_Pri_Int_Base!M27*(1+PostalMarkup),2),"N/A")</f>
        <v>367.25</v>
      </c>
      <c r="N31" s="313">
        <f>IF(LEN(USPS_Pri_Int_Base!N27)&gt;0,ROUND(USPS_Pri_Int_Base!N27*(1+PostalMarkup),2),"N/A")</f>
        <v>281.41000000000003</v>
      </c>
      <c r="O31" s="313">
        <f>IF(LEN(USPS_Pri_Int_Base!O27)&gt;0,ROUND(USPS_Pri_Int_Base!O27*(1+PostalMarkup),2),"N/A")</f>
        <v>229.37</v>
      </c>
      <c r="P31" s="313">
        <f>IF(LEN(USPS_Pri_Int_Base!P27)&gt;0,ROUND(USPS_Pri_Int_Base!P27*(1+PostalMarkup),2),"N/A")</f>
        <v>214.3</v>
      </c>
      <c r="Q31" s="313">
        <f>IF(LEN(USPS_Pri_Int_Base!Q27)&gt;0,ROUND(USPS_Pri_Int_Base!Q27*(1+PostalMarkup),2),"N/A")</f>
        <v>237.71</v>
      </c>
      <c r="R31" s="313">
        <f>IF(LEN(USPS_Pri_Int_Base!R27)&gt;0,ROUND(USPS_Pri_Int_Base!R27*(1+PostalMarkup),2),"N/A")</f>
        <v>208.73</v>
      </c>
      <c r="S31" s="313">
        <f>IF(LEN(USPS_Pri_Int_Base!S27)&gt;0,ROUND(USPS_Pri_Int_Base!S27*(1+PostalMarkup),2),"N/A")</f>
        <v>219.25</v>
      </c>
      <c r="T31" s="313">
        <f>IF(LEN(USPS_Pri_Int_Base!T27)&gt;0,ROUND(USPS_Pri_Int_Base!T27*(1+PostalMarkup),2),"N/A")</f>
        <v>382.32</v>
      </c>
      <c r="U31" s="313">
        <f>IF(LEN(USPS_Pri_Int_Base!U27)&gt;0,ROUND(USPS_Pri_Int_Base!U27*(1+PostalMarkup),2),"N/A")</f>
        <v>236.15</v>
      </c>
    </row>
    <row r="32" spans="1:21" ht="12.75" customHeight="1">
      <c r="A32" s="312">
        <v>27</v>
      </c>
      <c r="B32" s="313">
        <f>IF(LEN(USPS_Pri_Int_Base!B28)&gt;0,ROUND(USPS_Pri_Int_Base!B28*(1+PostalMarkup),2),"N/A")</f>
        <v>182.62</v>
      </c>
      <c r="C32" s="313">
        <f>IF(LEN(USPS_Pri_Int_Base!C28)&gt;0,ROUND(USPS_Pri_Int_Base!C28*(1+PostalMarkup),2),"N/A")</f>
        <v>210.39</v>
      </c>
      <c r="D32" s="313">
        <f>IF(LEN(USPS_Pri_Int_Base!D28)&gt;0,ROUND(USPS_Pri_Int_Base!D28*(1+PostalMarkup),2),"N/A")</f>
        <v>257.37</v>
      </c>
      <c r="E32" s="313">
        <f>IF(LEN(USPS_Pri_Int_Base!E28)&gt;0,ROUND(USPS_Pri_Int_Base!E28*(1+PostalMarkup),2),"N/A")</f>
        <v>230.86</v>
      </c>
      <c r="F32" s="313">
        <f>IF(LEN(USPS_Pri_Int_Base!F28)&gt;0,ROUND(USPS_Pri_Int_Base!F28*(1+PostalMarkup),2),"N/A")</f>
        <v>238.28</v>
      </c>
      <c r="G32" s="313">
        <f>IF(LEN(USPS_Pri_Int_Base!G28)&gt;0,ROUND(USPS_Pri_Int_Base!G28*(1+PostalMarkup),2),"N/A")</f>
        <v>276</v>
      </c>
      <c r="H32" s="313">
        <f>IF(LEN(USPS_Pri_Int_Base!H28)&gt;0,ROUND(USPS_Pri_Int_Base!H28*(1+PostalMarkup),2),"N/A")</f>
        <v>295.38</v>
      </c>
      <c r="I32" s="313">
        <f>IF(LEN(USPS_Pri_Int_Base!I28)&gt;0,ROUND(USPS_Pri_Int_Base!I28*(1+PostalMarkup),2),"N/A")</f>
        <v>291.7</v>
      </c>
      <c r="J32" s="313">
        <f>IF(LEN(USPS_Pri_Int_Base!J28)&gt;0,ROUND(USPS_Pri_Int_Base!J28*(1+PostalMarkup),2),"N/A")</f>
        <v>323.73</v>
      </c>
      <c r="K32" s="313">
        <f>IF(LEN(USPS_Pri_Int_Base!K28)&gt;0,ROUND(USPS_Pri_Int_Base!K28*(1+PostalMarkup),2),"N/A")</f>
        <v>249.9</v>
      </c>
      <c r="L32" s="313">
        <f>IF(LEN(USPS_Pri_Int_Base!L28)&gt;0,ROUND(USPS_Pri_Int_Base!L28*(1+PostalMarkup),2),"N/A")</f>
        <v>283.19</v>
      </c>
      <c r="M32" s="313">
        <f>IF(LEN(USPS_Pri_Int_Base!M28)&gt;0,ROUND(USPS_Pri_Int_Base!M28*(1+PostalMarkup),2),"N/A")</f>
        <v>379.1</v>
      </c>
      <c r="N32" s="313">
        <f>IF(LEN(USPS_Pri_Int_Base!N28)&gt;0,ROUND(USPS_Pri_Int_Base!N28*(1+PostalMarkup),2),"N/A")</f>
        <v>287.85000000000002</v>
      </c>
      <c r="O32" s="313">
        <f>IF(LEN(USPS_Pri_Int_Base!O28)&gt;0,ROUND(USPS_Pri_Int_Base!O28*(1+PostalMarkup),2),"N/A")</f>
        <v>234.66</v>
      </c>
      <c r="P32" s="313">
        <f>IF(LEN(USPS_Pri_Int_Base!P28)&gt;0,ROUND(USPS_Pri_Int_Base!P28*(1+PostalMarkup),2),"N/A")</f>
        <v>218.85</v>
      </c>
      <c r="Q32" s="313">
        <f>IF(LEN(USPS_Pri_Int_Base!Q28)&gt;0,ROUND(USPS_Pri_Int_Base!Q28*(1+PostalMarkup),2),"N/A")</f>
        <v>242.25</v>
      </c>
      <c r="R32" s="313">
        <f>IF(LEN(USPS_Pri_Int_Base!R28)&gt;0,ROUND(USPS_Pri_Int_Base!R28*(1+PostalMarkup),2),"N/A")</f>
        <v>213.15</v>
      </c>
      <c r="S32" s="313">
        <f>IF(LEN(USPS_Pri_Int_Base!S28)&gt;0,ROUND(USPS_Pri_Int_Base!S28*(1+PostalMarkup),2),"N/A")</f>
        <v>223.62</v>
      </c>
      <c r="T32" s="313">
        <f>IF(LEN(USPS_Pri_Int_Base!T28)&gt;0,ROUND(USPS_Pri_Int_Base!T28*(1+PostalMarkup),2),"N/A")</f>
        <v>389.05</v>
      </c>
      <c r="U32" s="313">
        <f>IF(LEN(USPS_Pri_Int_Base!U28)&gt;0,ROUND(USPS_Pri_Int_Base!U28*(1+PostalMarkup),2),"N/A")</f>
        <v>240.81</v>
      </c>
    </row>
    <row r="33" spans="1:21" ht="12.75" customHeight="1">
      <c r="A33" s="312">
        <v>28</v>
      </c>
      <c r="B33" s="313">
        <f>IF(LEN(USPS_Pri_Int_Base!B29)&gt;0,ROUND(USPS_Pri_Int_Base!B29*(1+PostalMarkup),2),"N/A")</f>
        <v>185.78</v>
      </c>
      <c r="C33" s="313">
        <f>IF(LEN(USPS_Pri_Int_Base!C29)&gt;0,ROUND(USPS_Pri_Int_Base!C29*(1+PostalMarkup),2),"N/A")</f>
        <v>214.76</v>
      </c>
      <c r="D33" s="313">
        <f>IF(LEN(USPS_Pri_Int_Base!D29)&gt;0,ROUND(USPS_Pri_Int_Base!D29*(1+PostalMarkup),2),"N/A")</f>
        <v>264.56</v>
      </c>
      <c r="E33" s="313">
        <f>IF(LEN(USPS_Pri_Int_Base!E29)&gt;0,ROUND(USPS_Pri_Int_Base!E29*(1+PostalMarkup),2),"N/A")</f>
        <v>235.81</v>
      </c>
      <c r="F33" s="313">
        <f>IF(LEN(USPS_Pri_Int_Base!F29)&gt;0,ROUND(USPS_Pri_Int_Base!F29*(1+PostalMarkup),2),"N/A")</f>
        <v>243.17</v>
      </c>
      <c r="G33" s="313">
        <f>IF(LEN(USPS_Pri_Int_Base!G29)&gt;0,ROUND(USPS_Pri_Int_Base!G29*(1+PostalMarkup),2),"N/A")</f>
        <v>282.14999999999998</v>
      </c>
      <c r="H33" s="313">
        <f>IF(LEN(USPS_Pri_Int_Base!H29)&gt;0,ROUND(USPS_Pri_Int_Base!H29*(1+PostalMarkup),2),"N/A")</f>
        <v>302.16000000000003</v>
      </c>
      <c r="I33" s="313">
        <f>IF(LEN(USPS_Pri_Int_Base!I29)&gt;0,ROUND(USPS_Pri_Int_Base!I29*(1+PostalMarkup),2),"N/A")</f>
        <v>300.14999999999998</v>
      </c>
      <c r="J33" s="313">
        <f>IF(LEN(USPS_Pri_Int_Base!J29)&gt;0,ROUND(USPS_Pri_Int_Base!J29*(1+PostalMarkup),2),"N/A")</f>
        <v>331.55</v>
      </c>
      <c r="K33" s="313">
        <f>IF(LEN(USPS_Pri_Int_Base!K29)&gt;0,ROUND(USPS_Pri_Int_Base!K29*(1+PostalMarkup),2),"N/A")</f>
        <v>255.13</v>
      </c>
      <c r="L33" s="313">
        <f>IF(LEN(USPS_Pri_Int_Base!L29)&gt;0,ROUND(USPS_Pri_Int_Base!L29*(1+PostalMarkup),2),"N/A")</f>
        <v>289.39999999999998</v>
      </c>
      <c r="M33" s="313">
        <f>IF(LEN(USPS_Pri_Int_Base!M29)&gt;0,ROUND(USPS_Pri_Int_Base!M29*(1+PostalMarkup),2),"N/A")</f>
        <v>390.94</v>
      </c>
      <c r="N33" s="313">
        <f>IF(LEN(USPS_Pri_Int_Base!N29)&gt;0,ROUND(USPS_Pri_Int_Base!N29*(1+PostalMarkup),2),"N/A")</f>
        <v>294.8</v>
      </c>
      <c r="O33" s="313">
        <f>IF(LEN(USPS_Pri_Int_Base!O29)&gt;0,ROUND(USPS_Pri_Int_Base!O29*(1+PostalMarkup),2),"N/A")</f>
        <v>240.01</v>
      </c>
      <c r="P33" s="313">
        <f>IF(LEN(USPS_Pri_Int_Base!P29)&gt;0,ROUND(USPS_Pri_Int_Base!P29*(1+PostalMarkup),2),"N/A")</f>
        <v>223.04</v>
      </c>
      <c r="Q33" s="313">
        <f>IF(LEN(USPS_Pri_Int_Base!Q29)&gt;0,ROUND(USPS_Pri_Int_Base!Q29*(1+PostalMarkup),2),"N/A")</f>
        <v>246.62</v>
      </c>
      <c r="R33" s="313">
        <f>IF(LEN(USPS_Pri_Int_Base!R29)&gt;0,ROUND(USPS_Pri_Int_Base!R29*(1+PostalMarkup),2),"N/A")</f>
        <v>217.75</v>
      </c>
      <c r="S33" s="313">
        <f>IF(LEN(USPS_Pri_Int_Base!S29)&gt;0,ROUND(USPS_Pri_Int_Base!S29*(1+PostalMarkup),2),"N/A")</f>
        <v>228.45</v>
      </c>
      <c r="T33" s="313">
        <f>IF(LEN(USPS_Pri_Int_Base!T29)&gt;0,ROUND(USPS_Pri_Int_Base!T29*(1+PostalMarkup),2),"N/A")</f>
        <v>395.43</v>
      </c>
      <c r="U33" s="313">
        <f>IF(LEN(USPS_Pri_Int_Base!U29)&gt;0,ROUND(USPS_Pri_Int_Base!U29*(1+PostalMarkup),2),"N/A")</f>
        <v>245.93</v>
      </c>
    </row>
    <row r="34" spans="1:21" ht="12.75" customHeight="1">
      <c r="A34" s="312">
        <v>29</v>
      </c>
      <c r="B34" s="313">
        <f>IF(LEN(USPS_Pri_Int_Base!B30)&gt;0,ROUND(USPS_Pri_Int_Base!B30*(1+PostalMarkup),2),"N/A")</f>
        <v>188.49</v>
      </c>
      <c r="C34" s="313">
        <f>IF(LEN(USPS_Pri_Int_Base!C30)&gt;0,ROUND(USPS_Pri_Int_Base!C30*(1+PostalMarkup),2),"N/A")</f>
        <v>219.02</v>
      </c>
      <c r="D34" s="313">
        <f>IF(LEN(USPS_Pri_Int_Base!D30)&gt;0,ROUND(USPS_Pri_Int_Base!D30*(1+PostalMarkup),2),"N/A")</f>
        <v>271.69</v>
      </c>
      <c r="E34" s="313">
        <f>IF(LEN(USPS_Pri_Int_Base!E30)&gt;0,ROUND(USPS_Pri_Int_Base!E30*(1+PostalMarkup),2),"N/A")</f>
        <v>240.41</v>
      </c>
      <c r="F34" s="313">
        <f>IF(LEN(USPS_Pri_Int_Base!F30)&gt;0,ROUND(USPS_Pri_Int_Base!F30*(1+PostalMarkup),2),"N/A")</f>
        <v>247.48</v>
      </c>
      <c r="G34" s="313">
        <f>IF(LEN(USPS_Pri_Int_Base!G30)&gt;0,ROUND(USPS_Pri_Int_Base!G30*(1+PostalMarkup),2),"N/A")</f>
        <v>288.13</v>
      </c>
      <c r="H34" s="313">
        <f>IF(LEN(USPS_Pri_Int_Base!H30)&gt;0,ROUND(USPS_Pri_Int_Base!H30*(1+PostalMarkup),2),"N/A")</f>
        <v>308.60000000000002</v>
      </c>
      <c r="I34" s="313">
        <f>IF(LEN(USPS_Pri_Int_Base!I30)&gt;0,ROUND(USPS_Pri_Int_Base!I30*(1+PostalMarkup),2),"N/A")</f>
        <v>308.60000000000002</v>
      </c>
      <c r="J34" s="313">
        <f>IF(LEN(USPS_Pri_Int_Base!J30)&gt;0,ROUND(USPS_Pri_Int_Base!J30*(1+PostalMarkup),2),"N/A")</f>
        <v>339.77</v>
      </c>
      <c r="K34" s="313">
        <f>IF(LEN(USPS_Pri_Int_Base!K30)&gt;0,ROUND(USPS_Pri_Int_Base!K30*(1+PostalMarkup),2),"N/A")</f>
        <v>260.99</v>
      </c>
      <c r="L34" s="313">
        <f>IF(LEN(USPS_Pri_Int_Base!L30)&gt;0,ROUND(USPS_Pri_Int_Base!L30*(1+PostalMarkup),2),"N/A")</f>
        <v>295.72000000000003</v>
      </c>
      <c r="M34" s="313">
        <f>IF(LEN(USPS_Pri_Int_Base!M30)&gt;0,ROUND(USPS_Pri_Int_Base!M30*(1+PostalMarkup),2),"N/A")</f>
        <v>402.79</v>
      </c>
      <c r="N34" s="313">
        <f>IF(LEN(USPS_Pri_Int_Base!N30)&gt;0,ROUND(USPS_Pri_Int_Base!N30*(1+PostalMarkup),2),"N/A")</f>
        <v>301.07</v>
      </c>
      <c r="O34" s="313">
        <f>IF(LEN(USPS_Pri_Int_Base!O30)&gt;0,ROUND(USPS_Pri_Int_Base!O30*(1+PostalMarkup),2),"N/A")</f>
        <v>245.01</v>
      </c>
      <c r="P34" s="313">
        <f>IF(LEN(USPS_Pri_Int_Base!P30)&gt;0,ROUND(USPS_Pri_Int_Base!P30*(1+PostalMarkup),2),"N/A")</f>
        <v>226.61</v>
      </c>
      <c r="Q34" s="313">
        <f>IF(LEN(USPS_Pri_Int_Base!Q30)&gt;0,ROUND(USPS_Pri_Int_Base!Q30*(1+PostalMarkup),2),"N/A")</f>
        <v>250.93</v>
      </c>
      <c r="R34" s="313">
        <f>IF(LEN(USPS_Pri_Int_Base!R30)&gt;0,ROUND(USPS_Pri_Int_Base!R30*(1+PostalMarkup),2),"N/A")</f>
        <v>221.95</v>
      </c>
      <c r="S34" s="313">
        <f>IF(LEN(USPS_Pri_Int_Base!S30)&gt;0,ROUND(USPS_Pri_Int_Base!S30*(1+PostalMarkup),2),"N/A")</f>
        <v>233.34</v>
      </c>
      <c r="T34" s="313">
        <f>IF(LEN(USPS_Pri_Int_Base!T30)&gt;0,ROUND(USPS_Pri_Int_Base!T30*(1+PostalMarkup),2),"N/A")</f>
        <v>401.58</v>
      </c>
      <c r="U34" s="313">
        <f>IF(LEN(USPS_Pri_Int_Base!U30)&gt;0,ROUND(USPS_Pri_Int_Base!U30*(1+PostalMarkup),2),"N/A")</f>
        <v>250.93</v>
      </c>
    </row>
    <row r="35" spans="1:21" ht="12.75" customHeight="1">
      <c r="A35" s="312">
        <v>30</v>
      </c>
      <c r="B35" s="313">
        <f>IF(LEN(USPS_Pri_Int_Base!B31)&gt;0,ROUND(USPS_Pri_Int_Base!B31*(1+PostalMarkup),2),"N/A")</f>
        <v>191.76</v>
      </c>
      <c r="C35" s="313">
        <f>IF(LEN(USPS_Pri_Int_Base!C31)&gt;0,ROUND(USPS_Pri_Int_Base!C31*(1+PostalMarkup),2),"N/A")</f>
        <v>223.56</v>
      </c>
      <c r="D35" s="313">
        <f>IF(LEN(USPS_Pri_Int_Base!D31)&gt;0,ROUND(USPS_Pri_Int_Base!D31*(1+PostalMarkup),2),"N/A")</f>
        <v>278.88</v>
      </c>
      <c r="E35" s="313">
        <f>IF(LEN(USPS_Pri_Int_Base!E31)&gt;0,ROUND(USPS_Pri_Int_Base!E31*(1+PostalMarkup),2),"N/A")</f>
        <v>245.41</v>
      </c>
      <c r="F35" s="313">
        <f>IF(LEN(USPS_Pri_Int_Base!F31)&gt;0,ROUND(USPS_Pri_Int_Base!F31*(1+PostalMarkup),2),"N/A")</f>
        <v>252.77</v>
      </c>
      <c r="G35" s="313">
        <f>IF(LEN(USPS_Pri_Int_Base!G31)&gt;0,ROUND(USPS_Pri_Int_Base!G31*(1+PostalMarkup),2),"N/A")</f>
        <v>294.63</v>
      </c>
      <c r="H35" s="313">
        <f>IF(LEN(USPS_Pri_Int_Base!H31)&gt;0,ROUND(USPS_Pri_Int_Base!H31*(1+PostalMarkup),2),"N/A")</f>
        <v>315.73</v>
      </c>
      <c r="I35" s="313">
        <f>IF(LEN(USPS_Pri_Int_Base!I31)&gt;0,ROUND(USPS_Pri_Int_Base!I31*(1+PostalMarkup),2),"N/A")</f>
        <v>317.11</v>
      </c>
      <c r="J35" s="313">
        <f>IF(LEN(USPS_Pri_Int_Base!J31)&gt;0,ROUND(USPS_Pri_Int_Base!J31*(1+PostalMarkup),2),"N/A")</f>
        <v>346.96</v>
      </c>
      <c r="K35" s="313">
        <f>IF(LEN(USPS_Pri_Int_Base!K31)&gt;0,ROUND(USPS_Pri_Int_Base!K31*(1+PostalMarkup),2),"N/A")</f>
        <v>266.27999999999997</v>
      </c>
      <c r="L35" s="313">
        <f>IF(LEN(USPS_Pri_Int_Base!L31)&gt;0,ROUND(USPS_Pri_Int_Base!L31*(1+PostalMarkup),2),"N/A")</f>
        <v>302.16000000000003</v>
      </c>
      <c r="M35" s="313">
        <f>IF(LEN(USPS_Pri_Int_Base!M31)&gt;0,ROUND(USPS_Pri_Int_Base!M31*(1+PostalMarkup),2),"N/A")</f>
        <v>414.63</v>
      </c>
      <c r="N35" s="313">
        <f>IF(LEN(USPS_Pri_Int_Base!N31)&gt;0,ROUND(USPS_Pri_Int_Base!N31*(1+PostalMarkup),2),"N/A")</f>
        <v>307.45</v>
      </c>
      <c r="O35" s="313">
        <f>IF(LEN(USPS_Pri_Int_Base!O31)&gt;0,ROUND(USPS_Pri_Int_Base!O31*(1+PostalMarkup),2),"N/A")</f>
        <v>250.36</v>
      </c>
      <c r="P35" s="313">
        <f>IF(LEN(USPS_Pri_Int_Base!P31)&gt;0,ROUND(USPS_Pri_Int_Base!P31*(1+PostalMarkup),2),"N/A")</f>
        <v>230.92</v>
      </c>
      <c r="Q35" s="313">
        <f>IF(LEN(USPS_Pri_Int_Base!Q31)&gt;0,ROUND(USPS_Pri_Int_Base!Q31*(1+PostalMarkup),2),"N/A")</f>
        <v>255.59</v>
      </c>
      <c r="R35" s="313">
        <f>IF(LEN(USPS_Pri_Int_Base!R31)&gt;0,ROUND(USPS_Pri_Int_Base!R31*(1+PostalMarkup),2),"N/A")</f>
        <v>226.26</v>
      </c>
      <c r="S35" s="313">
        <f>IF(LEN(USPS_Pri_Int_Base!S31)&gt;0,ROUND(USPS_Pri_Int_Base!S31*(1+PostalMarkup),2),"N/A")</f>
        <v>237.42</v>
      </c>
      <c r="T35" s="313">
        <f>IF(LEN(USPS_Pri_Int_Base!T31)&gt;0,ROUND(USPS_Pri_Int_Base!T31*(1+PostalMarkup),2),"N/A")</f>
        <v>407.39</v>
      </c>
      <c r="U35" s="313">
        <f>IF(LEN(USPS_Pri_Int_Base!U31)&gt;0,ROUND(USPS_Pri_Int_Base!U31*(1+PostalMarkup),2),"N/A")</f>
        <v>255.93</v>
      </c>
    </row>
    <row r="36" spans="1:21" ht="12.75" customHeight="1">
      <c r="A36" s="312">
        <v>31</v>
      </c>
      <c r="B36" s="313">
        <f>IF(LEN(USPS_Pri_Int_Base!B32)&gt;0,ROUND(USPS_Pri_Int_Base!B32*(1+PostalMarkup),2),"N/A")</f>
        <v>195.5</v>
      </c>
      <c r="C36" s="313">
        <f>IF(LEN(USPS_Pri_Int_Base!C32)&gt;0,ROUND(USPS_Pri_Int_Base!C32*(1+PostalMarkup),2),"N/A")</f>
        <v>227.64</v>
      </c>
      <c r="D36" s="313">
        <f>IF(LEN(USPS_Pri_Int_Base!D32)&gt;0,ROUND(USPS_Pri_Int_Base!D32*(1+PostalMarkup),2),"N/A")</f>
        <v>286.01</v>
      </c>
      <c r="E36" s="313">
        <f>IF(LEN(USPS_Pri_Int_Base!E32)&gt;0,ROUND(USPS_Pri_Int_Base!E32*(1+PostalMarkup),2),"N/A")</f>
        <v>249.61</v>
      </c>
      <c r="F36" s="313">
        <f>IF(LEN(USPS_Pri_Int_Base!F32)&gt;0,ROUND(USPS_Pri_Int_Base!F32*(1+PostalMarkup),2),"N/A")</f>
        <v>257.02999999999997</v>
      </c>
      <c r="G36" s="313">
        <f>IF(LEN(USPS_Pri_Int_Base!G32)&gt;0,ROUND(USPS_Pri_Int_Base!G32*(1+PostalMarkup),2),"N/A")</f>
        <v>300.14999999999998</v>
      </c>
      <c r="H36" s="313">
        <f>IF(LEN(USPS_Pri_Int_Base!H32)&gt;0,ROUND(USPS_Pri_Int_Base!H32*(1+PostalMarkup),2),"N/A")</f>
        <v>322.23</v>
      </c>
      <c r="I36" s="313">
        <f>IF(LEN(USPS_Pri_Int_Base!I32)&gt;0,ROUND(USPS_Pri_Int_Base!I32*(1+PostalMarkup),2),"N/A")</f>
        <v>325.57</v>
      </c>
      <c r="J36" s="313">
        <f>IF(LEN(USPS_Pri_Int_Base!J32)&gt;0,ROUND(USPS_Pri_Int_Base!J32*(1+PostalMarkup),2),"N/A")</f>
        <v>354.43</v>
      </c>
      <c r="K36" s="313">
        <f>IF(LEN(USPS_Pri_Int_Base!K32)&gt;0,ROUND(USPS_Pri_Int_Base!K32*(1+PostalMarkup),2),"N/A")</f>
        <v>272.02999999999997</v>
      </c>
      <c r="L36" s="313">
        <f>IF(LEN(USPS_Pri_Int_Base!L32)&gt;0,ROUND(USPS_Pri_Int_Base!L32*(1+PostalMarkup),2),"N/A")</f>
        <v>308.2</v>
      </c>
      <c r="M36" s="313">
        <f>IF(LEN(USPS_Pri_Int_Base!M32)&gt;0,ROUND(USPS_Pri_Int_Base!M32*(1+PostalMarkup),2),"N/A")</f>
        <v>417.28</v>
      </c>
      <c r="N36" s="313">
        <f>IF(LEN(USPS_Pri_Int_Base!N32)&gt;0,ROUND(USPS_Pri_Int_Base!N32*(1+PostalMarkup),2),"N/A")</f>
        <v>312.97000000000003</v>
      </c>
      <c r="O36" s="313">
        <f>IF(LEN(USPS_Pri_Int_Base!O32)&gt;0,ROUND(USPS_Pri_Int_Base!O32*(1+PostalMarkup),2),"N/A")</f>
        <v>254.67</v>
      </c>
      <c r="P36" s="313">
        <f>IF(LEN(USPS_Pri_Int_Base!P32)&gt;0,ROUND(USPS_Pri_Int_Base!P32*(1+PostalMarkup),2),"N/A")</f>
        <v>234.77</v>
      </c>
      <c r="Q36" s="313">
        <f>IF(LEN(USPS_Pri_Int_Base!Q32)&gt;0,ROUND(USPS_Pri_Int_Base!Q32*(1+PostalMarkup),2),"N/A")</f>
        <v>259.5</v>
      </c>
      <c r="R36" s="313">
        <f>IF(LEN(USPS_Pri_Int_Base!R32)&gt;0,ROUND(USPS_Pri_Int_Base!R32*(1+PostalMarkup),2),"N/A")</f>
        <v>230.23</v>
      </c>
      <c r="S36" s="313">
        <f>IF(LEN(USPS_Pri_Int_Base!S32)&gt;0,ROUND(USPS_Pri_Int_Base!S32*(1+PostalMarkup),2),"N/A")</f>
        <v>242.13</v>
      </c>
      <c r="T36" s="313">
        <f>IF(LEN(USPS_Pri_Int_Base!T32)&gt;0,ROUND(USPS_Pri_Int_Base!T32*(1+PostalMarkup),2),"N/A")</f>
        <v>415.73</v>
      </c>
      <c r="U36" s="313">
        <f>IF(LEN(USPS_Pri_Int_Base!U32)&gt;0,ROUND(USPS_Pri_Int_Base!U32*(1+PostalMarkup),2),"N/A")</f>
        <v>260.3</v>
      </c>
    </row>
    <row r="37" spans="1:21" ht="12.75" customHeight="1">
      <c r="A37" s="312">
        <v>32</v>
      </c>
      <c r="B37" s="313">
        <f>IF(LEN(USPS_Pri_Int_Base!B33)&gt;0,ROUND(USPS_Pri_Int_Base!B33*(1+PostalMarkup),2),"N/A")</f>
        <v>199.81</v>
      </c>
      <c r="C37" s="313">
        <f>IF(LEN(USPS_Pri_Int_Base!C33)&gt;0,ROUND(USPS_Pri_Int_Base!C33*(1+PostalMarkup),2),"N/A")</f>
        <v>231.84</v>
      </c>
      <c r="D37" s="313">
        <f>IF(LEN(USPS_Pri_Int_Base!D33)&gt;0,ROUND(USPS_Pri_Int_Base!D33*(1+PostalMarkup),2),"N/A")</f>
        <v>293.19</v>
      </c>
      <c r="E37" s="313">
        <f>IF(LEN(USPS_Pri_Int_Base!E33)&gt;0,ROUND(USPS_Pri_Int_Base!E33*(1+PostalMarkup),2),"N/A")</f>
        <v>254.15</v>
      </c>
      <c r="F37" s="313">
        <f>IF(LEN(USPS_Pri_Int_Base!F33)&gt;0,ROUND(USPS_Pri_Int_Base!F33*(1+PostalMarkup),2),"N/A")</f>
        <v>261.51</v>
      </c>
      <c r="G37" s="313">
        <f>IF(LEN(USPS_Pri_Int_Base!G33)&gt;0,ROUND(USPS_Pri_Int_Base!G33*(1+PostalMarkup),2),"N/A")</f>
        <v>306.48</v>
      </c>
      <c r="H37" s="313">
        <f>IF(LEN(USPS_Pri_Int_Base!H33)&gt;0,ROUND(USPS_Pri_Int_Base!H33*(1+PostalMarkup),2),"N/A")</f>
        <v>328.67</v>
      </c>
      <c r="I37" s="313">
        <f>IF(LEN(USPS_Pri_Int_Base!I33)&gt;0,ROUND(USPS_Pri_Int_Base!I33*(1+PostalMarkup),2),"N/A")</f>
        <v>334.02</v>
      </c>
      <c r="J37" s="313">
        <f>IF(LEN(USPS_Pri_Int_Base!J33)&gt;0,ROUND(USPS_Pri_Int_Base!J33*(1+PostalMarkup),2),"N/A")</f>
        <v>361.68</v>
      </c>
      <c r="K37" s="313">
        <f>IF(LEN(USPS_Pri_Int_Base!K33)&gt;0,ROUND(USPS_Pri_Int_Base!K33*(1+PostalMarkup),2),"N/A")</f>
        <v>276.69</v>
      </c>
      <c r="L37" s="313">
        <f>IF(LEN(USPS_Pri_Int_Base!L33)&gt;0,ROUND(USPS_Pri_Int_Base!L33*(1+PostalMarkup),2),"N/A")</f>
        <v>313.83999999999997</v>
      </c>
      <c r="M37" s="313">
        <f>IF(LEN(USPS_Pri_Int_Base!M33)&gt;0,ROUND(USPS_Pri_Int_Base!M33*(1+PostalMarkup),2),"N/A")</f>
        <v>419.98</v>
      </c>
      <c r="N37" s="313">
        <f>IF(LEN(USPS_Pri_Int_Base!N33)&gt;0,ROUND(USPS_Pri_Int_Base!N33*(1+PostalMarkup),2),"N/A")</f>
        <v>319.36</v>
      </c>
      <c r="O37" s="313">
        <f>IF(LEN(USPS_Pri_Int_Base!O33)&gt;0,ROUND(USPS_Pri_Int_Base!O33*(1+PostalMarkup),2),"N/A")</f>
        <v>259.79000000000002</v>
      </c>
      <c r="P37" s="313">
        <f>IF(LEN(USPS_Pri_Int_Base!P33)&gt;0,ROUND(USPS_Pri_Int_Base!P33*(1+PostalMarkup),2),"N/A")</f>
        <v>238.8</v>
      </c>
      <c r="Q37" s="313">
        <f>IF(LEN(USPS_Pri_Int_Base!Q33)&gt;0,ROUND(USPS_Pri_Int_Base!Q33*(1+PostalMarkup),2),"N/A")</f>
        <v>263.75</v>
      </c>
      <c r="R37" s="313">
        <f>IF(LEN(USPS_Pri_Int_Base!R33)&gt;0,ROUND(USPS_Pri_Int_Base!R33*(1+PostalMarkup),2),"N/A")</f>
        <v>234.43</v>
      </c>
      <c r="S37" s="313">
        <f>IF(LEN(USPS_Pri_Int_Base!S33)&gt;0,ROUND(USPS_Pri_Int_Base!S33*(1+PostalMarkup),2),"N/A")</f>
        <v>246.5</v>
      </c>
      <c r="T37" s="313">
        <f>IF(LEN(USPS_Pri_Int_Base!T33)&gt;0,ROUND(USPS_Pri_Int_Base!T33*(1+PostalMarkup),2),"N/A")</f>
        <v>423.95</v>
      </c>
      <c r="U37" s="313">
        <f>IF(LEN(USPS_Pri_Int_Base!U33)&gt;0,ROUND(USPS_Pri_Int_Base!U33*(1+PostalMarkup),2),"N/A")</f>
        <v>265.19</v>
      </c>
    </row>
    <row r="38" spans="1:21" ht="12.75" customHeight="1">
      <c r="A38" s="312">
        <v>33</v>
      </c>
      <c r="B38" s="313">
        <f>IF(LEN(USPS_Pri_Int_Base!B34)&gt;0,ROUND(USPS_Pri_Int_Base!B34*(1+PostalMarkup),2),"N/A")</f>
        <v>203.67</v>
      </c>
      <c r="C38" s="313">
        <f>IF(LEN(USPS_Pri_Int_Base!C34)&gt;0,ROUND(USPS_Pri_Int_Base!C34*(1+PostalMarkup),2),"N/A")</f>
        <v>235.98</v>
      </c>
      <c r="D38" s="313">
        <f>IF(LEN(USPS_Pri_Int_Base!D34)&gt;0,ROUND(USPS_Pri_Int_Base!D34*(1+PostalMarkup),2),"N/A")</f>
        <v>300.32</v>
      </c>
      <c r="E38" s="313">
        <f>IF(LEN(USPS_Pri_Int_Base!E34)&gt;0,ROUND(USPS_Pri_Int_Base!E34*(1+PostalMarkup),2),"N/A")</f>
        <v>258.64</v>
      </c>
      <c r="F38" s="313">
        <f>IF(LEN(USPS_Pri_Int_Base!F34)&gt;0,ROUND(USPS_Pri_Int_Base!F34*(1+PostalMarkup),2),"N/A")</f>
        <v>266.17</v>
      </c>
      <c r="G38" s="313">
        <f>IF(LEN(USPS_Pri_Int_Base!G34)&gt;0,ROUND(USPS_Pri_Int_Base!G34*(1+PostalMarkup),2),"N/A")</f>
        <v>312.27999999999997</v>
      </c>
      <c r="H38" s="313">
        <f>IF(LEN(USPS_Pri_Int_Base!H34)&gt;0,ROUND(USPS_Pri_Int_Base!H34*(1+PostalMarkup),2),"N/A")</f>
        <v>334.94</v>
      </c>
      <c r="I38" s="313">
        <f>IF(LEN(USPS_Pri_Int_Base!I34)&gt;0,ROUND(USPS_Pri_Int_Base!I34*(1+PostalMarkup),2),"N/A")</f>
        <v>342.59</v>
      </c>
      <c r="J38" s="313">
        <f>IF(LEN(USPS_Pri_Int_Base!J34)&gt;0,ROUND(USPS_Pri_Int_Base!J34*(1+PostalMarkup),2),"N/A")</f>
        <v>370.24</v>
      </c>
      <c r="K38" s="313">
        <f>IF(LEN(USPS_Pri_Int_Base!K34)&gt;0,ROUND(USPS_Pri_Int_Base!K34*(1+PostalMarkup),2),"N/A")</f>
        <v>282.20999999999998</v>
      </c>
      <c r="L38" s="313">
        <f>IF(LEN(USPS_Pri_Int_Base!L34)&gt;0,ROUND(USPS_Pri_Int_Base!L34*(1+PostalMarkup),2),"N/A")</f>
        <v>319.87</v>
      </c>
      <c r="M38" s="313">
        <f>IF(LEN(USPS_Pri_Int_Base!M34)&gt;0,ROUND(USPS_Pri_Int_Base!M34*(1+PostalMarkup),2),"N/A")</f>
        <v>422.68</v>
      </c>
      <c r="N38" s="313">
        <f>IF(LEN(USPS_Pri_Int_Base!N34)&gt;0,ROUND(USPS_Pri_Int_Base!N34*(1+PostalMarkup),2),"N/A")</f>
        <v>325.57</v>
      </c>
      <c r="O38" s="313">
        <f>IF(LEN(USPS_Pri_Int_Base!O34)&gt;0,ROUND(USPS_Pri_Int_Base!O34*(1+PostalMarkup),2),"N/A")</f>
        <v>264.5</v>
      </c>
      <c r="P38" s="313">
        <f>IF(LEN(USPS_Pri_Int_Base!P34)&gt;0,ROUND(USPS_Pri_Int_Base!P34*(1+PostalMarkup),2),"N/A")</f>
        <v>242.71</v>
      </c>
      <c r="Q38" s="313">
        <f>IF(LEN(USPS_Pri_Int_Base!Q34)&gt;0,ROUND(USPS_Pri_Int_Base!Q34*(1+PostalMarkup),2),"N/A")</f>
        <v>267.77999999999997</v>
      </c>
      <c r="R38" s="313">
        <f>IF(LEN(USPS_Pri_Int_Base!R34)&gt;0,ROUND(USPS_Pri_Int_Base!R34*(1+PostalMarkup),2),"N/A")</f>
        <v>238.68</v>
      </c>
      <c r="S38" s="313">
        <f>IF(LEN(USPS_Pri_Int_Base!S34)&gt;0,ROUND(USPS_Pri_Int_Base!S34*(1+PostalMarkup),2),"N/A")</f>
        <v>250.3</v>
      </c>
      <c r="T38" s="313">
        <f>IF(LEN(USPS_Pri_Int_Base!T34)&gt;0,ROUND(USPS_Pri_Int_Base!T34*(1+PostalMarkup),2),"N/A")</f>
        <v>431.94</v>
      </c>
      <c r="U38" s="313">
        <f>IF(LEN(USPS_Pri_Int_Base!U34)&gt;0,ROUND(USPS_Pri_Int_Base!U34*(1+PostalMarkup),2),"N/A")</f>
        <v>269.91000000000003</v>
      </c>
    </row>
    <row r="39" spans="1:21" ht="12.75" customHeight="1">
      <c r="A39" s="312">
        <v>34</v>
      </c>
      <c r="B39" s="313">
        <f>IF(LEN(USPS_Pri_Int_Base!B35)&gt;0,ROUND(USPS_Pri_Int_Base!B35*(1+PostalMarkup),2),"N/A")</f>
        <v>206.83</v>
      </c>
      <c r="C39" s="313">
        <f>IF(LEN(USPS_Pri_Int_Base!C35)&gt;0,ROUND(USPS_Pri_Int_Base!C35*(1+PostalMarkup),2),"N/A")</f>
        <v>239.89</v>
      </c>
      <c r="D39" s="313">
        <f>IF(LEN(USPS_Pri_Int_Base!D35)&gt;0,ROUND(USPS_Pri_Int_Base!D35*(1+PostalMarkup),2),"N/A")</f>
        <v>307.51</v>
      </c>
      <c r="E39" s="313">
        <f>IF(LEN(USPS_Pri_Int_Base!E35)&gt;0,ROUND(USPS_Pri_Int_Base!E35*(1+PostalMarkup),2),"N/A")</f>
        <v>262.89</v>
      </c>
      <c r="F39" s="313">
        <f>IF(LEN(USPS_Pri_Int_Base!F35)&gt;0,ROUND(USPS_Pri_Int_Base!F35*(1+PostalMarkup),2),"N/A")</f>
        <v>270.48</v>
      </c>
      <c r="G39" s="313">
        <f>IF(LEN(USPS_Pri_Int_Base!G35)&gt;0,ROUND(USPS_Pri_Int_Base!G35*(1+PostalMarkup),2),"N/A")</f>
        <v>317.86</v>
      </c>
      <c r="H39" s="313">
        <f>IF(LEN(USPS_Pri_Int_Base!H35)&gt;0,ROUND(USPS_Pri_Int_Base!H35*(1+PostalMarkup),2),"N/A")</f>
        <v>341.03</v>
      </c>
      <c r="I39" s="313">
        <f>IF(LEN(USPS_Pri_Int_Base!I35)&gt;0,ROUND(USPS_Pri_Int_Base!I35*(1+PostalMarkup),2),"N/A")</f>
        <v>350.98</v>
      </c>
      <c r="J39" s="313">
        <f>IF(LEN(USPS_Pri_Int_Base!J35)&gt;0,ROUND(USPS_Pri_Int_Base!J35*(1+PostalMarkup),2),"N/A")</f>
        <v>379.44</v>
      </c>
      <c r="K39" s="313">
        <f>IF(LEN(USPS_Pri_Int_Base!K35)&gt;0,ROUND(USPS_Pri_Int_Base!K35*(1+PostalMarkup),2),"N/A")</f>
        <v>287.10000000000002</v>
      </c>
      <c r="L39" s="313">
        <f>IF(LEN(USPS_Pri_Int_Base!L35)&gt;0,ROUND(USPS_Pri_Int_Base!L35*(1+PostalMarkup),2),"N/A")</f>
        <v>325.57</v>
      </c>
      <c r="M39" s="313">
        <f>IF(LEN(USPS_Pri_Int_Base!M35)&gt;0,ROUND(USPS_Pri_Int_Base!M35*(1+PostalMarkup),2),"N/A")</f>
        <v>433.78</v>
      </c>
      <c r="N39" s="313">
        <f>IF(LEN(USPS_Pri_Int_Base!N35)&gt;0,ROUND(USPS_Pri_Int_Base!N35*(1+PostalMarkup),2),"N/A")</f>
        <v>330.57</v>
      </c>
      <c r="O39" s="313">
        <f>IF(LEN(USPS_Pri_Int_Base!O35)&gt;0,ROUND(USPS_Pri_Int_Base!O35*(1+PostalMarkup),2),"N/A")</f>
        <v>269.56</v>
      </c>
      <c r="P39" s="313">
        <f>IF(LEN(USPS_Pri_Int_Base!P35)&gt;0,ROUND(USPS_Pri_Int_Base!P35*(1+PostalMarkup),2),"N/A")</f>
        <v>246.22</v>
      </c>
      <c r="Q39" s="313">
        <f>IF(LEN(USPS_Pri_Int_Base!Q35)&gt;0,ROUND(USPS_Pri_Int_Base!Q35*(1+PostalMarkup),2),"N/A")</f>
        <v>271.86</v>
      </c>
      <c r="R39" s="313">
        <f>IF(LEN(USPS_Pri_Int_Base!R35)&gt;0,ROUND(USPS_Pri_Int_Base!R35*(1+PostalMarkup),2),"N/A")</f>
        <v>242.59</v>
      </c>
      <c r="S39" s="313">
        <f>IF(LEN(USPS_Pri_Int_Base!S35)&gt;0,ROUND(USPS_Pri_Int_Base!S35*(1+PostalMarkup),2),"N/A")</f>
        <v>255.13</v>
      </c>
      <c r="T39" s="313">
        <f>IF(LEN(USPS_Pri_Int_Base!T35)&gt;0,ROUND(USPS_Pri_Int_Base!T35*(1+PostalMarkup),2),"N/A")</f>
        <v>442.41</v>
      </c>
      <c r="U39" s="313">
        <f>IF(LEN(USPS_Pri_Int_Base!U35)&gt;0,ROUND(USPS_Pri_Int_Base!U35*(1+PostalMarkup),2),"N/A")</f>
        <v>274.27999999999997</v>
      </c>
    </row>
    <row r="40" spans="1:21" ht="12.75" customHeight="1">
      <c r="A40" s="312">
        <v>35</v>
      </c>
      <c r="B40" s="313">
        <f>IF(LEN(USPS_Pri_Int_Base!B36)&gt;0,ROUND(USPS_Pri_Int_Base!B36*(1+PostalMarkup),2),"N/A")</f>
        <v>210.97</v>
      </c>
      <c r="C40" s="313">
        <f>IF(LEN(USPS_Pri_Int_Base!C36)&gt;0,ROUND(USPS_Pri_Int_Base!C36*(1+PostalMarkup),2),"N/A")</f>
        <v>243.8</v>
      </c>
      <c r="D40" s="313">
        <f>IF(LEN(USPS_Pri_Int_Base!D36)&gt;0,ROUND(USPS_Pri_Int_Base!D36*(1+PostalMarkup),2),"N/A")</f>
        <v>314.58</v>
      </c>
      <c r="E40" s="313">
        <f>IF(LEN(USPS_Pri_Int_Base!E36)&gt;0,ROUND(USPS_Pri_Int_Base!E36*(1+PostalMarkup),2),"N/A")</f>
        <v>267.49</v>
      </c>
      <c r="F40" s="313">
        <f>IF(LEN(USPS_Pri_Int_Base!F36)&gt;0,ROUND(USPS_Pri_Int_Base!F36*(1+PostalMarkup),2),"N/A")</f>
        <v>275.37</v>
      </c>
      <c r="G40" s="313">
        <f>IF(LEN(USPS_Pri_Int_Base!G36)&gt;0,ROUND(USPS_Pri_Int_Base!G36*(1+PostalMarkup),2),"N/A")</f>
        <v>323.61</v>
      </c>
      <c r="H40" s="313">
        <f>IF(LEN(USPS_Pri_Int_Base!H36)&gt;0,ROUND(USPS_Pri_Int_Base!H36*(1+PostalMarkup),2),"N/A")</f>
        <v>347.7</v>
      </c>
      <c r="I40" s="313">
        <f>IF(LEN(USPS_Pri_Int_Base!I36)&gt;0,ROUND(USPS_Pri_Int_Base!I36*(1+PostalMarkup),2),"N/A")</f>
        <v>359.43</v>
      </c>
      <c r="J40" s="313">
        <f>IF(LEN(USPS_Pri_Int_Base!J36)&gt;0,ROUND(USPS_Pri_Int_Base!J36*(1+PostalMarkup),2),"N/A")</f>
        <v>388.59</v>
      </c>
      <c r="K40" s="313">
        <f>IF(LEN(USPS_Pri_Int_Base!K36)&gt;0,ROUND(USPS_Pri_Int_Base!K36*(1+PostalMarkup),2),"N/A")</f>
        <v>292.56</v>
      </c>
      <c r="L40" s="313">
        <f>IF(LEN(USPS_Pri_Int_Base!L36)&gt;0,ROUND(USPS_Pri_Int_Base!L36*(1+PostalMarkup),2),"N/A")</f>
        <v>331.6</v>
      </c>
      <c r="M40" s="313">
        <f>IF(LEN(USPS_Pri_Int_Base!M36)&gt;0,ROUND(USPS_Pri_Int_Base!M36*(1+PostalMarkup),2),"N/A")</f>
        <v>444.88</v>
      </c>
      <c r="N40" s="313">
        <f>IF(LEN(USPS_Pri_Int_Base!N36)&gt;0,ROUND(USPS_Pri_Int_Base!N36*(1+PostalMarkup),2),"N/A")</f>
        <v>336.78</v>
      </c>
      <c r="O40" s="313">
        <f>IF(LEN(USPS_Pri_Int_Base!O36)&gt;0,ROUND(USPS_Pri_Int_Base!O36*(1+PostalMarkup),2),"N/A")</f>
        <v>273.82</v>
      </c>
      <c r="P40" s="313">
        <f>IF(LEN(USPS_Pri_Int_Base!P36)&gt;0,ROUND(USPS_Pri_Int_Base!P36*(1+PostalMarkup),2),"N/A")</f>
        <v>249.9</v>
      </c>
      <c r="Q40" s="313">
        <f>IF(LEN(USPS_Pri_Int_Base!Q36)&gt;0,ROUND(USPS_Pri_Int_Base!Q36*(1+PostalMarkup),2),"N/A")</f>
        <v>275.70999999999998</v>
      </c>
      <c r="R40" s="313">
        <f>IF(LEN(USPS_Pri_Int_Base!R36)&gt;0,ROUND(USPS_Pri_Int_Base!R36*(1+PostalMarkup),2),"N/A")</f>
        <v>246.56</v>
      </c>
      <c r="S40" s="313">
        <f>IF(LEN(USPS_Pri_Int_Base!S36)&gt;0,ROUND(USPS_Pri_Int_Base!S36*(1+PostalMarkup),2),"N/A")</f>
        <v>260.42</v>
      </c>
      <c r="T40" s="313">
        <f>IF(LEN(USPS_Pri_Int_Base!T36)&gt;0,ROUND(USPS_Pri_Int_Base!T36*(1+PostalMarkup),2),"N/A")</f>
        <v>453.22</v>
      </c>
      <c r="U40" s="313">
        <f>IF(LEN(USPS_Pri_Int_Base!U36)&gt;0,ROUND(USPS_Pri_Int_Base!U36*(1+PostalMarkup),2),"N/A")</f>
        <v>279.05</v>
      </c>
    </row>
    <row r="41" spans="1:21" ht="12.75" customHeight="1">
      <c r="A41" s="312">
        <v>36</v>
      </c>
      <c r="B41" s="313">
        <f>IF(LEN(USPS_Pri_Int_Base!B37)&gt;0,ROUND(USPS_Pri_Int_Base!B37*(1+PostalMarkup),2),"N/A")</f>
        <v>214.71</v>
      </c>
      <c r="C41" s="313">
        <f>IF(LEN(USPS_Pri_Int_Base!C37)&gt;0,ROUND(USPS_Pri_Int_Base!C37*(1+PostalMarkup),2),"N/A")</f>
        <v>247.88</v>
      </c>
      <c r="D41" s="313">
        <f>IF(LEN(USPS_Pri_Int_Base!D37)&gt;0,ROUND(USPS_Pri_Int_Base!D37*(1+PostalMarkup),2),"N/A")</f>
        <v>321.77</v>
      </c>
      <c r="E41" s="313">
        <f>IF(LEN(USPS_Pri_Int_Base!E37)&gt;0,ROUND(USPS_Pri_Int_Base!E37*(1+PostalMarkup),2),"N/A")</f>
        <v>271.45999999999998</v>
      </c>
      <c r="F41" s="313">
        <f>IF(LEN(USPS_Pri_Int_Base!F37)&gt;0,ROUND(USPS_Pri_Int_Base!F37*(1+PostalMarkup),2),"N/A")</f>
        <v>279.33999999999997</v>
      </c>
      <c r="G41" s="313">
        <f>IF(LEN(USPS_Pri_Int_Base!G37)&gt;0,ROUND(USPS_Pri_Int_Base!G37*(1+PostalMarkup),2),"N/A")</f>
        <v>328.96</v>
      </c>
      <c r="H41" s="313">
        <f>IF(LEN(USPS_Pri_Int_Base!H37)&gt;0,ROUND(USPS_Pri_Int_Base!H37*(1+PostalMarkup),2),"N/A")</f>
        <v>353.28</v>
      </c>
      <c r="I41" s="313">
        <f>IF(LEN(USPS_Pri_Int_Base!I37)&gt;0,ROUND(USPS_Pri_Int_Base!I37*(1+PostalMarkup),2),"N/A")</f>
        <v>367.94</v>
      </c>
      <c r="J41" s="313">
        <f>IF(LEN(USPS_Pri_Int_Base!J37)&gt;0,ROUND(USPS_Pri_Int_Base!J37*(1+PostalMarkup),2),"N/A")</f>
        <v>397.67</v>
      </c>
      <c r="K41" s="313">
        <f>IF(LEN(USPS_Pri_Int_Base!K37)&gt;0,ROUND(USPS_Pri_Int_Base!K37*(1+PostalMarkup),2),"N/A")</f>
        <v>297.05</v>
      </c>
      <c r="L41" s="313">
        <f>IF(LEN(USPS_Pri_Int_Base!L37)&gt;0,ROUND(USPS_Pri_Int_Base!L37*(1+PostalMarkup),2),"N/A")</f>
        <v>337.41</v>
      </c>
      <c r="M41" s="313">
        <f>IF(LEN(USPS_Pri_Int_Base!M37)&gt;0,ROUND(USPS_Pri_Int_Base!M37*(1+PostalMarkup),2),"N/A")</f>
        <v>456.03</v>
      </c>
      <c r="N41" s="313">
        <f>IF(LEN(USPS_Pri_Int_Base!N37)&gt;0,ROUND(USPS_Pri_Int_Base!N37*(1+PostalMarkup),2),"N/A")</f>
        <v>342.24</v>
      </c>
      <c r="O41" s="313">
        <f>IF(LEN(USPS_Pri_Int_Base!O37)&gt;0,ROUND(USPS_Pri_Int_Base!O37*(1+PostalMarkup),2),"N/A")</f>
        <v>278.13</v>
      </c>
      <c r="P41" s="313">
        <f>IF(LEN(USPS_Pri_Int_Base!P37)&gt;0,ROUND(USPS_Pri_Int_Base!P37*(1+PostalMarkup),2),"N/A")</f>
        <v>253.35</v>
      </c>
      <c r="Q41" s="313">
        <f>IF(LEN(USPS_Pri_Int_Base!Q37)&gt;0,ROUND(USPS_Pri_Int_Base!Q37*(1+PostalMarkup),2),"N/A")</f>
        <v>280.14</v>
      </c>
      <c r="R41" s="313">
        <f>IF(LEN(USPS_Pri_Int_Base!R37)&gt;0,ROUND(USPS_Pri_Int_Base!R37*(1+PostalMarkup),2),"N/A")</f>
        <v>250.13</v>
      </c>
      <c r="S41" s="313">
        <f>IF(LEN(USPS_Pri_Int_Base!S37)&gt;0,ROUND(USPS_Pri_Int_Base!S37*(1+PostalMarkup),2),"N/A")</f>
        <v>265.64999999999998</v>
      </c>
      <c r="T41" s="313">
        <f>IF(LEN(USPS_Pri_Int_Base!T37)&gt;0,ROUND(USPS_Pri_Int_Base!T37*(1+PostalMarkup),2),"N/A")</f>
        <v>464.08</v>
      </c>
      <c r="U41" s="313">
        <f>IF(LEN(USPS_Pri_Int_Base!U37)&gt;0,ROUND(USPS_Pri_Int_Base!U37*(1+PostalMarkup),2),"N/A")</f>
        <v>282.95999999999998</v>
      </c>
    </row>
    <row r="42" spans="1:21" ht="12.75" customHeight="1">
      <c r="A42" s="312">
        <v>37</v>
      </c>
      <c r="B42" s="313">
        <f>IF(LEN(USPS_Pri_Int_Base!B38)&gt;0,ROUND(USPS_Pri_Int_Base!B38*(1+PostalMarkup),2),"N/A")</f>
        <v>218.16</v>
      </c>
      <c r="C42" s="313">
        <f>IF(LEN(USPS_Pri_Int_Base!C38)&gt;0,ROUND(USPS_Pri_Int_Base!C38*(1+PostalMarkup),2),"N/A")</f>
        <v>251.56</v>
      </c>
      <c r="D42" s="313">
        <f>IF(LEN(USPS_Pri_Int_Base!D38)&gt;0,ROUND(USPS_Pri_Int_Base!D38*(1+PostalMarkup),2),"N/A")</f>
        <v>328.9</v>
      </c>
      <c r="E42" s="313">
        <f>IF(LEN(USPS_Pri_Int_Base!E38)&gt;0,ROUND(USPS_Pri_Int_Base!E38*(1+PostalMarkup),2),"N/A")</f>
        <v>275.43</v>
      </c>
      <c r="F42" s="313">
        <f>IF(LEN(USPS_Pri_Int_Base!F38)&gt;0,ROUND(USPS_Pri_Int_Base!F38*(1+PostalMarkup),2),"N/A")</f>
        <v>282.83999999999997</v>
      </c>
      <c r="G42" s="313">
        <f>IF(LEN(USPS_Pri_Int_Base!G38)&gt;0,ROUND(USPS_Pri_Int_Base!G38*(1+PostalMarkup),2),"N/A")</f>
        <v>334.48</v>
      </c>
      <c r="H42" s="313">
        <f>IF(LEN(USPS_Pri_Int_Base!H38)&gt;0,ROUND(USPS_Pri_Int_Base!H38*(1+PostalMarkup),2),"N/A")</f>
        <v>359.15</v>
      </c>
      <c r="I42" s="313">
        <f>IF(LEN(USPS_Pri_Int_Base!I38)&gt;0,ROUND(USPS_Pri_Int_Base!I38*(1+PostalMarkup),2),"N/A")</f>
        <v>376.45</v>
      </c>
      <c r="J42" s="313">
        <f>IF(LEN(USPS_Pri_Int_Base!J38)&gt;0,ROUND(USPS_Pri_Int_Base!J38*(1+PostalMarkup),2),"N/A")</f>
        <v>406.87</v>
      </c>
      <c r="K42" s="313">
        <f>IF(LEN(USPS_Pri_Int_Base!K38)&gt;0,ROUND(USPS_Pri_Int_Base!K38*(1+PostalMarkup),2),"N/A")</f>
        <v>302.11</v>
      </c>
      <c r="L42" s="313">
        <f>IF(LEN(USPS_Pri_Int_Base!L38)&gt;0,ROUND(USPS_Pri_Int_Base!L38*(1+PostalMarkup),2),"N/A")</f>
        <v>343.05</v>
      </c>
      <c r="M42" s="313">
        <f>IF(LEN(USPS_Pri_Int_Base!M38)&gt;0,ROUND(USPS_Pri_Int_Base!M38*(1+PostalMarkup),2),"N/A")</f>
        <v>467.13</v>
      </c>
      <c r="N42" s="313">
        <f>IF(LEN(USPS_Pri_Int_Base!N38)&gt;0,ROUND(USPS_Pri_Int_Base!N38*(1+PostalMarkup),2),"N/A")</f>
        <v>347.76</v>
      </c>
      <c r="O42" s="313">
        <f>IF(LEN(USPS_Pri_Int_Base!O38)&gt;0,ROUND(USPS_Pri_Int_Base!O38*(1+PostalMarkup),2),"N/A")</f>
        <v>282.5</v>
      </c>
      <c r="P42" s="313">
        <f>IF(LEN(USPS_Pri_Int_Base!P38)&gt;0,ROUND(USPS_Pri_Int_Base!P38*(1+PostalMarkup),2),"N/A")</f>
        <v>257.2</v>
      </c>
      <c r="Q42" s="313">
        <f>IF(LEN(USPS_Pri_Int_Base!Q38)&gt;0,ROUND(USPS_Pri_Int_Base!Q38*(1+PostalMarkup),2),"N/A")</f>
        <v>283.82</v>
      </c>
      <c r="R42" s="313">
        <f>IF(LEN(USPS_Pri_Int_Base!R38)&gt;0,ROUND(USPS_Pri_Int_Base!R38*(1+PostalMarkup),2),"N/A")</f>
        <v>254.04</v>
      </c>
      <c r="S42" s="313">
        <f>IF(LEN(USPS_Pri_Int_Base!S38)&gt;0,ROUND(USPS_Pri_Int_Base!S38*(1+PostalMarkup),2),"N/A")</f>
        <v>270.88</v>
      </c>
      <c r="T42" s="313">
        <f>IF(LEN(USPS_Pri_Int_Base!T38)&gt;0,ROUND(USPS_Pri_Int_Base!T38*(1+PostalMarkup),2),"N/A")</f>
        <v>474.95</v>
      </c>
      <c r="U42" s="313">
        <f>IF(LEN(USPS_Pri_Int_Base!U38)&gt;0,ROUND(USPS_Pri_Int_Base!U38*(1+PostalMarkup),2),"N/A")</f>
        <v>287.33</v>
      </c>
    </row>
    <row r="43" spans="1:21" ht="12.75" customHeight="1">
      <c r="A43" s="312">
        <v>38</v>
      </c>
      <c r="B43" s="313">
        <f>IF(LEN(USPS_Pri_Int_Base!B39)&gt;0,ROUND(USPS_Pri_Int_Base!B39*(1+PostalMarkup),2),"N/A")</f>
        <v>221.43</v>
      </c>
      <c r="C43" s="313">
        <f>IF(LEN(USPS_Pri_Int_Base!C39)&gt;0,ROUND(USPS_Pri_Int_Base!C39*(1+PostalMarkup),2),"N/A")</f>
        <v>255.19</v>
      </c>
      <c r="D43" s="313">
        <f>IF(LEN(USPS_Pri_Int_Base!D39)&gt;0,ROUND(USPS_Pri_Int_Base!D39*(1+PostalMarkup),2),"N/A")</f>
        <v>336.09</v>
      </c>
      <c r="E43" s="313">
        <f>IF(LEN(USPS_Pri_Int_Base!E39)&gt;0,ROUND(USPS_Pri_Int_Base!E39*(1+PostalMarkup),2),"N/A")</f>
        <v>279.74</v>
      </c>
      <c r="F43" s="313">
        <f>IF(LEN(USPS_Pri_Int_Base!F39)&gt;0,ROUND(USPS_Pri_Int_Base!F39*(1+PostalMarkup),2),"N/A")</f>
        <v>287.5</v>
      </c>
      <c r="G43" s="313">
        <f>IF(LEN(USPS_Pri_Int_Base!G39)&gt;0,ROUND(USPS_Pri_Int_Base!G39*(1+PostalMarkup),2),"N/A")</f>
        <v>339.83</v>
      </c>
      <c r="H43" s="313">
        <f>IF(LEN(USPS_Pri_Int_Base!H39)&gt;0,ROUND(USPS_Pri_Int_Base!H39*(1+PostalMarkup),2),"N/A")</f>
        <v>365.07</v>
      </c>
      <c r="I43" s="313">
        <f>IF(LEN(USPS_Pri_Int_Base!I39)&gt;0,ROUND(USPS_Pri_Int_Base!I39*(1+PostalMarkup),2),"N/A")</f>
        <v>384.91</v>
      </c>
      <c r="J43" s="313">
        <f>IF(LEN(USPS_Pri_Int_Base!J39)&gt;0,ROUND(USPS_Pri_Int_Base!J39*(1+PostalMarkup),2),"N/A")</f>
        <v>416.01</v>
      </c>
      <c r="K43" s="313">
        <f>IF(LEN(USPS_Pri_Int_Base!K39)&gt;0,ROUND(USPS_Pri_Int_Base!K39*(1+PostalMarkup),2),"N/A")</f>
        <v>306.07</v>
      </c>
      <c r="L43" s="313">
        <f>IF(LEN(USPS_Pri_Int_Base!L39)&gt;0,ROUND(USPS_Pri_Int_Base!L39*(1+PostalMarkup),2),"N/A")</f>
        <v>350.64</v>
      </c>
      <c r="M43" s="313">
        <f>IF(LEN(USPS_Pri_Int_Base!M39)&gt;0,ROUND(USPS_Pri_Int_Base!M39*(1+PostalMarkup),2),"N/A")</f>
        <v>478.23</v>
      </c>
      <c r="N43" s="313">
        <f>IF(LEN(USPS_Pri_Int_Base!N39)&gt;0,ROUND(USPS_Pri_Int_Base!N39*(1+PostalMarkup),2),"N/A")</f>
        <v>352.88</v>
      </c>
      <c r="O43" s="313">
        <f>IF(LEN(USPS_Pri_Int_Base!O39)&gt;0,ROUND(USPS_Pri_Int_Base!O39*(1+PostalMarkup),2),"N/A")</f>
        <v>286.93</v>
      </c>
      <c r="P43" s="313">
        <f>IF(LEN(USPS_Pri_Int_Base!P39)&gt;0,ROUND(USPS_Pri_Int_Base!P39*(1+PostalMarkup),2),"N/A")</f>
        <v>260.52999999999997</v>
      </c>
      <c r="Q43" s="313">
        <f>IF(LEN(USPS_Pri_Int_Base!Q39)&gt;0,ROUND(USPS_Pri_Int_Base!Q39*(1+PostalMarkup),2),"N/A")</f>
        <v>287.39</v>
      </c>
      <c r="R43" s="313">
        <f>IF(LEN(USPS_Pri_Int_Base!R39)&gt;0,ROUND(USPS_Pri_Int_Base!R39*(1+PostalMarkup),2),"N/A")</f>
        <v>257.66000000000003</v>
      </c>
      <c r="S43" s="313">
        <f>IF(LEN(USPS_Pri_Int_Base!S39)&gt;0,ROUND(USPS_Pri_Int_Base!S39*(1+PostalMarkup),2),"N/A")</f>
        <v>276.17</v>
      </c>
      <c r="T43" s="313">
        <f>IF(LEN(USPS_Pri_Int_Base!T39)&gt;0,ROUND(USPS_Pri_Int_Base!T39*(1+PostalMarkup),2),"N/A")</f>
        <v>485.76</v>
      </c>
      <c r="U43" s="313">
        <f>IF(LEN(USPS_Pri_Int_Base!U39)&gt;0,ROUND(USPS_Pri_Int_Base!U39*(1+PostalMarkup),2),"N/A")</f>
        <v>291.7</v>
      </c>
    </row>
    <row r="44" spans="1:21" ht="12.75" customHeight="1">
      <c r="A44" s="312">
        <v>39</v>
      </c>
      <c r="B44" s="313">
        <f>IF(LEN(USPS_Pri_Int_Base!B40)&gt;0,ROUND(USPS_Pri_Int_Base!B40*(1+PostalMarkup),2),"N/A")</f>
        <v>225.17</v>
      </c>
      <c r="C44" s="313">
        <f>IF(LEN(USPS_Pri_Int_Base!C40)&gt;0,ROUND(USPS_Pri_Int_Base!C40*(1+PostalMarkup),2),"N/A")</f>
        <v>258.92</v>
      </c>
      <c r="D44" s="313">
        <f>IF(LEN(USPS_Pri_Int_Base!D40)&gt;0,ROUND(USPS_Pri_Int_Base!D40*(1+PostalMarkup),2),"N/A")</f>
        <v>343.22</v>
      </c>
      <c r="E44" s="313">
        <f>IF(LEN(USPS_Pri_Int_Base!E40)&gt;0,ROUND(USPS_Pri_Int_Base!E40*(1+PostalMarkup),2),"N/A")</f>
        <v>283.58999999999997</v>
      </c>
      <c r="F44" s="313">
        <f>IF(LEN(USPS_Pri_Int_Base!F40)&gt;0,ROUND(USPS_Pri_Int_Base!F40*(1+PostalMarkup),2),"N/A")</f>
        <v>291.7</v>
      </c>
      <c r="G44" s="313">
        <f>IF(LEN(USPS_Pri_Int_Base!G40)&gt;0,ROUND(USPS_Pri_Int_Base!G40*(1+PostalMarkup),2),"N/A")</f>
        <v>345.23</v>
      </c>
      <c r="H44" s="313">
        <f>IF(LEN(USPS_Pri_Int_Base!H40)&gt;0,ROUND(USPS_Pri_Int_Base!H40*(1+PostalMarkup),2),"N/A")</f>
        <v>370.3</v>
      </c>
      <c r="I44" s="313">
        <f>IF(LEN(USPS_Pri_Int_Base!I40)&gt;0,ROUND(USPS_Pri_Int_Base!I40*(1+PostalMarkup),2),"N/A")</f>
        <v>393.36</v>
      </c>
      <c r="J44" s="313">
        <f>IF(LEN(USPS_Pri_Int_Base!J40)&gt;0,ROUND(USPS_Pri_Int_Base!J40*(1+PostalMarkup),2),"N/A")</f>
        <v>425.27</v>
      </c>
      <c r="K44" s="313">
        <f>IF(LEN(USPS_Pri_Int_Base!K40)&gt;0,ROUND(USPS_Pri_Int_Base!K40*(1+PostalMarkup),2),"N/A")</f>
        <v>311.48</v>
      </c>
      <c r="L44" s="313">
        <f>IF(LEN(USPS_Pri_Int_Base!L40)&gt;0,ROUND(USPS_Pri_Int_Base!L40*(1+PostalMarkup),2),"N/A")</f>
        <v>358.23</v>
      </c>
      <c r="M44" s="313">
        <f>IF(LEN(USPS_Pri_Int_Base!M40)&gt;0,ROUND(USPS_Pri_Int_Base!M40*(1+PostalMarkup),2),"N/A")</f>
        <v>489.33</v>
      </c>
      <c r="N44" s="313">
        <f>IF(LEN(USPS_Pri_Int_Base!N40)&gt;0,ROUND(USPS_Pri_Int_Base!N40*(1+PostalMarkup),2),"N/A")</f>
        <v>359.15</v>
      </c>
      <c r="O44" s="313">
        <f>IF(LEN(USPS_Pri_Int_Base!O40)&gt;0,ROUND(USPS_Pri_Int_Base!O40*(1+PostalMarkup),2),"N/A")</f>
        <v>291.3</v>
      </c>
      <c r="P44" s="313">
        <f>IF(LEN(USPS_Pri_Int_Base!P40)&gt;0,ROUND(USPS_Pri_Int_Base!P40*(1+PostalMarkup),2),"N/A")</f>
        <v>264.04000000000002</v>
      </c>
      <c r="Q44" s="313">
        <f>IF(LEN(USPS_Pri_Int_Base!Q40)&gt;0,ROUND(USPS_Pri_Int_Base!Q40*(1+PostalMarkup),2),"N/A")</f>
        <v>291.18</v>
      </c>
      <c r="R44" s="313">
        <f>IF(LEN(USPS_Pri_Int_Base!R40)&gt;0,ROUND(USPS_Pri_Int_Base!R40*(1+PostalMarkup),2),"N/A")</f>
        <v>261.51</v>
      </c>
      <c r="S44" s="313">
        <f>IF(LEN(USPS_Pri_Int_Base!S40)&gt;0,ROUND(USPS_Pri_Int_Base!S40*(1+PostalMarkup),2),"N/A")</f>
        <v>281.41000000000003</v>
      </c>
      <c r="T44" s="313">
        <f>IF(LEN(USPS_Pri_Int_Base!T40)&gt;0,ROUND(USPS_Pri_Int_Base!T40*(1+PostalMarkup),2),"N/A")</f>
        <v>496.63</v>
      </c>
      <c r="U44" s="313">
        <f>IF(LEN(USPS_Pri_Int_Base!U40)&gt;0,ROUND(USPS_Pri_Int_Base!U40*(1+PostalMarkup),2),"N/A")</f>
        <v>295.77999999999997</v>
      </c>
    </row>
    <row r="45" spans="1:21" ht="12.75" customHeight="1">
      <c r="A45" s="312">
        <v>40</v>
      </c>
      <c r="B45" s="313">
        <f>IF(LEN(USPS_Pri_Int_Base!B41)&gt;0,ROUND(USPS_Pri_Int_Base!B41*(1+PostalMarkup),2),"N/A")</f>
        <v>228.79</v>
      </c>
      <c r="C45" s="313">
        <f>IF(LEN(USPS_Pri_Int_Base!C41)&gt;0,ROUND(USPS_Pri_Int_Base!C41*(1+PostalMarkup),2),"N/A")</f>
        <v>262.49</v>
      </c>
      <c r="D45" s="313">
        <f>IF(LEN(USPS_Pri_Int_Base!D41)&gt;0,ROUND(USPS_Pri_Int_Base!D41*(1+PostalMarkup),2),"N/A")</f>
        <v>350.41</v>
      </c>
      <c r="E45" s="313">
        <f>IF(LEN(USPS_Pri_Int_Base!E41)&gt;0,ROUND(USPS_Pri_Int_Base!E41*(1+PostalMarkup),2),"N/A")</f>
        <v>287.79000000000002</v>
      </c>
      <c r="F45" s="313">
        <f>IF(LEN(USPS_Pri_Int_Base!F41)&gt;0,ROUND(USPS_Pri_Int_Base!F41*(1+PostalMarkup),2),"N/A")</f>
        <v>295.44</v>
      </c>
      <c r="G45" s="313">
        <f>IF(LEN(USPS_Pri_Int_Base!G41)&gt;0,ROUND(USPS_Pri_Int_Base!G41*(1+PostalMarkup),2),"N/A")</f>
        <v>350.69</v>
      </c>
      <c r="H45" s="313">
        <f>IF(LEN(USPS_Pri_Int_Base!H41)&gt;0,ROUND(USPS_Pri_Int_Base!H41*(1+PostalMarkup),2),"N/A")</f>
        <v>376.34</v>
      </c>
      <c r="I45" s="313">
        <f>IF(LEN(USPS_Pri_Int_Base!I41)&gt;0,ROUND(USPS_Pri_Int_Base!I41*(1+PostalMarkup),2),"N/A")</f>
        <v>401.87</v>
      </c>
      <c r="J45" s="313">
        <f>IF(LEN(USPS_Pri_Int_Base!J41)&gt;0,ROUND(USPS_Pri_Int_Base!J41*(1+PostalMarkup),2),"N/A")</f>
        <v>434.41</v>
      </c>
      <c r="K45" s="313">
        <f>IF(LEN(USPS_Pri_Int_Base!K41)&gt;0,ROUND(USPS_Pri_Int_Base!K41*(1+PostalMarkup),2),"N/A")</f>
        <v>316.25</v>
      </c>
      <c r="L45" s="313">
        <f>IF(LEN(USPS_Pri_Int_Base!L41)&gt;0,ROUND(USPS_Pri_Int_Base!L41*(1+PostalMarkup),2),"N/A")</f>
        <v>365.82</v>
      </c>
      <c r="M45" s="313">
        <f>IF(LEN(USPS_Pri_Int_Base!M41)&gt;0,ROUND(USPS_Pri_Int_Base!M41*(1+PostalMarkup),2),"N/A")</f>
        <v>500.48</v>
      </c>
      <c r="N45" s="313">
        <f>IF(LEN(USPS_Pri_Int_Base!N41)&gt;0,ROUND(USPS_Pri_Int_Base!N41*(1+PostalMarkup),2),"N/A")</f>
        <v>364.21</v>
      </c>
      <c r="O45" s="313">
        <f>IF(LEN(USPS_Pri_Int_Base!O41)&gt;0,ROUND(USPS_Pri_Int_Base!O41*(1+PostalMarkup),2),"N/A")</f>
        <v>295.67</v>
      </c>
      <c r="P45" s="313">
        <f>IF(LEN(USPS_Pri_Int_Base!P41)&gt;0,ROUND(USPS_Pri_Int_Base!P41*(1+PostalMarkup),2),"N/A")</f>
        <v>267.43</v>
      </c>
      <c r="Q45" s="313">
        <f>IF(LEN(USPS_Pri_Int_Base!Q41)&gt;0,ROUND(USPS_Pri_Int_Base!Q41*(1+PostalMarkup),2),"N/A")</f>
        <v>294.86</v>
      </c>
      <c r="R45" s="313">
        <f>IF(LEN(USPS_Pri_Int_Base!R41)&gt;0,ROUND(USPS_Pri_Int_Base!R41*(1+PostalMarkup),2),"N/A")</f>
        <v>265.08</v>
      </c>
      <c r="S45" s="313">
        <f>IF(LEN(USPS_Pri_Int_Base!S41)&gt;0,ROUND(USPS_Pri_Int_Base!S41*(1+PostalMarkup),2),"N/A")</f>
        <v>286.58</v>
      </c>
      <c r="T45" s="313">
        <f>IF(LEN(USPS_Pri_Int_Base!T41)&gt;0,ROUND(USPS_Pri_Int_Base!T41*(1+PostalMarkup),2),"N/A")</f>
        <v>507.44</v>
      </c>
      <c r="U45" s="313">
        <f>IF(LEN(USPS_Pri_Int_Base!U41)&gt;0,ROUND(USPS_Pri_Int_Base!U41*(1+PostalMarkup),2),"N/A")</f>
        <v>300.04000000000002</v>
      </c>
    </row>
    <row r="46" spans="1:21" ht="12.75" customHeight="1">
      <c r="A46" s="312">
        <v>41</v>
      </c>
      <c r="B46" s="313">
        <f>IF(LEN(USPS_Pri_Int_Base!B42)&gt;0,ROUND(USPS_Pri_Int_Base!B42*(1+PostalMarkup),2),"N/A")</f>
        <v>232.19</v>
      </c>
      <c r="C46" s="313">
        <f>IF(LEN(USPS_Pri_Int_Base!C42)&gt;0,ROUND(USPS_Pri_Int_Base!C42*(1+PostalMarkup),2),"N/A")</f>
        <v>266.11</v>
      </c>
      <c r="D46" s="313">
        <f>IF(LEN(USPS_Pri_Int_Base!D42)&gt;0,ROUND(USPS_Pri_Int_Base!D42*(1+PostalMarkup),2),"N/A")</f>
        <v>357.54</v>
      </c>
      <c r="E46" s="313">
        <f>IF(LEN(USPS_Pri_Int_Base!E42)&gt;0,ROUND(USPS_Pri_Int_Base!E42*(1+PostalMarkup),2),"N/A")</f>
        <v>291.35000000000002</v>
      </c>
      <c r="F46" s="313">
        <f>IF(LEN(USPS_Pri_Int_Base!F42)&gt;0,ROUND(USPS_Pri_Int_Base!F42*(1+PostalMarkup),2),"N/A")</f>
        <v>299.06</v>
      </c>
      <c r="G46" s="313">
        <f>IF(LEN(USPS_Pri_Int_Base!G42)&gt;0,ROUND(USPS_Pri_Int_Base!G42*(1+PostalMarkup),2),"N/A")</f>
        <v>355.24</v>
      </c>
      <c r="H46" s="313">
        <f>IF(LEN(USPS_Pri_Int_Base!H42)&gt;0,ROUND(USPS_Pri_Int_Base!H42*(1+PostalMarkup),2),"N/A")</f>
        <v>381.97</v>
      </c>
      <c r="I46" s="313">
        <f>IF(LEN(USPS_Pri_Int_Base!I42)&gt;0,ROUND(USPS_Pri_Int_Base!I42*(1+PostalMarkup),2),"N/A")</f>
        <v>410.32</v>
      </c>
      <c r="J46" s="313">
        <f>IF(LEN(USPS_Pri_Int_Base!J42)&gt;0,ROUND(USPS_Pri_Int_Base!J42*(1+PostalMarkup),2),"N/A")</f>
        <v>443.5</v>
      </c>
      <c r="K46" s="313">
        <f>IF(LEN(USPS_Pri_Int_Base!K42)&gt;0,ROUND(USPS_Pri_Int_Base!K42*(1+PostalMarkup),2),"N/A")</f>
        <v>330.34</v>
      </c>
      <c r="L46" s="313">
        <f>IF(LEN(USPS_Pri_Int_Base!L42)&gt;0,ROUND(USPS_Pri_Int_Base!L42*(1+PostalMarkup),2),"N/A")</f>
        <v>373.41</v>
      </c>
      <c r="M46" s="313">
        <f>IF(LEN(USPS_Pri_Int_Base!M42)&gt;0,ROUND(USPS_Pri_Int_Base!M42*(1+PostalMarkup),2),"N/A")</f>
        <v>511.58</v>
      </c>
      <c r="N46" s="313">
        <f>IF(LEN(USPS_Pri_Int_Base!N42)&gt;0,ROUND(USPS_Pri_Int_Base!N42*(1+PostalMarkup),2),"N/A")</f>
        <v>369.38</v>
      </c>
      <c r="O46" s="313">
        <f>IF(LEN(USPS_Pri_Int_Base!O42)&gt;0,ROUND(USPS_Pri_Int_Base!O42*(1+PostalMarkup),2),"N/A")</f>
        <v>309.64</v>
      </c>
      <c r="P46" s="313">
        <f>IF(LEN(USPS_Pri_Int_Base!P42)&gt;0,ROUND(USPS_Pri_Int_Base!P42*(1+PostalMarkup),2),"N/A")</f>
        <v>270.25</v>
      </c>
      <c r="Q46" s="313">
        <f>IF(LEN(USPS_Pri_Int_Base!Q42)&gt;0,ROUND(USPS_Pri_Int_Base!Q42*(1+PostalMarkup),2),"N/A")</f>
        <v>298.2</v>
      </c>
      <c r="R46" s="313">
        <f>IF(LEN(USPS_Pri_Int_Base!R42)&gt;0,ROUND(USPS_Pri_Int_Base!R42*(1+PostalMarkup),2),"N/A")</f>
        <v>268.47000000000003</v>
      </c>
      <c r="S46" s="313">
        <f>IF(LEN(USPS_Pri_Int_Base!S42)&gt;0,ROUND(USPS_Pri_Int_Base!S42*(1+PostalMarkup),2),"N/A")</f>
        <v>291.87</v>
      </c>
      <c r="T46" s="313">
        <f>IF(LEN(USPS_Pri_Int_Base!T42)&gt;0,ROUND(USPS_Pri_Int_Base!T42*(1+PostalMarkup),2),"N/A")</f>
        <v>518.25</v>
      </c>
      <c r="U46" s="313">
        <f>IF(LEN(USPS_Pri_Int_Base!U42)&gt;0,ROUND(USPS_Pri_Int_Base!U42*(1+PostalMarkup),2),"N/A")</f>
        <v>303.89</v>
      </c>
    </row>
    <row r="47" spans="1:21" ht="12.75" customHeight="1">
      <c r="A47" s="312">
        <v>42</v>
      </c>
      <c r="B47" s="313">
        <f>IF(LEN(USPS_Pri_Int_Base!B43)&gt;0,ROUND(USPS_Pri_Int_Base!B43*(1+PostalMarkup),2),"N/A")</f>
        <v>235.69</v>
      </c>
      <c r="C47" s="313">
        <f>IF(LEN(USPS_Pri_Int_Base!C43)&gt;0,ROUND(USPS_Pri_Int_Base!C43*(1+PostalMarkup),2),"N/A")</f>
        <v>269.5</v>
      </c>
      <c r="D47" s="313">
        <f>IF(LEN(USPS_Pri_Int_Base!D43)&gt;0,ROUND(USPS_Pri_Int_Base!D43*(1+PostalMarkup),2),"N/A")</f>
        <v>364.72</v>
      </c>
      <c r="E47" s="313">
        <f>IF(LEN(USPS_Pri_Int_Base!E43)&gt;0,ROUND(USPS_Pri_Int_Base!E43*(1+PostalMarkup),2),"N/A")</f>
        <v>295.14999999999998</v>
      </c>
      <c r="F47" s="313">
        <f>IF(LEN(USPS_Pri_Int_Base!F43)&gt;0,ROUND(USPS_Pri_Int_Base!F43*(1+PostalMarkup),2),"N/A")</f>
        <v>302.85000000000002</v>
      </c>
      <c r="G47" s="313">
        <f>IF(LEN(USPS_Pri_Int_Base!G43)&gt;0,ROUND(USPS_Pri_Int_Base!G43*(1+PostalMarkup),2),"N/A")</f>
        <v>360.58</v>
      </c>
      <c r="H47" s="313">
        <f>IF(LEN(USPS_Pri_Int_Base!H43)&gt;0,ROUND(USPS_Pri_Int_Base!H43*(1+PostalMarkup),2),"N/A")</f>
        <v>386.75</v>
      </c>
      <c r="I47" s="313">
        <f>IF(LEN(USPS_Pri_Int_Base!I43)&gt;0,ROUND(USPS_Pri_Int_Base!I43*(1+PostalMarkup),2),"N/A")</f>
        <v>418.83</v>
      </c>
      <c r="J47" s="313">
        <f>IF(LEN(USPS_Pri_Int_Base!J43)&gt;0,ROUND(USPS_Pri_Int_Base!J43*(1+PostalMarkup),2),"N/A")</f>
        <v>452.7</v>
      </c>
      <c r="K47" s="313">
        <f>IF(LEN(USPS_Pri_Int_Base!K43)&gt;0,ROUND(USPS_Pri_Int_Base!K43*(1+PostalMarkup),2),"N/A")</f>
        <v>335.4</v>
      </c>
      <c r="L47" s="313">
        <f>IF(LEN(USPS_Pri_Int_Base!L43)&gt;0,ROUND(USPS_Pri_Int_Base!L43*(1+PostalMarkup),2),"N/A")</f>
        <v>381</v>
      </c>
      <c r="M47" s="313">
        <f>IF(LEN(USPS_Pri_Int_Base!M43)&gt;0,ROUND(USPS_Pri_Int_Base!M43*(1+PostalMarkup),2),"N/A")</f>
        <v>522.67999999999995</v>
      </c>
      <c r="N47" s="313">
        <f>IF(LEN(USPS_Pri_Int_Base!N43)&gt;0,ROUND(USPS_Pri_Int_Base!N43*(1+PostalMarkup),2),"N/A")</f>
        <v>374.84</v>
      </c>
      <c r="O47" s="313">
        <f>IF(LEN(USPS_Pri_Int_Base!O43)&gt;0,ROUND(USPS_Pri_Int_Base!O43*(1+PostalMarkup),2),"N/A")</f>
        <v>323.61</v>
      </c>
      <c r="P47" s="313">
        <f>IF(LEN(USPS_Pri_Int_Base!P43)&gt;0,ROUND(USPS_Pri_Int_Base!P43*(1+PostalMarkup),2),"N/A")</f>
        <v>273.36</v>
      </c>
      <c r="Q47" s="313">
        <f>IF(LEN(USPS_Pri_Int_Base!Q43)&gt;0,ROUND(USPS_Pri_Int_Base!Q43*(1+PostalMarkup),2),"N/A")</f>
        <v>301.82</v>
      </c>
      <c r="R47" s="313">
        <f>IF(LEN(USPS_Pri_Int_Base!R43)&gt;0,ROUND(USPS_Pri_Int_Base!R43*(1+PostalMarkup),2),"N/A")</f>
        <v>271.92</v>
      </c>
      <c r="S47" s="313">
        <f>IF(LEN(USPS_Pri_Int_Base!S43)&gt;0,ROUND(USPS_Pri_Int_Base!S43*(1+PostalMarkup),2),"N/A")</f>
        <v>297.10000000000002</v>
      </c>
      <c r="T47" s="313">
        <f>IF(LEN(USPS_Pri_Int_Base!T43)&gt;0,ROUND(USPS_Pri_Int_Base!T43*(1+PostalMarkup),2),"N/A")</f>
        <v>529.12</v>
      </c>
      <c r="U47" s="313">
        <f>IF(LEN(USPS_Pri_Int_Base!U43)&gt;0,ROUND(USPS_Pri_Int_Base!U43*(1+PostalMarkup),2),"N/A")</f>
        <v>307.91000000000003</v>
      </c>
    </row>
    <row r="48" spans="1:21" ht="12.75" customHeight="1">
      <c r="A48" s="312">
        <v>43</v>
      </c>
      <c r="B48" s="313">
        <f>IF(LEN(USPS_Pri_Int_Base!B44)&gt;0,ROUND(USPS_Pri_Int_Base!B44*(1+PostalMarkup),2),"N/A")</f>
        <v>239.49</v>
      </c>
      <c r="C48" s="313">
        <f>IF(LEN(USPS_Pri_Int_Base!C44)&gt;0,ROUND(USPS_Pri_Int_Base!C44*(1+PostalMarkup),2),"N/A")</f>
        <v>272.83999999999997</v>
      </c>
      <c r="D48" s="313">
        <f>IF(LEN(USPS_Pri_Int_Base!D44)&gt;0,ROUND(USPS_Pri_Int_Base!D44*(1+PostalMarkup),2),"N/A")</f>
        <v>371.85</v>
      </c>
      <c r="E48" s="313">
        <f>IF(LEN(USPS_Pri_Int_Base!E44)&gt;0,ROUND(USPS_Pri_Int_Base!E44*(1+PostalMarkup),2),"N/A")</f>
        <v>298.66000000000003</v>
      </c>
      <c r="F48" s="313">
        <f>IF(LEN(USPS_Pri_Int_Base!F44)&gt;0,ROUND(USPS_Pri_Int_Base!F44*(1+PostalMarkup),2),"N/A")</f>
        <v>306.13</v>
      </c>
      <c r="G48" s="313">
        <f>IF(LEN(USPS_Pri_Int_Base!G44)&gt;0,ROUND(USPS_Pri_Int_Base!G44*(1+PostalMarkup),2),"N/A")</f>
        <v>366.28</v>
      </c>
      <c r="H48" s="313">
        <f>IF(LEN(USPS_Pri_Int_Base!H44)&gt;0,ROUND(USPS_Pri_Int_Base!H44*(1+PostalMarkup),2),"N/A")</f>
        <v>391.81</v>
      </c>
      <c r="I48" s="313">
        <f>IF(LEN(USPS_Pri_Int_Base!I44)&gt;0,ROUND(USPS_Pri_Int_Base!I44*(1+PostalMarkup),2),"N/A")</f>
        <v>427.28</v>
      </c>
      <c r="J48" s="313">
        <f>IF(LEN(USPS_Pri_Int_Base!J44)&gt;0,ROUND(USPS_Pri_Int_Base!J44*(1+PostalMarkup),2),"N/A")</f>
        <v>461.84</v>
      </c>
      <c r="K48" s="313">
        <f>IF(LEN(USPS_Pri_Int_Base!K44)&gt;0,ROUND(USPS_Pri_Int_Base!K44*(1+PostalMarkup),2),"N/A")</f>
        <v>341.9</v>
      </c>
      <c r="L48" s="313">
        <f>IF(LEN(USPS_Pri_Int_Base!L44)&gt;0,ROUND(USPS_Pri_Int_Base!L44*(1+PostalMarkup),2),"N/A")</f>
        <v>388.59</v>
      </c>
      <c r="M48" s="313">
        <f>IF(LEN(USPS_Pri_Int_Base!M44)&gt;0,ROUND(USPS_Pri_Int_Base!M44*(1+PostalMarkup),2),"N/A")</f>
        <v>533.83000000000004</v>
      </c>
      <c r="N48" s="313">
        <f>IF(LEN(USPS_Pri_Int_Base!N44)&gt;0,ROUND(USPS_Pri_Int_Base!N44*(1+PostalMarkup),2),"N/A")</f>
        <v>379.44</v>
      </c>
      <c r="O48" s="313">
        <f>IF(LEN(USPS_Pri_Int_Base!O44)&gt;0,ROUND(USPS_Pri_Int_Base!O44*(1+PostalMarkup),2),"N/A")</f>
        <v>327.18</v>
      </c>
      <c r="P48" s="313">
        <f>IF(LEN(USPS_Pri_Int_Base!P44)&gt;0,ROUND(USPS_Pri_Int_Base!P44*(1+PostalMarkup),2),"N/A")</f>
        <v>276.81</v>
      </c>
      <c r="Q48" s="313">
        <f>IF(LEN(USPS_Pri_Int_Base!Q44)&gt;0,ROUND(USPS_Pri_Int_Base!Q44*(1+PostalMarkup),2),"N/A")</f>
        <v>304.87</v>
      </c>
      <c r="R48" s="313">
        <f>IF(LEN(USPS_Pri_Int_Base!R44)&gt;0,ROUND(USPS_Pri_Int_Base!R44*(1+PostalMarkup),2),"N/A")</f>
        <v>276.86</v>
      </c>
      <c r="S48" s="313">
        <f>IF(LEN(USPS_Pri_Int_Base!S44)&gt;0,ROUND(USPS_Pri_Int_Base!S44*(1+PostalMarkup),2),"N/A")</f>
        <v>302.39</v>
      </c>
      <c r="T48" s="313">
        <f>IF(LEN(USPS_Pri_Int_Base!T44)&gt;0,ROUND(USPS_Pri_Int_Base!T44*(1+PostalMarkup),2),"N/A")</f>
        <v>539.98</v>
      </c>
      <c r="U48" s="313">
        <f>IF(LEN(USPS_Pri_Int_Base!U44)&gt;0,ROUND(USPS_Pri_Int_Base!U44*(1+PostalMarkup),2),"N/A")</f>
        <v>312.97000000000003</v>
      </c>
    </row>
    <row r="49" spans="1:21" ht="12.75" customHeight="1">
      <c r="A49" s="312">
        <v>44</v>
      </c>
      <c r="B49" s="313">
        <f>IF(LEN(USPS_Pri_Int_Base!B45)&gt;0,ROUND(USPS_Pri_Int_Base!B45*(1+PostalMarkup),2),"N/A")</f>
        <v>244.55</v>
      </c>
      <c r="C49" s="313">
        <f>IF(LEN(USPS_Pri_Int_Base!C45)&gt;0,ROUND(USPS_Pri_Int_Base!C45*(1+PostalMarkup),2),"N/A")</f>
        <v>276</v>
      </c>
      <c r="D49" s="313">
        <f>IF(LEN(USPS_Pri_Int_Base!D45)&gt;0,ROUND(USPS_Pri_Int_Base!D45*(1+PostalMarkup),2),"N/A")</f>
        <v>379.04</v>
      </c>
      <c r="E49" s="313">
        <f>IF(LEN(USPS_Pri_Int_Base!E45)&gt;0,ROUND(USPS_Pri_Int_Base!E45*(1+PostalMarkup),2),"N/A")</f>
        <v>302.57</v>
      </c>
      <c r="F49" s="313">
        <f>IF(LEN(USPS_Pri_Int_Base!F45)&gt;0,ROUND(USPS_Pri_Int_Base!F45*(1+PostalMarkup),2),"N/A")</f>
        <v>310.20999999999998</v>
      </c>
      <c r="G49" s="313">
        <f>IF(LEN(USPS_Pri_Int_Base!G45)&gt;0,ROUND(USPS_Pri_Int_Base!G45*(1+PostalMarkup),2),"N/A")</f>
        <v>370.36</v>
      </c>
      <c r="H49" s="313">
        <f>IF(LEN(USPS_Pri_Int_Base!H45)&gt;0,ROUND(USPS_Pri_Int_Base!H45*(1+PostalMarkup),2),"N/A")</f>
        <v>399.17</v>
      </c>
      <c r="I49" s="313">
        <f>IF(LEN(USPS_Pri_Int_Base!I45)&gt;0,ROUND(USPS_Pri_Int_Base!I45*(1+PostalMarkup),2),"N/A")</f>
        <v>435.74</v>
      </c>
      <c r="J49" s="313">
        <f>IF(LEN(USPS_Pri_Int_Base!J45)&gt;0,ROUND(USPS_Pri_Int_Base!J45*(1+PostalMarkup),2),"N/A")</f>
        <v>471.04</v>
      </c>
      <c r="K49" s="313">
        <f>IF(LEN(USPS_Pri_Int_Base!K45)&gt;0,ROUND(USPS_Pri_Int_Base!K45*(1+PostalMarkup),2),"N/A")</f>
        <v>348.22</v>
      </c>
      <c r="L49" s="313">
        <f>IF(LEN(USPS_Pri_Int_Base!L45)&gt;0,ROUND(USPS_Pri_Int_Base!L45*(1+PostalMarkup),2),"N/A")</f>
        <v>396.12</v>
      </c>
      <c r="M49" s="313">
        <f>IF(LEN(USPS_Pri_Int_Base!M45)&gt;0,ROUND(USPS_Pri_Int_Base!M45*(1+PostalMarkup),2),"N/A")</f>
        <v>544.92999999999995</v>
      </c>
      <c r="N49" s="313">
        <f>IF(LEN(USPS_Pri_Int_Base!N45)&gt;0,ROUND(USPS_Pri_Int_Base!N45*(1+PostalMarkup),2),"N/A")</f>
        <v>384.5</v>
      </c>
      <c r="O49" s="313">
        <f>IF(LEN(USPS_Pri_Int_Base!O45)&gt;0,ROUND(USPS_Pri_Int_Base!O45*(1+PostalMarkup),2),"N/A")</f>
        <v>331.43</v>
      </c>
      <c r="P49" s="313">
        <f>IF(LEN(USPS_Pri_Int_Base!P45)&gt;0,ROUND(USPS_Pri_Int_Base!P45*(1+PostalMarkup),2),"N/A")</f>
        <v>279.74</v>
      </c>
      <c r="Q49" s="313">
        <f>IF(LEN(USPS_Pri_Int_Base!Q45)&gt;0,ROUND(USPS_Pri_Int_Base!Q45*(1+PostalMarkup),2),"N/A")</f>
        <v>308.37</v>
      </c>
      <c r="R49" s="313">
        <f>IF(LEN(USPS_Pri_Int_Base!R45)&gt;0,ROUND(USPS_Pri_Int_Base!R45*(1+PostalMarkup),2),"N/A")</f>
        <v>281.75</v>
      </c>
      <c r="S49" s="313">
        <f>IF(LEN(USPS_Pri_Int_Base!S45)&gt;0,ROUND(USPS_Pri_Int_Base!S45*(1+PostalMarkup),2),"N/A")</f>
        <v>307.63</v>
      </c>
      <c r="T49" s="313">
        <f>IF(LEN(USPS_Pri_Int_Base!T45)&gt;0,ROUND(USPS_Pri_Int_Base!T45*(1+PostalMarkup),2),"N/A")</f>
        <v>550.79</v>
      </c>
      <c r="U49" s="313">
        <f>IF(LEN(USPS_Pri_Int_Base!U45)&gt;0,ROUND(USPS_Pri_Int_Base!U45*(1+PostalMarkup),2),"N/A")</f>
        <v>318.72000000000003</v>
      </c>
    </row>
    <row r="50" spans="1:21" ht="12.75" customHeight="1">
      <c r="A50" s="312">
        <v>45</v>
      </c>
      <c r="B50" s="313">
        <f>IF(LEN(USPS_Pri_Int_Base!B46)&gt;0,ROUND(USPS_Pri_Int_Base!B46*(1+PostalMarkup),2),"N/A")</f>
        <v>249.61</v>
      </c>
      <c r="C50" s="313">
        <f>IF(LEN(USPS_Pri_Int_Base!C46)&gt;0,ROUND(USPS_Pri_Int_Base!C46*(1+PostalMarkup),2),"N/A")</f>
        <v>279.11</v>
      </c>
      <c r="D50" s="313">
        <f>IF(LEN(USPS_Pri_Int_Base!D46)&gt;0,ROUND(USPS_Pri_Int_Base!D46*(1+PostalMarkup),2),"N/A")</f>
        <v>386.11</v>
      </c>
      <c r="E50" s="313">
        <f>IF(LEN(USPS_Pri_Int_Base!E46)&gt;0,ROUND(USPS_Pri_Int_Base!E46*(1+PostalMarkup),2),"N/A")</f>
        <v>305.73</v>
      </c>
      <c r="F50" s="313">
        <f>IF(LEN(USPS_Pri_Int_Base!F46)&gt;0,ROUND(USPS_Pri_Int_Base!F46*(1+PostalMarkup),2),"N/A")</f>
        <v>313.55</v>
      </c>
      <c r="G50" s="313">
        <f>IF(LEN(USPS_Pri_Int_Base!G46)&gt;0,ROUND(USPS_Pri_Int_Base!G46*(1+PostalMarkup),2),"N/A")</f>
        <v>375.19</v>
      </c>
      <c r="H50" s="313">
        <f>IF(LEN(USPS_Pri_Int_Base!H46)&gt;0,ROUND(USPS_Pri_Int_Base!H46*(1+PostalMarkup),2),"N/A")</f>
        <v>402.44</v>
      </c>
      <c r="I50" s="313">
        <f>IF(LEN(USPS_Pri_Int_Base!I46)&gt;0,ROUND(USPS_Pri_Int_Base!I46*(1+PostalMarkup),2),"N/A")</f>
        <v>444.25</v>
      </c>
      <c r="J50" s="313">
        <f>IF(LEN(USPS_Pri_Int_Base!J46)&gt;0,ROUND(USPS_Pri_Int_Base!J46*(1+PostalMarkup),2),"N/A")</f>
        <v>480.24</v>
      </c>
      <c r="K50" s="313">
        <f>IF(LEN(USPS_Pri_Int_Base!K46)&gt;0,ROUND(USPS_Pri_Int_Base!K46*(1+PostalMarkup),2),"N/A")</f>
        <v>354.72</v>
      </c>
      <c r="L50" s="313">
        <f>IF(LEN(USPS_Pri_Int_Base!L46)&gt;0,ROUND(USPS_Pri_Int_Base!L46*(1+PostalMarkup),2),"N/A")</f>
        <v>403.71</v>
      </c>
      <c r="M50" s="313">
        <f>IF(LEN(USPS_Pri_Int_Base!M46)&gt;0,ROUND(USPS_Pri_Int_Base!M46*(1+PostalMarkup),2),"N/A")</f>
        <v>556.03</v>
      </c>
      <c r="N50" s="313">
        <f>IF(LEN(USPS_Pri_Int_Base!N46)&gt;0,ROUND(USPS_Pri_Int_Base!N46*(1+PostalMarkup),2),"N/A")</f>
        <v>389.1</v>
      </c>
      <c r="O50" s="313">
        <f>IF(LEN(USPS_Pri_Int_Base!O46)&gt;0,ROUND(USPS_Pri_Int_Base!O46*(1+PostalMarkup),2),"N/A")</f>
        <v>335.17</v>
      </c>
      <c r="P50" s="313">
        <f>IF(LEN(USPS_Pri_Int_Base!P46)&gt;0,ROUND(USPS_Pri_Int_Base!P46*(1+PostalMarkup),2),"N/A")</f>
        <v>282.95999999999998</v>
      </c>
      <c r="Q50" s="313">
        <f>IF(LEN(USPS_Pri_Int_Base!Q46)&gt;0,ROUND(USPS_Pri_Int_Base!Q46*(1+PostalMarkup),2),"N/A")</f>
        <v>311.88</v>
      </c>
      <c r="R50" s="313">
        <f>IF(LEN(USPS_Pri_Int_Base!R46)&gt;0,ROUND(USPS_Pri_Int_Base!R46*(1+PostalMarkup),2),"N/A")</f>
        <v>286.64</v>
      </c>
      <c r="S50" s="313">
        <f>IF(LEN(USPS_Pri_Int_Base!S46)&gt;0,ROUND(USPS_Pri_Int_Base!S46*(1+PostalMarkup),2),"N/A")</f>
        <v>312.86</v>
      </c>
      <c r="T50" s="313" t="str">
        <f>IF(LEN(USPS_Pri_Int_Base!T46)&gt;0,ROUND(USPS_Pri_Int_Base!T46*(1+PostalMarkup),2),"N/A")</f>
        <v>N/A</v>
      </c>
      <c r="U50" s="313">
        <f>IF(LEN(USPS_Pri_Int_Base!U46)&gt;0,ROUND(USPS_Pri_Int_Base!U46*(1+PostalMarkup),2),"N/A")</f>
        <v>324.47000000000003</v>
      </c>
    </row>
    <row r="51" spans="1:21" ht="12.75" customHeight="1">
      <c r="A51" s="312">
        <v>46</v>
      </c>
      <c r="B51" s="313">
        <f>IF(LEN(USPS_Pri_Int_Base!B47)&gt;0,ROUND(USPS_Pri_Int_Base!B47*(1+PostalMarkup),2),"N/A")</f>
        <v>254.09</v>
      </c>
      <c r="C51" s="313">
        <f>IF(LEN(USPS_Pri_Int_Base!C47)&gt;0,ROUND(USPS_Pri_Int_Base!C47*(1+PostalMarkup),2),"N/A")</f>
        <v>282.44</v>
      </c>
      <c r="D51" s="313">
        <f>IF(LEN(USPS_Pri_Int_Base!D47)&gt;0,ROUND(USPS_Pri_Int_Base!D47*(1+PostalMarkup),2),"N/A")</f>
        <v>393.3</v>
      </c>
      <c r="E51" s="313">
        <f>IF(LEN(USPS_Pri_Int_Base!E47)&gt;0,ROUND(USPS_Pri_Int_Base!E47*(1+PostalMarkup),2),"N/A")</f>
        <v>309.12</v>
      </c>
      <c r="F51" s="313">
        <f>IF(LEN(USPS_Pri_Int_Base!F47)&gt;0,ROUND(USPS_Pri_Int_Base!F47*(1+PostalMarkup),2),"N/A")</f>
        <v>317.06</v>
      </c>
      <c r="G51" s="313">
        <f>IF(LEN(USPS_Pri_Int_Base!G47)&gt;0,ROUND(USPS_Pri_Int_Base!G47*(1+PostalMarkup),2),"N/A")</f>
        <v>378.7</v>
      </c>
      <c r="H51" s="313">
        <f>IF(LEN(USPS_Pri_Int_Base!H47)&gt;0,ROUND(USPS_Pri_Int_Base!H47*(1+PostalMarkup),2),"N/A")</f>
        <v>407.22</v>
      </c>
      <c r="I51" s="313">
        <f>IF(LEN(USPS_Pri_Int_Base!I47)&gt;0,ROUND(USPS_Pri_Int_Base!I47*(1+PostalMarkup),2),"N/A")</f>
        <v>452.7</v>
      </c>
      <c r="J51" s="313">
        <f>IF(LEN(USPS_Pri_Int_Base!J47)&gt;0,ROUND(USPS_Pri_Int_Base!J47*(1+PostalMarkup),2),"N/A")</f>
        <v>489.33</v>
      </c>
      <c r="K51" s="313">
        <f>IF(LEN(USPS_Pri_Int_Base!K47)&gt;0,ROUND(USPS_Pri_Int_Base!K47*(1+PostalMarkup),2),"N/A")</f>
        <v>361.1</v>
      </c>
      <c r="L51" s="313">
        <f>IF(LEN(USPS_Pri_Int_Base!L47)&gt;0,ROUND(USPS_Pri_Int_Base!L47*(1+PostalMarkup),2),"N/A")</f>
        <v>411.3</v>
      </c>
      <c r="M51" s="313">
        <f>IF(LEN(USPS_Pri_Int_Base!M47)&gt;0,ROUND(USPS_Pri_Int_Base!M47*(1+PostalMarkup),2),"N/A")</f>
        <v>567.17999999999995</v>
      </c>
      <c r="N51" s="313">
        <f>IF(LEN(USPS_Pri_Int_Base!N47)&gt;0,ROUND(USPS_Pri_Int_Base!N47*(1+PostalMarkup),2),"N/A")</f>
        <v>393.93</v>
      </c>
      <c r="O51" s="313">
        <f>IF(LEN(USPS_Pri_Int_Base!O47)&gt;0,ROUND(USPS_Pri_Int_Base!O47*(1+PostalMarkup),2),"N/A")</f>
        <v>339.65</v>
      </c>
      <c r="P51" s="313">
        <f>IF(LEN(USPS_Pri_Int_Base!P47)&gt;0,ROUND(USPS_Pri_Int_Base!P47*(1+PostalMarkup),2),"N/A")</f>
        <v>287.20999999999998</v>
      </c>
      <c r="Q51" s="313">
        <f>IF(LEN(USPS_Pri_Int_Base!Q47)&gt;0,ROUND(USPS_Pri_Int_Base!Q47*(1+PostalMarkup),2),"N/A")</f>
        <v>315.10000000000002</v>
      </c>
      <c r="R51" s="313">
        <f>IF(LEN(USPS_Pri_Int_Base!R47)&gt;0,ROUND(USPS_Pri_Int_Base!R47*(1+PostalMarkup),2),"N/A")</f>
        <v>291.58</v>
      </c>
      <c r="S51" s="313">
        <f>IF(LEN(USPS_Pri_Int_Base!S47)&gt;0,ROUND(USPS_Pri_Int_Base!S47*(1+PostalMarkup),2),"N/A")</f>
        <v>318.32</v>
      </c>
      <c r="T51" s="313" t="str">
        <f>IF(LEN(USPS_Pri_Int_Base!T47)&gt;0,ROUND(USPS_Pri_Int_Base!T47*(1+PostalMarkup),2),"N/A")</f>
        <v>N/A</v>
      </c>
      <c r="U51" s="313">
        <f>IF(LEN(USPS_Pri_Int_Base!U47)&gt;0,ROUND(USPS_Pri_Int_Base!U47*(1+PostalMarkup),2),"N/A")</f>
        <v>330.22</v>
      </c>
    </row>
    <row r="52" spans="1:21" ht="12.75" customHeight="1">
      <c r="A52" s="312">
        <v>47</v>
      </c>
      <c r="B52" s="313">
        <f>IF(LEN(USPS_Pri_Int_Base!B48)&gt;0,ROUND(USPS_Pri_Int_Base!B48*(1+PostalMarkup),2),"N/A")</f>
        <v>259.10000000000002</v>
      </c>
      <c r="C52" s="313">
        <f>IF(LEN(USPS_Pri_Int_Base!C48)&gt;0,ROUND(USPS_Pri_Int_Base!C48*(1+PostalMarkup),2),"N/A")</f>
        <v>285.49</v>
      </c>
      <c r="D52" s="313">
        <f>IF(LEN(USPS_Pri_Int_Base!D48)&gt;0,ROUND(USPS_Pri_Int_Base!D48*(1+PostalMarkup),2),"N/A")</f>
        <v>400.43</v>
      </c>
      <c r="E52" s="313">
        <f>IF(LEN(USPS_Pri_Int_Base!E48)&gt;0,ROUND(USPS_Pri_Int_Base!E48*(1+PostalMarkup),2),"N/A")</f>
        <v>312.45999999999998</v>
      </c>
      <c r="F52" s="313">
        <f>IF(LEN(USPS_Pri_Int_Base!F48)&gt;0,ROUND(USPS_Pri_Int_Base!F48*(1+PostalMarkup),2),"N/A")</f>
        <v>321.37</v>
      </c>
      <c r="G52" s="313">
        <f>IF(LEN(USPS_Pri_Int_Base!G48)&gt;0,ROUND(USPS_Pri_Int_Base!G48*(1+PostalMarkup),2),"N/A")</f>
        <v>385.65</v>
      </c>
      <c r="H52" s="313">
        <f>IF(LEN(USPS_Pri_Int_Base!H48)&gt;0,ROUND(USPS_Pri_Int_Base!H48*(1+PostalMarkup),2),"N/A")</f>
        <v>412.68</v>
      </c>
      <c r="I52" s="313">
        <f>IF(LEN(USPS_Pri_Int_Base!I48)&gt;0,ROUND(USPS_Pri_Int_Base!I48*(1+PostalMarkup),2),"N/A")</f>
        <v>461.21</v>
      </c>
      <c r="J52" s="313">
        <f>IF(LEN(USPS_Pri_Int_Base!J48)&gt;0,ROUND(USPS_Pri_Int_Base!J48*(1+PostalMarkup),2),"N/A")</f>
        <v>498.53</v>
      </c>
      <c r="K52" s="313">
        <f>IF(LEN(USPS_Pri_Int_Base!K48)&gt;0,ROUND(USPS_Pri_Int_Base!K48*(1+PostalMarkup),2),"N/A")</f>
        <v>367.6</v>
      </c>
      <c r="L52" s="313">
        <f>IF(LEN(USPS_Pri_Int_Base!L48)&gt;0,ROUND(USPS_Pri_Int_Base!L48*(1+PostalMarkup),2),"N/A")</f>
        <v>418.89</v>
      </c>
      <c r="M52" s="313">
        <f>IF(LEN(USPS_Pri_Int_Base!M48)&gt;0,ROUND(USPS_Pri_Int_Base!M48*(1+PostalMarkup),2),"N/A")</f>
        <v>578.28</v>
      </c>
      <c r="N52" s="313">
        <f>IF(LEN(USPS_Pri_Int_Base!N48)&gt;0,ROUND(USPS_Pri_Int_Base!N48*(1+PostalMarkup),2),"N/A")</f>
        <v>397.38</v>
      </c>
      <c r="O52" s="313">
        <f>IF(LEN(USPS_Pri_Int_Base!O48)&gt;0,ROUND(USPS_Pri_Int_Base!O48*(1+PostalMarkup),2),"N/A")</f>
        <v>343.33</v>
      </c>
      <c r="P52" s="313">
        <f>IF(LEN(USPS_Pri_Int_Base!P48)&gt;0,ROUND(USPS_Pri_Int_Base!P48*(1+PostalMarkup),2),"N/A")</f>
        <v>292.04000000000002</v>
      </c>
      <c r="Q52" s="313">
        <f>IF(LEN(USPS_Pri_Int_Base!Q48)&gt;0,ROUND(USPS_Pri_Int_Base!Q48*(1+PostalMarkup),2),"N/A")</f>
        <v>317.75</v>
      </c>
      <c r="R52" s="313">
        <f>IF(LEN(USPS_Pri_Int_Base!R48)&gt;0,ROUND(USPS_Pri_Int_Base!R48*(1+PostalMarkup),2),"N/A")</f>
        <v>296.47000000000003</v>
      </c>
      <c r="S52" s="313">
        <f>IF(LEN(USPS_Pri_Int_Base!S48)&gt;0,ROUND(USPS_Pri_Int_Base!S48*(1+PostalMarkup),2),"N/A")</f>
        <v>323.55</v>
      </c>
      <c r="T52" s="313" t="str">
        <f>IF(LEN(USPS_Pri_Int_Base!T48)&gt;0,ROUND(USPS_Pri_Int_Base!T48*(1+PostalMarkup),2),"N/A")</f>
        <v>N/A</v>
      </c>
      <c r="U52" s="313">
        <f>IF(LEN(USPS_Pri_Int_Base!U48)&gt;0,ROUND(USPS_Pri_Int_Base!U48*(1+PostalMarkup),2),"N/A")</f>
        <v>335.92</v>
      </c>
    </row>
    <row r="53" spans="1:21" ht="12.75" customHeight="1">
      <c r="A53" s="312">
        <v>48</v>
      </c>
      <c r="B53" s="313">
        <f>IF(LEN(USPS_Pri_Int_Base!B49)&gt;0,ROUND(USPS_Pri_Int_Base!B49*(1+PostalMarkup),2),"N/A")</f>
        <v>263.75</v>
      </c>
      <c r="C53" s="313">
        <f>IF(LEN(USPS_Pri_Int_Base!C49)&gt;0,ROUND(USPS_Pri_Int_Base!C49*(1+PostalMarkup),2),"N/A")</f>
        <v>288.70999999999998</v>
      </c>
      <c r="D53" s="313">
        <f>IF(LEN(USPS_Pri_Int_Base!D49)&gt;0,ROUND(USPS_Pri_Int_Base!D49*(1+PostalMarkup),2),"N/A")</f>
        <v>407.62</v>
      </c>
      <c r="E53" s="313">
        <f>IF(LEN(USPS_Pri_Int_Base!E49)&gt;0,ROUND(USPS_Pri_Int_Base!E49*(1+PostalMarkup),2),"N/A")</f>
        <v>316.14</v>
      </c>
      <c r="F53" s="313">
        <f>IF(LEN(USPS_Pri_Int_Base!F49)&gt;0,ROUND(USPS_Pri_Int_Base!F49*(1+PostalMarkup),2),"N/A")</f>
        <v>326.83</v>
      </c>
      <c r="G53" s="313">
        <f>IF(LEN(USPS_Pri_Int_Base!G49)&gt;0,ROUND(USPS_Pri_Int_Base!G49*(1+PostalMarkup),2),"N/A")</f>
        <v>392.73</v>
      </c>
      <c r="H53" s="313">
        <f>IF(LEN(USPS_Pri_Int_Base!H49)&gt;0,ROUND(USPS_Pri_Int_Base!H49*(1+PostalMarkup),2),"N/A")</f>
        <v>417.57</v>
      </c>
      <c r="I53" s="313">
        <f>IF(LEN(USPS_Pri_Int_Base!I49)&gt;0,ROUND(USPS_Pri_Int_Base!I49*(1+PostalMarkup),2),"N/A")</f>
        <v>469.72</v>
      </c>
      <c r="J53" s="313">
        <f>IF(LEN(USPS_Pri_Int_Base!J49)&gt;0,ROUND(USPS_Pri_Int_Base!J49*(1+PostalMarkup),2),"N/A")</f>
        <v>507.67</v>
      </c>
      <c r="K53" s="313">
        <f>IF(LEN(USPS_Pri_Int_Base!K49)&gt;0,ROUND(USPS_Pri_Int_Base!K49*(1+PostalMarkup),2),"N/A")</f>
        <v>373.92</v>
      </c>
      <c r="L53" s="313">
        <f>IF(LEN(USPS_Pri_Int_Base!L49)&gt;0,ROUND(USPS_Pri_Int_Base!L49*(1+PostalMarkup),2),"N/A")</f>
        <v>426.48</v>
      </c>
      <c r="M53" s="313">
        <f>IF(LEN(USPS_Pri_Int_Base!M49)&gt;0,ROUND(USPS_Pri_Int_Base!M49*(1+PostalMarkup),2),"N/A")</f>
        <v>589.38</v>
      </c>
      <c r="N53" s="313">
        <f>IF(LEN(USPS_Pri_Int_Base!N49)&gt;0,ROUND(USPS_Pri_Int_Base!N49*(1+PostalMarkup),2),"N/A")</f>
        <v>402.1</v>
      </c>
      <c r="O53" s="313">
        <f>IF(LEN(USPS_Pri_Int_Base!O49)&gt;0,ROUND(USPS_Pri_Int_Base!O49*(1+PostalMarkup),2),"N/A")</f>
        <v>346.84</v>
      </c>
      <c r="P53" s="313">
        <f>IF(LEN(USPS_Pri_Int_Base!P49)&gt;0,ROUND(USPS_Pri_Int_Base!P49*(1+PostalMarkup),2),"N/A")</f>
        <v>296.87</v>
      </c>
      <c r="Q53" s="313">
        <f>IF(LEN(USPS_Pri_Int_Base!Q49)&gt;0,ROUND(USPS_Pri_Int_Base!Q49*(1+PostalMarkup),2),"N/A")</f>
        <v>320.85000000000002</v>
      </c>
      <c r="R53" s="313">
        <f>IF(LEN(USPS_Pri_Int_Base!R49)&gt;0,ROUND(USPS_Pri_Int_Base!R49*(1+PostalMarkup),2),"N/A")</f>
        <v>301.36</v>
      </c>
      <c r="S53" s="313">
        <f>IF(LEN(USPS_Pri_Int_Base!S49)&gt;0,ROUND(USPS_Pri_Int_Base!S49*(1+PostalMarkup),2),"N/A")</f>
        <v>328.79</v>
      </c>
      <c r="T53" s="313" t="str">
        <f>IF(LEN(USPS_Pri_Int_Base!T49)&gt;0,ROUND(USPS_Pri_Int_Base!T49*(1+PostalMarkup),2),"N/A")</f>
        <v>N/A</v>
      </c>
      <c r="U53" s="313">
        <f>IF(LEN(USPS_Pri_Int_Base!U49)&gt;0,ROUND(USPS_Pri_Int_Base!U49*(1+PostalMarkup),2),"N/A")</f>
        <v>341.67</v>
      </c>
    </row>
    <row r="54" spans="1:21" ht="12.75" customHeight="1">
      <c r="A54" s="312">
        <v>49</v>
      </c>
      <c r="B54" s="313">
        <f>IF(LEN(USPS_Pri_Int_Base!B50)&gt;0,ROUND(USPS_Pri_Int_Base!B50*(1+PostalMarkup),2),"N/A")</f>
        <v>269.04000000000002</v>
      </c>
      <c r="C54" s="313">
        <f>IF(LEN(USPS_Pri_Int_Base!C50)&gt;0,ROUND(USPS_Pri_Int_Base!C50*(1+PostalMarkup),2),"N/A")</f>
        <v>291.47000000000003</v>
      </c>
      <c r="D54" s="313">
        <f>IF(LEN(USPS_Pri_Int_Base!D50)&gt;0,ROUND(USPS_Pri_Int_Base!D50*(1+PostalMarkup),2),"N/A")</f>
        <v>414.75</v>
      </c>
      <c r="E54" s="313">
        <f>IF(LEN(USPS_Pri_Int_Base!E50)&gt;0,ROUND(USPS_Pri_Int_Base!E50*(1+PostalMarkup),2),"N/A")</f>
        <v>319.13</v>
      </c>
      <c r="F54" s="313">
        <f>IF(LEN(USPS_Pri_Int_Base!F50)&gt;0,ROUND(USPS_Pri_Int_Base!F50*(1+PostalMarkup),2),"N/A")</f>
        <v>332.29</v>
      </c>
      <c r="G54" s="313">
        <f>IF(LEN(USPS_Pri_Int_Base!G50)&gt;0,ROUND(USPS_Pri_Int_Base!G50*(1+PostalMarkup),2),"N/A")</f>
        <v>399.8</v>
      </c>
      <c r="H54" s="313">
        <f>IF(LEN(USPS_Pri_Int_Base!H50)&gt;0,ROUND(USPS_Pri_Int_Base!H50*(1+PostalMarkup),2),"N/A")</f>
        <v>421.82</v>
      </c>
      <c r="I54" s="313">
        <f>IF(LEN(USPS_Pri_Int_Base!I50)&gt;0,ROUND(USPS_Pri_Int_Base!I50*(1+PostalMarkup),2),"N/A")</f>
        <v>478.17</v>
      </c>
      <c r="J54" s="313">
        <f>IF(LEN(USPS_Pri_Int_Base!J50)&gt;0,ROUND(USPS_Pri_Int_Base!J50*(1+PostalMarkup),2),"N/A")</f>
        <v>516.75</v>
      </c>
      <c r="K54" s="313">
        <f>IF(LEN(USPS_Pri_Int_Base!K50)&gt;0,ROUND(USPS_Pri_Int_Base!K50*(1+PostalMarkup),2),"N/A")</f>
        <v>380.42</v>
      </c>
      <c r="L54" s="313">
        <f>IF(LEN(USPS_Pri_Int_Base!L50)&gt;0,ROUND(USPS_Pri_Int_Base!L50*(1+PostalMarkup),2),"N/A")</f>
        <v>434.07</v>
      </c>
      <c r="M54" s="313">
        <f>IF(LEN(USPS_Pri_Int_Base!M50)&gt;0,ROUND(USPS_Pri_Int_Base!M50*(1+PostalMarkup),2),"N/A")</f>
        <v>600.53</v>
      </c>
      <c r="N54" s="313">
        <f>IF(LEN(USPS_Pri_Int_Base!N50)&gt;0,ROUND(USPS_Pri_Int_Base!N50*(1+PostalMarkup),2),"N/A")</f>
        <v>407.62</v>
      </c>
      <c r="O54" s="313">
        <f>IF(LEN(USPS_Pri_Int_Base!O50)&gt;0,ROUND(USPS_Pri_Int_Base!O50*(1+PostalMarkup),2),"N/A")</f>
        <v>350.64</v>
      </c>
      <c r="P54" s="313">
        <f>IF(LEN(USPS_Pri_Int_Base!P50)&gt;0,ROUND(USPS_Pri_Int_Base!P50*(1+PostalMarkup),2),"N/A")</f>
        <v>301.7</v>
      </c>
      <c r="Q54" s="313">
        <f>IF(LEN(USPS_Pri_Int_Base!Q50)&gt;0,ROUND(USPS_Pri_Int_Base!Q50*(1+PostalMarkup),2),"N/A")</f>
        <v>325.57</v>
      </c>
      <c r="R54" s="313">
        <f>IF(LEN(USPS_Pri_Int_Base!R50)&gt;0,ROUND(USPS_Pri_Int_Base!R50*(1+PostalMarkup),2),"N/A")</f>
        <v>306.3</v>
      </c>
      <c r="S54" s="313">
        <f>IF(LEN(USPS_Pri_Int_Base!S50)&gt;0,ROUND(USPS_Pri_Int_Base!S50*(1+PostalMarkup),2),"N/A")</f>
        <v>334.08</v>
      </c>
      <c r="T54" s="313" t="str">
        <f>IF(LEN(USPS_Pri_Int_Base!T50)&gt;0,ROUND(USPS_Pri_Int_Base!T50*(1+PostalMarkup),2),"N/A")</f>
        <v>N/A</v>
      </c>
      <c r="U54" s="313">
        <f>IF(LEN(USPS_Pri_Int_Base!U50)&gt;0,ROUND(USPS_Pri_Int_Base!U50*(1+PostalMarkup),2),"N/A")</f>
        <v>347.42</v>
      </c>
    </row>
    <row r="55" spans="1:21" ht="12.75" customHeight="1">
      <c r="A55" s="312">
        <v>50</v>
      </c>
      <c r="B55" s="313">
        <f>IF(LEN(USPS_Pri_Int_Base!B51)&gt;0,ROUND(USPS_Pri_Int_Base!B51*(1+PostalMarkup),2),"N/A")</f>
        <v>273.76</v>
      </c>
      <c r="C55" s="313">
        <f>IF(LEN(USPS_Pri_Int_Base!C51)&gt;0,ROUND(USPS_Pri_Int_Base!C51*(1+PostalMarkup),2),"N/A")</f>
        <v>294.8</v>
      </c>
      <c r="D55" s="313">
        <f>IF(LEN(USPS_Pri_Int_Base!D51)&gt;0,ROUND(USPS_Pri_Int_Base!D51*(1+PostalMarkup),2),"N/A")</f>
        <v>421.94</v>
      </c>
      <c r="E55" s="313">
        <f>IF(LEN(USPS_Pri_Int_Base!E51)&gt;0,ROUND(USPS_Pri_Int_Base!E51*(1+PostalMarkup),2),"N/A")</f>
        <v>322.58</v>
      </c>
      <c r="F55" s="313">
        <f>IF(LEN(USPS_Pri_Int_Base!F51)&gt;0,ROUND(USPS_Pri_Int_Base!F51*(1+PostalMarkup),2),"N/A")</f>
        <v>337.76</v>
      </c>
      <c r="G55" s="313">
        <f>IF(LEN(USPS_Pri_Int_Base!G51)&gt;0,ROUND(USPS_Pri_Int_Base!G51*(1+PostalMarkup),2),"N/A")</f>
        <v>406.87</v>
      </c>
      <c r="H55" s="313">
        <f>IF(LEN(USPS_Pri_Int_Base!H51)&gt;0,ROUND(USPS_Pri_Int_Base!H51*(1+PostalMarkup),2),"N/A")</f>
        <v>425.1</v>
      </c>
      <c r="I55" s="313">
        <f>IF(LEN(USPS_Pri_Int_Base!I51)&gt;0,ROUND(USPS_Pri_Int_Base!I51*(1+PostalMarkup),2),"N/A")</f>
        <v>486.57</v>
      </c>
      <c r="J55" s="313">
        <f>IF(LEN(USPS_Pri_Int_Base!J51)&gt;0,ROUND(USPS_Pri_Int_Base!J51*(1+PostalMarkup),2),"N/A")</f>
        <v>525.95000000000005</v>
      </c>
      <c r="K55" s="313">
        <f>IF(LEN(USPS_Pri_Int_Base!K51)&gt;0,ROUND(USPS_Pri_Int_Base!K51*(1+PostalMarkup),2),"N/A")</f>
        <v>386.75</v>
      </c>
      <c r="L55" s="313">
        <f>IF(LEN(USPS_Pri_Int_Base!L51)&gt;0,ROUND(USPS_Pri_Int_Base!L51*(1+PostalMarkup),2),"N/A")</f>
        <v>441.66</v>
      </c>
      <c r="M55" s="313">
        <f>IF(LEN(USPS_Pri_Int_Base!M51)&gt;0,ROUND(USPS_Pri_Int_Base!M51*(1+PostalMarkup),2),"N/A")</f>
        <v>611.63</v>
      </c>
      <c r="N55" s="313">
        <f>IF(LEN(USPS_Pri_Int_Base!N51)&gt;0,ROUND(USPS_Pri_Int_Base!N51*(1+PostalMarkup),2),"N/A")</f>
        <v>411.47</v>
      </c>
      <c r="O55" s="313">
        <f>IF(LEN(USPS_Pri_Int_Base!O51)&gt;0,ROUND(USPS_Pri_Int_Base!O51*(1+PostalMarkup),2),"N/A")</f>
        <v>356.04</v>
      </c>
      <c r="P55" s="313">
        <f>IF(LEN(USPS_Pri_Int_Base!P51)&gt;0,ROUND(USPS_Pri_Int_Base!P51*(1+PostalMarkup),2),"N/A")</f>
        <v>306.58999999999997</v>
      </c>
      <c r="Q55" s="313">
        <f>IF(LEN(USPS_Pri_Int_Base!Q51)&gt;0,ROUND(USPS_Pri_Int_Base!Q51*(1+PostalMarkup),2),"N/A")</f>
        <v>330.8</v>
      </c>
      <c r="R55" s="313">
        <f>IF(LEN(USPS_Pri_Int_Base!R51)&gt;0,ROUND(USPS_Pri_Int_Base!R51*(1+PostalMarkup),2),"N/A")</f>
        <v>311.19</v>
      </c>
      <c r="S55" s="313">
        <f>IF(LEN(USPS_Pri_Int_Base!S51)&gt;0,ROUND(USPS_Pri_Int_Base!S51*(1+PostalMarkup),2),"N/A")</f>
        <v>339.31</v>
      </c>
      <c r="T55" s="313" t="str">
        <f>IF(LEN(USPS_Pri_Int_Base!T51)&gt;0,ROUND(USPS_Pri_Int_Base!T51*(1+PostalMarkup),2),"N/A")</f>
        <v>N/A</v>
      </c>
      <c r="U55" s="313">
        <f>IF(LEN(USPS_Pri_Int_Base!U51)&gt;0,ROUND(USPS_Pri_Int_Base!U51*(1+PostalMarkup),2),"N/A")</f>
        <v>353.11</v>
      </c>
    </row>
    <row r="56" spans="1:21" ht="12.75" customHeight="1">
      <c r="A56" s="312">
        <v>51</v>
      </c>
      <c r="B56" s="313">
        <f>IF(LEN(USPS_Pri_Int_Base!B52)&gt;0,ROUND(USPS_Pri_Int_Base!B52*(1+PostalMarkup),2),"N/A")</f>
        <v>278.07</v>
      </c>
      <c r="C56" s="313">
        <f>IF(LEN(USPS_Pri_Int_Base!C52)&gt;0,ROUND(USPS_Pri_Int_Base!C52*(1+PostalMarkup),2),"N/A")</f>
        <v>299.35000000000002</v>
      </c>
      <c r="D56" s="313">
        <f>IF(LEN(USPS_Pri_Int_Base!D52)&gt;0,ROUND(USPS_Pri_Int_Base!D52*(1+PostalMarkup),2),"N/A")</f>
        <v>429.01</v>
      </c>
      <c r="E56" s="313">
        <f>IF(LEN(USPS_Pri_Int_Base!E52)&gt;0,ROUND(USPS_Pri_Int_Base!E52*(1+PostalMarkup),2),"N/A")</f>
        <v>327.45999999999998</v>
      </c>
      <c r="F56" s="313">
        <f>IF(LEN(USPS_Pri_Int_Base!F52)&gt;0,ROUND(USPS_Pri_Int_Base!F52*(1+PostalMarkup),2),"N/A")</f>
        <v>343.22</v>
      </c>
      <c r="G56" s="313">
        <f>IF(LEN(USPS_Pri_Int_Base!G52)&gt;0,ROUND(USPS_Pri_Int_Base!G52*(1+PostalMarkup),2),"N/A")</f>
        <v>413.94</v>
      </c>
      <c r="H56" s="313">
        <f>IF(LEN(USPS_Pri_Int_Base!H52)&gt;0,ROUND(USPS_Pri_Int_Base!H52*(1+PostalMarkup),2),"N/A")</f>
        <v>432.92</v>
      </c>
      <c r="I56" s="313">
        <f>IF(LEN(USPS_Pri_Int_Base!I52)&gt;0,ROUND(USPS_Pri_Int_Base!I52*(1+PostalMarkup),2),"N/A")</f>
        <v>495.08</v>
      </c>
      <c r="J56" s="313">
        <f>IF(LEN(USPS_Pri_Int_Base!J52)&gt;0,ROUND(USPS_Pri_Int_Base!J52*(1+PostalMarkup),2),"N/A")</f>
        <v>535.15</v>
      </c>
      <c r="K56" s="313">
        <f>IF(LEN(USPS_Pri_Int_Base!K52)&gt;0,ROUND(USPS_Pri_Int_Base!K52*(1+PostalMarkup),2),"N/A")</f>
        <v>393.13</v>
      </c>
      <c r="L56" s="313">
        <f>IF(LEN(USPS_Pri_Int_Base!L52)&gt;0,ROUND(USPS_Pri_Int_Base!L52*(1+PostalMarkup),2),"N/A")</f>
        <v>449.25</v>
      </c>
      <c r="M56" s="313">
        <f>IF(LEN(USPS_Pri_Int_Base!M52)&gt;0,ROUND(USPS_Pri_Int_Base!M52*(1+PostalMarkup),2),"N/A")</f>
        <v>622.73</v>
      </c>
      <c r="N56" s="313">
        <f>IF(LEN(USPS_Pri_Int_Base!N52)&gt;0,ROUND(USPS_Pri_Int_Base!N52*(1+PostalMarkup),2),"N/A")</f>
        <v>418.03</v>
      </c>
      <c r="O56" s="313">
        <f>IF(LEN(USPS_Pri_Int_Base!O52)&gt;0,ROUND(USPS_Pri_Int_Base!O52*(1+PostalMarkup),2),"N/A")</f>
        <v>361.73</v>
      </c>
      <c r="P56" s="313">
        <f>IF(LEN(USPS_Pri_Int_Base!P52)&gt;0,ROUND(USPS_Pri_Int_Base!P52*(1+PostalMarkup),2),"N/A")</f>
        <v>307.86</v>
      </c>
      <c r="Q56" s="313">
        <f>IF(LEN(USPS_Pri_Int_Base!Q52)&gt;0,ROUND(USPS_Pri_Int_Base!Q52*(1+PostalMarkup),2),"N/A")</f>
        <v>336.03</v>
      </c>
      <c r="R56" s="313">
        <f>IF(LEN(USPS_Pri_Int_Base!R52)&gt;0,ROUND(USPS_Pri_Int_Base!R52*(1+PostalMarkup),2),"N/A")</f>
        <v>316.14</v>
      </c>
      <c r="S56" s="313">
        <f>IF(LEN(USPS_Pri_Int_Base!S52)&gt;0,ROUND(USPS_Pri_Int_Base!S52*(1+PostalMarkup),2),"N/A")</f>
        <v>344.6</v>
      </c>
      <c r="T56" s="313" t="str">
        <f>IF(LEN(USPS_Pri_Int_Base!T52)&gt;0,ROUND(USPS_Pri_Int_Base!T52*(1+PostalMarkup),2),"N/A")</f>
        <v>N/A</v>
      </c>
      <c r="U56" s="313">
        <f>IF(LEN(USPS_Pri_Int_Base!U52)&gt;0,ROUND(USPS_Pri_Int_Base!U52*(1+PostalMarkup),2),"N/A")</f>
        <v>358.86</v>
      </c>
    </row>
    <row r="57" spans="1:21" ht="12.75" customHeight="1">
      <c r="A57" s="312">
        <v>52</v>
      </c>
      <c r="B57" s="313">
        <f>IF(LEN(USPS_Pri_Int_Base!B53)&gt;0,ROUND(USPS_Pri_Int_Base!B53*(1+PostalMarkup),2),"N/A")</f>
        <v>283.19</v>
      </c>
      <c r="C57" s="313">
        <f>IF(LEN(USPS_Pri_Int_Base!C53)&gt;0,ROUND(USPS_Pri_Int_Base!C53*(1+PostalMarkup),2),"N/A")</f>
        <v>304.52</v>
      </c>
      <c r="D57" s="313">
        <f>IF(LEN(USPS_Pri_Int_Base!D53)&gt;0,ROUND(USPS_Pri_Int_Base!D53*(1+PostalMarkup),2),"N/A")</f>
        <v>436.2</v>
      </c>
      <c r="E57" s="313">
        <f>IF(LEN(USPS_Pri_Int_Base!E53)&gt;0,ROUND(USPS_Pri_Int_Base!E53*(1+PostalMarkup),2),"N/A")</f>
        <v>333.16</v>
      </c>
      <c r="F57" s="313">
        <f>IF(LEN(USPS_Pri_Int_Base!F53)&gt;0,ROUND(USPS_Pri_Int_Base!F53*(1+PostalMarkup),2),"N/A")</f>
        <v>348.68</v>
      </c>
      <c r="G57" s="313">
        <f>IF(LEN(USPS_Pri_Int_Base!G53)&gt;0,ROUND(USPS_Pri_Int_Base!G53*(1+PostalMarkup),2),"N/A")</f>
        <v>421.02</v>
      </c>
      <c r="H57" s="313">
        <f>IF(LEN(USPS_Pri_Int_Base!H53)&gt;0,ROUND(USPS_Pri_Int_Base!H53*(1+PostalMarkup),2),"N/A")</f>
        <v>440.85</v>
      </c>
      <c r="I57" s="313">
        <f>IF(LEN(USPS_Pri_Int_Base!I53)&gt;0,ROUND(USPS_Pri_Int_Base!I53*(1+PostalMarkup),2),"N/A")</f>
        <v>503.59</v>
      </c>
      <c r="J57" s="313">
        <f>IF(LEN(USPS_Pri_Int_Base!J53)&gt;0,ROUND(USPS_Pri_Int_Base!J53*(1+PostalMarkup),2),"N/A")</f>
        <v>544.35</v>
      </c>
      <c r="K57" s="313">
        <f>IF(LEN(USPS_Pri_Int_Base!K53)&gt;0,ROUND(USPS_Pri_Int_Base!K53*(1+PostalMarkup),2),"N/A")</f>
        <v>399.57</v>
      </c>
      <c r="L57" s="313">
        <f>IF(LEN(USPS_Pri_Int_Base!L53)&gt;0,ROUND(USPS_Pri_Int_Base!L53*(1+PostalMarkup),2),"N/A")</f>
        <v>456.84</v>
      </c>
      <c r="M57" s="313">
        <f>IF(LEN(USPS_Pri_Int_Base!M53)&gt;0,ROUND(USPS_Pri_Int_Base!M53*(1+PostalMarkup),2),"N/A")</f>
        <v>633.88</v>
      </c>
      <c r="N57" s="313">
        <f>IF(LEN(USPS_Pri_Int_Base!N53)&gt;0,ROUND(USPS_Pri_Int_Base!N53*(1+PostalMarkup),2),"N/A")</f>
        <v>425.73</v>
      </c>
      <c r="O57" s="313">
        <f>IF(LEN(USPS_Pri_Int_Base!O53)&gt;0,ROUND(USPS_Pri_Int_Base!O53*(1+PostalMarkup),2),"N/A")</f>
        <v>367.48</v>
      </c>
      <c r="P57" s="313">
        <f>IF(LEN(USPS_Pri_Int_Base!P53)&gt;0,ROUND(USPS_Pri_Int_Base!P53*(1+PostalMarkup),2),"N/A")</f>
        <v>312.63</v>
      </c>
      <c r="Q57" s="313">
        <f>IF(LEN(USPS_Pri_Int_Base!Q53)&gt;0,ROUND(USPS_Pri_Int_Base!Q53*(1+PostalMarkup),2),"N/A")</f>
        <v>341.26</v>
      </c>
      <c r="R57" s="313">
        <f>IF(LEN(USPS_Pri_Int_Base!R53)&gt;0,ROUND(USPS_Pri_Int_Base!R53*(1+PostalMarkup),2),"N/A")</f>
        <v>321.02</v>
      </c>
      <c r="S57" s="313">
        <f>IF(LEN(USPS_Pri_Int_Base!S53)&gt;0,ROUND(USPS_Pri_Int_Base!S53*(1+PostalMarkup),2),"N/A")</f>
        <v>349.77</v>
      </c>
      <c r="T57" s="313" t="str">
        <f>IF(LEN(USPS_Pri_Int_Base!T53)&gt;0,ROUND(USPS_Pri_Int_Base!T53*(1+PostalMarkup),2),"N/A")</f>
        <v>N/A</v>
      </c>
      <c r="U57" s="313">
        <f>IF(LEN(USPS_Pri_Int_Base!U53)&gt;0,ROUND(USPS_Pri_Int_Base!U53*(1+PostalMarkup),2),"N/A")</f>
        <v>364.61</v>
      </c>
    </row>
    <row r="58" spans="1:21" ht="12.75" customHeight="1">
      <c r="A58" s="312">
        <v>53</v>
      </c>
      <c r="B58" s="313">
        <f>IF(LEN(USPS_Pri_Int_Base!B54)&gt;0,ROUND(USPS_Pri_Int_Base!B54*(1+PostalMarkup),2),"N/A")</f>
        <v>287.85000000000002</v>
      </c>
      <c r="C58" s="313">
        <f>IF(LEN(USPS_Pri_Int_Base!C54)&gt;0,ROUND(USPS_Pri_Int_Base!C54*(1+PostalMarkup),2),"N/A")</f>
        <v>309.29000000000002</v>
      </c>
      <c r="D58" s="313">
        <f>IF(LEN(USPS_Pri_Int_Base!D54)&gt;0,ROUND(USPS_Pri_Int_Base!D54*(1+PostalMarkup),2),"N/A")</f>
        <v>443.33</v>
      </c>
      <c r="E58" s="313">
        <f>IF(LEN(USPS_Pri_Int_Base!E54)&gt;0,ROUND(USPS_Pri_Int_Base!E54*(1+PostalMarkup),2),"N/A")</f>
        <v>338.56</v>
      </c>
      <c r="F58" s="313">
        <f>IF(LEN(USPS_Pri_Int_Base!F54)&gt;0,ROUND(USPS_Pri_Int_Base!F54*(1+PostalMarkup),2),"N/A")</f>
        <v>354.09</v>
      </c>
      <c r="G58" s="313">
        <f>IF(LEN(USPS_Pri_Int_Base!G54)&gt;0,ROUND(USPS_Pri_Int_Base!G54*(1+PostalMarkup),2),"N/A")</f>
        <v>428.03</v>
      </c>
      <c r="H58" s="313">
        <f>IF(LEN(USPS_Pri_Int_Base!H54)&gt;0,ROUND(USPS_Pri_Int_Base!H54*(1+PostalMarkup),2),"N/A")</f>
        <v>449.94</v>
      </c>
      <c r="I58" s="313">
        <f>IF(LEN(USPS_Pri_Int_Base!I54)&gt;0,ROUND(USPS_Pri_Int_Base!I54*(1+PostalMarkup),2),"N/A")</f>
        <v>512.04</v>
      </c>
      <c r="J58" s="313">
        <f>IF(LEN(USPS_Pri_Int_Base!J54)&gt;0,ROUND(USPS_Pri_Int_Base!J54*(1+PostalMarkup),2),"N/A")</f>
        <v>553.5</v>
      </c>
      <c r="K58" s="313">
        <f>IF(LEN(USPS_Pri_Int_Base!K54)&gt;0,ROUND(USPS_Pri_Int_Base!K54*(1+PostalMarkup),2),"N/A")</f>
        <v>405.95</v>
      </c>
      <c r="L58" s="313">
        <f>IF(LEN(USPS_Pri_Int_Base!L54)&gt;0,ROUND(USPS_Pri_Int_Base!L54*(1+PostalMarkup),2),"N/A")</f>
        <v>464.37</v>
      </c>
      <c r="M58" s="313">
        <f>IF(LEN(USPS_Pri_Int_Base!M54)&gt;0,ROUND(USPS_Pri_Int_Base!M54*(1+PostalMarkup),2),"N/A")</f>
        <v>644.98</v>
      </c>
      <c r="N58" s="313">
        <f>IF(LEN(USPS_Pri_Int_Base!N54)&gt;0,ROUND(USPS_Pri_Int_Base!N54*(1+PostalMarkup),2),"N/A")</f>
        <v>433.38</v>
      </c>
      <c r="O58" s="313">
        <f>IF(LEN(USPS_Pri_Int_Base!O54)&gt;0,ROUND(USPS_Pri_Int_Base!O54*(1+PostalMarkup),2),"N/A")</f>
        <v>373.23</v>
      </c>
      <c r="P58" s="313">
        <f>IF(LEN(USPS_Pri_Int_Base!P54)&gt;0,ROUND(USPS_Pri_Int_Base!P54*(1+PostalMarkup),2),"N/A")</f>
        <v>317.45999999999998</v>
      </c>
      <c r="Q58" s="313">
        <f>IF(LEN(USPS_Pri_Int_Base!Q54)&gt;0,ROUND(USPS_Pri_Int_Base!Q54*(1+PostalMarkup),2),"N/A")</f>
        <v>346.44</v>
      </c>
      <c r="R58" s="313">
        <f>IF(LEN(USPS_Pri_Int_Base!R54)&gt;0,ROUND(USPS_Pri_Int_Base!R54*(1+PostalMarkup),2),"N/A")</f>
        <v>325.91000000000003</v>
      </c>
      <c r="S58" s="313">
        <f>IF(LEN(USPS_Pri_Int_Base!S54)&gt;0,ROUND(USPS_Pri_Int_Base!S54*(1+PostalMarkup),2),"N/A")</f>
        <v>355.01</v>
      </c>
      <c r="T58" s="313" t="str">
        <f>IF(LEN(USPS_Pri_Int_Base!T54)&gt;0,ROUND(USPS_Pri_Int_Base!T54*(1+PostalMarkup),2),"N/A")</f>
        <v>N/A</v>
      </c>
      <c r="U58" s="313">
        <f>IF(LEN(USPS_Pri_Int_Base!U54)&gt;0,ROUND(USPS_Pri_Int_Base!U54*(1+PostalMarkup),2),"N/A")</f>
        <v>370.36</v>
      </c>
    </row>
    <row r="59" spans="1:21" ht="12.75" customHeight="1">
      <c r="A59" s="312">
        <v>54</v>
      </c>
      <c r="B59" s="313">
        <f>IF(LEN(USPS_Pri_Int_Base!B55)&gt;0,ROUND(USPS_Pri_Int_Base!B55*(1+PostalMarkup),2),"N/A")</f>
        <v>292.73</v>
      </c>
      <c r="C59" s="313">
        <f>IF(LEN(USPS_Pri_Int_Base!C55)&gt;0,ROUND(USPS_Pri_Int_Base!C55*(1+PostalMarkup),2),"N/A")</f>
        <v>314.24</v>
      </c>
      <c r="D59" s="313">
        <f>IF(LEN(USPS_Pri_Int_Base!D55)&gt;0,ROUND(USPS_Pri_Int_Base!D55*(1+PostalMarkup),2),"N/A")</f>
        <v>450.46</v>
      </c>
      <c r="E59" s="313">
        <f>IF(LEN(USPS_Pri_Int_Base!E55)&gt;0,ROUND(USPS_Pri_Int_Base!E55*(1+PostalMarkup),2),"N/A")</f>
        <v>343.68</v>
      </c>
      <c r="F59" s="313">
        <f>IF(LEN(USPS_Pri_Int_Base!F55)&gt;0,ROUND(USPS_Pri_Int_Base!F55*(1+PostalMarkup),2),"N/A")</f>
        <v>359.55</v>
      </c>
      <c r="G59" s="313">
        <f>IF(LEN(USPS_Pri_Int_Base!G55)&gt;0,ROUND(USPS_Pri_Int_Base!G55*(1+PostalMarkup),2),"N/A")</f>
        <v>435.1</v>
      </c>
      <c r="H59" s="313">
        <f>IF(LEN(USPS_Pri_Int_Base!H55)&gt;0,ROUND(USPS_Pri_Int_Base!H55*(1+PostalMarkup),2),"N/A")</f>
        <v>456.44</v>
      </c>
      <c r="I59" s="313">
        <f>IF(LEN(USPS_Pri_Int_Base!I55)&gt;0,ROUND(USPS_Pri_Int_Base!I55*(1+PostalMarkup),2),"N/A")</f>
        <v>520.54999999999995</v>
      </c>
      <c r="J59" s="313">
        <f>IF(LEN(USPS_Pri_Int_Base!J55)&gt;0,ROUND(USPS_Pri_Int_Base!J55*(1+PostalMarkup),2),"N/A")</f>
        <v>562.58000000000004</v>
      </c>
      <c r="K59" s="313">
        <f>IF(LEN(USPS_Pri_Int_Base!K55)&gt;0,ROUND(USPS_Pri_Int_Base!K55*(1+PostalMarkup),2),"N/A")</f>
        <v>412.45</v>
      </c>
      <c r="L59" s="313">
        <f>IF(LEN(USPS_Pri_Int_Base!L55)&gt;0,ROUND(USPS_Pri_Int_Base!L55*(1+PostalMarkup),2),"N/A")</f>
        <v>471.96</v>
      </c>
      <c r="M59" s="313">
        <f>IF(LEN(USPS_Pri_Int_Base!M55)&gt;0,ROUND(USPS_Pri_Int_Base!M55*(1+PostalMarkup),2),"N/A")</f>
        <v>656.08</v>
      </c>
      <c r="N59" s="313">
        <f>IF(LEN(USPS_Pri_Int_Base!N55)&gt;0,ROUND(USPS_Pri_Int_Base!N55*(1+PostalMarkup),2),"N/A")</f>
        <v>440.28</v>
      </c>
      <c r="O59" s="313">
        <f>IF(LEN(USPS_Pri_Int_Base!O55)&gt;0,ROUND(USPS_Pri_Int_Base!O55*(1+PostalMarkup),2),"N/A")</f>
        <v>379.33</v>
      </c>
      <c r="P59" s="313">
        <f>IF(LEN(USPS_Pri_Int_Base!P55)&gt;0,ROUND(USPS_Pri_Int_Base!P55*(1+PostalMarkup),2),"N/A")</f>
        <v>322.17</v>
      </c>
      <c r="Q59" s="313">
        <f>IF(LEN(USPS_Pri_Int_Base!Q55)&gt;0,ROUND(USPS_Pri_Int_Base!Q55*(1+PostalMarkup),2),"N/A")</f>
        <v>351.67</v>
      </c>
      <c r="R59" s="313">
        <f>IF(LEN(USPS_Pri_Int_Base!R55)&gt;0,ROUND(USPS_Pri_Int_Base!R55*(1+PostalMarkup),2),"N/A")</f>
        <v>330.86</v>
      </c>
      <c r="S59" s="313">
        <f>IF(LEN(USPS_Pri_Int_Base!S55)&gt;0,ROUND(USPS_Pri_Int_Base!S55*(1+PostalMarkup),2),"N/A")</f>
        <v>360.3</v>
      </c>
      <c r="T59" s="313" t="str">
        <f>IF(LEN(USPS_Pri_Int_Base!T55)&gt;0,ROUND(USPS_Pri_Int_Base!T55*(1+PostalMarkup),2),"N/A")</f>
        <v>N/A</v>
      </c>
      <c r="U59" s="313">
        <f>IF(LEN(USPS_Pri_Int_Base!U55)&gt;0,ROUND(USPS_Pri_Int_Base!U55*(1+PostalMarkup),2),"N/A")</f>
        <v>376.11</v>
      </c>
    </row>
    <row r="60" spans="1:21" ht="12.75" customHeight="1">
      <c r="A60" s="312">
        <v>55</v>
      </c>
      <c r="B60" s="313">
        <f>IF(LEN(USPS_Pri_Int_Base!B56)&gt;0,ROUND(USPS_Pri_Int_Base!B56*(1+PostalMarkup),2),"N/A")</f>
        <v>297.74</v>
      </c>
      <c r="C60" s="313">
        <f>IF(LEN(USPS_Pri_Int_Base!C56)&gt;0,ROUND(USPS_Pri_Int_Base!C56*(1+PostalMarkup),2),"N/A")</f>
        <v>319.13</v>
      </c>
      <c r="D60" s="313">
        <f>IF(LEN(USPS_Pri_Int_Base!D56)&gt;0,ROUND(USPS_Pri_Int_Base!D56*(1+PostalMarkup),2),"N/A")</f>
        <v>457.59</v>
      </c>
      <c r="E60" s="313">
        <f>IF(LEN(USPS_Pri_Int_Base!E56)&gt;0,ROUND(USPS_Pri_Int_Base!E56*(1+PostalMarkup),2),"N/A")</f>
        <v>349.66</v>
      </c>
      <c r="F60" s="313">
        <f>IF(LEN(USPS_Pri_Int_Base!F56)&gt;0,ROUND(USPS_Pri_Int_Base!F56*(1+PostalMarkup),2),"N/A")</f>
        <v>365.01</v>
      </c>
      <c r="G60" s="313">
        <f>IF(LEN(USPS_Pri_Int_Base!G56)&gt;0,ROUND(USPS_Pri_Int_Base!G56*(1+PostalMarkup),2),"N/A")</f>
        <v>442.18</v>
      </c>
      <c r="H60" s="313">
        <f>IF(LEN(USPS_Pri_Int_Base!H56)&gt;0,ROUND(USPS_Pri_Int_Base!H56*(1+PostalMarkup),2),"N/A")</f>
        <v>463.45</v>
      </c>
      <c r="I60" s="313">
        <f>IF(LEN(USPS_Pri_Int_Base!I56)&gt;0,ROUND(USPS_Pri_Int_Base!I56*(1+PostalMarkup),2),"N/A")</f>
        <v>529</v>
      </c>
      <c r="J60" s="313">
        <f>IF(LEN(USPS_Pri_Int_Base!J56)&gt;0,ROUND(USPS_Pri_Int_Base!J56*(1+PostalMarkup),2),"N/A")</f>
        <v>571.78</v>
      </c>
      <c r="K60" s="313">
        <f>IF(LEN(USPS_Pri_Int_Base!K56)&gt;0,ROUND(USPS_Pri_Int_Base!K56*(1+PostalMarkup),2),"N/A")</f>
        <v>418.77</v>
      </c>
      <c r="L60" s="313">
        <f>IF(LEN(USPS_Pri_Int_Base!L56)&gt;0,ROUND(USPS_Pri_Int_Base!L56*(1+PostalMarkup),2),"N/A")</f>
        <v>479.55</v>
      </c>
      <c r="M60" s="313">
        <f>IF(LEN(USPS_Pri_Int_Base!M56)&gt;0,ROUND(USPS_Pri_Int_Base!M56*(1+PostalMarkup),2),"N/A")</f>
        <v>667.23</v>
      </c>
      <c r="N60" s="313">
        <f>IF(LEN(USPS_Pri_Int_Base!N56)&gt;0,ROUND(USPS_Pri_Int_Base!N56*(1+PostalMarkup),2),"N/A")</f>
        <v>447.93</v>
      </c>
      <c r="O60" s="313">
        <f>IF(LEN(USPS_Pri_Int_Base!O56)&gt;0,ROUND(USPS_Pri_Int_Base!O56*(1+PostalMarkup),2),"N/A")</f>
        <v>385.14</v>
      </c>
      <c r="P60" s="313">
        <f>IF(LEN(USPS_Pri_Int_Base!P56)&gt;0,ROUND(USPS_Pri_Int_Base!P56*(1+PostalMarkup),2),"N/A")</f>
        <v>326.95</v>
      </c>
      <c r="Q60" s="313">
        <f>IF(LEN(USPS_Pri_Int_Base!Q56)&gt;0,ROUND(USPS_Pri_Int_Base!Q56*(1+PostalMarkup),2),"N/A")</f>
        <v>356.9</v>
      </c>
      <c r="R60" s="313">
        <f>IF(LEN(USPS_Pri_Int_Base!R56)&gt;0,ROUND(USPS_Pri_Int_Base!R56*(1+PostalMarkup),2),"N/A")</f>
        <v>335.8</v>
      </c>
      <c r="S60" s="313">
        <f>IF(LEN(USPS_Pri_Int_Base!S56)&gt;0,ROUND(USPS_Pri_Int_Base!S56*(1+PostalMarkup),2),"N/A")</f>
        <v>365.53</v>
      </c>
      <c r="T60" s="313" t="str">
        <f>IF(LEN(USPS_Pri_Int_Base!T56)&gt;0,ROUND(USPS_Pri_Int_Base!T56*(1+PostalMarkup),2),"N/A")</f>
        <v>N/A</v>
      </c>
      <c r="U60" s="313">
        <f>IF(LEN(USPS_Pri_Int_Base!U56)&gt;0,ROUND(USPS_Pri_Int_Base!U56*(1+PostalMarkup),2),"N/A")</f>
        <v>381.8</v>
      </c>
    </row>
    <row r="61" spans="1:21" ht="12.75" customHeight="1">
      <c r="A61" s="312">
        <v>56</v>
      </c>
      <c r="B61" s="313">
        <f>IF(LEN(USPS_Pri_Int_Base!B57)&gt;0,ROUND(USPS_Pri_Int_Base!B57*(1+PostalMarkup),2),"N/A")</f>
        <v>302.33999999999997</v>
      </c>
      <c r="C61" s="313">
        <f>IF(LEN(USPS_Pri_Int_Base!C57)&gt;0,ROUND(USPS_Pri_Int_Base!C57*(1+PostalMarkup),2),"N/A")</f>
        <v>324.36</v>
      </c>
      <c r="D61" s="313">
        <f>IF(LEN(USPS_Pri_Int_Base!D57)&gt;0,ROUND(USPS_Pri_Int_Base!D57*(1+PostalMarkup),2),"N/A")</f>
        <v>464.72</v>
      </c>
      <c r="E61" s="313">
        <f>IF(LEN(USPS_Pri_Int_Base!E57)&gt;0,ROUND(USPS_Pri_Int_Base!E57*(1+PostalMarkup),2),"N/A")</f>
        <v>354.89</v>
      </c>
      <c r="F61" s="313">
        <f>IF(LEN(USPS_Pri_Int_Base!F57)&gt;0,ROUND(USPS_Pri_Int_Base!F57*(1+PostalMarkup),2),"N/A")</f>
        <v>370.47</v>
      </c>
      <c r="G61" s="313">
        <f>IF(LEN(USPS_Pri_Int_Base!G57)&gt;0,ROUND(USPS_Pri_Int_Base!G57*(1+PostalMarkup),2),"N/A")</f>
        <v>449.25</v>
      </c>
      <c r="H61" s="313">
        <f>IF(LEN(USPS_Pri_Int_Base!H57)&gt;0,ROUND(USPS_Pri_Int_Base!H57*(1+PostalMarkup),2),"N/A")</f>
        <v>471.1</v>
      </c>
      <c r="I61" s="313">
        <f>IF(LEN(USPS_Pri_Int_Base!I57)&gt;0,ROUND(USPS_Pri_Int_Base!I57*(1+PostalMarkup),2),"N/A")</f>
        <v>537.45000000000005</v>
      </c>
      <c r="J61" s="313">
        <f>IF(LEN(USPS_Pri_Int_Base!J57)&gt;0,ROUND(USPS_Pri_Int_Base!J57*(1+PostalMarkup),2),"N/A")</f>
        <v>580.91999999999996</v>
      </c>
      <c r="K61" s="313">
        <f>IF(LEN(USPS_Pri_Int_Base!K57)&gt;0,ROUND(USPS_Pri_Int_Base!K57*(1+PostalMarkup),2),"N/A")</f>
        <v>425.27</v>
      </c>
      <c r="L61" s="313">
        <f>IF(LEN(USPS_Pri_Int_Base!L57)&gt;0,ROUND(USPS_Pri_Int_Base!L57*(1+PostalMarkup),2),"N/A")</f>
        <v>487.14</v>
      </c>
      <c r="M61" s="313">
        <f>IF(LEN(USPS_Pri_Int_Base!M57)&gt;0,ROUND(USPS_Pri_Int_Base!M57*(1+PostalMarkup),2),"N/A")</f>
        <v>678.33</v>
      </c>
      <c r="N61" s="313">
        <f>IF(LEN(USPS_Pri_Int_Base!N57)&gt;0,ROUND(USPS_Pri_Int_Base!N57*(1+PostalMarkup),2),"N/A")</f>
        <v>454.08</v>
      </c>
      <c r="O61" s="313">
        <f>IF(LEN(USPS_Pri_Int_Base!O57)&gt;0,ROUND(USPS_Pri_Int_Base!O57*(1+PostalMarkup),2),"N/A")</f>
        <v>390.48</v>
      </c>
      <c r="P61" s="313">
        <f>IF(LEN(USPS_Pri_Int_Base!P57)&gt;0,ROUND(USPS_Pri_Int_Base!P57*(1+PostalMarkup),2),"N/A")</f>
        <v>331.78</v>
      </c>
      <c r="Q61" s="313">
        <f>IF(LEN(USPS_Pri_Int_Base!Q57)&gt;0,ROUND(USPS_Pri_Int_Base!Q57*(1+PostalMarkup),2),"N/A")</f>
        <v>362.14</v>
      </c>
      <c r="R61" s="313">
        <f>IF(LEN(USPS_Pri_Int_Base!R57)&gt;0,ROUND(USPS_Pri_Int_Base!R57*(1+PostalMarkup),2),"N/A")</f>
        <v>340.69</v>
      </c>
      <c r="S61" s="313">
        <f>IF(LEN(USPS_Pri_Int_Base!S57)&gt;0,ROUND(USPS_Pri_Int_Base!S57*(1+PostalMarkup),2),"N/A")</f>
        <v>370.76</v>
      </c>
      <c r="T61" s="313" t="str">
        <f>IF(LEN(USPS_Pri_Int_Base!T57)&gt;0,ROUND(USPS_Pri_Int_Base!T57*(1+PostalMarkup),2),"N/A")</f>
        <v>N/A</v>
      </c>
      <c r="U61" s="313">
        <f>IF(LEN(USPS_Pri_Int_Base!U57)&gt;0,ROUND(USPS_Pri_Int_Base!U57*(1+PostalMarkup),2),"N/A")</f>
        <v>387.55</v>
      </c>
    </row>
    <row r="62" spans="1:21" ht="12.75" customHeight="1">
      <c r="A62" s="312">
        <v>57</v>
      </c>
      <c r="B62" s="313">
        <f>IF(LEN(USPS_Pri_Int_Base!B58)&gt;0,ROUND(USPS_Pri_Int_Base!B58*(1+PostalMarkup),2),"N/A")</f>
        <v>307.22000000000003</v>
      </c>
      <c r="C62" s="313">
        <f>IF(LEN(USPS_Pri_Int_Base!C58)&gt;0,ROUND(USPS_Pri_Int_Base!C58*(1+PostalMarkup),2),"N/A")</f>
        <v>329.02</v>
      </c>
      <c r="D62" s="313">
        <f>IF(LEN(USPS_Pri_Int_Base!D58)&gt;0,ROUND(USPS_Pri_Int_Base!D58*(1+PostalMarkup),2),"N/A")</f>
        <v>471.9</v>
      </c>
      <c r="E62" s="313">
        <f>IF(LEN(USPS_Pri_Int_Base!E58)&gt;0,ROUND(USPS_Pri_Int_Base!E58*(1+PostalMarkup),2),"N/A")</f>
        <v>360.24</v>
      </c>
      <c r="F62" s="313">
        <f>IF(LEN(USPS_Pri_Int_Base!F58)&gt;0,ROUND(USPS_Pri_Int_Base!F58*(1+PostalMarkup),2),"N/A")</f>
        <v>375.94</v>
      </c>
      <c r="G62" s="313">
        <f>IF(LEN(USPS_Pri_Int_Base!G58)&gt;0,ROUND(USPS_Pri_Int_Base!G58*(1+PostalMarkup),2),"N/A")</f>
        <v>456.32</v>
      </c>
      <c r="H62" s="313">
        <f>IF(LEN(USPS_Pri_Int_Base!H58)&gt;0,ROUND(USPS_Pri_Int_Base!H58*(1+PostalMarkup),2),"N/A")</f>
        <v>478.11</v>
      </c>
      <c r="I62" s="313">
        <f>IF(LEN(USPS_Pri_Int_Base!I58)&gt;0,ROUND(USPS_Pri_Int_Base!I58*(1+PostalMarkup),2),"N/A")</f>
        <v>545.91</v>
      </c>
      <c r="J62" s="313">
        <f>IF(LEN(USPS_Pri_Int_Base!J58)&gt;0,ROUND(USPS_Pri_Int_Base!J58*(1+PostalMarkup),2),"N/A")</f>
        <v>590.17999999999995</v>
      </c>
      <c r="K62" s="313">
        <f>IF(LEN(USPS_Pri_Int_Base!K58)&gt;0,ROUND(USPS_Pri_Int_Base!K58*(1+PostalMarkup),2),"N/A")</f>
        <v>431.65</v>
      </c>
      <c r="L62" s="313">
        <f>IF(LEN(USPS_Pri_Int_Base!L58)&gt;0,ROUND(USPS_Pri_Int_Base!L58*(1+PostalMarkup),2),"N/A")</f>
        <v>494.73</v>
      </c>
      <c r="M62" s="313">
        <f>IF(LEN(USPS_Pri_Int_Base!M58)&gt;0,ROUND(USPS_Pri_Int_Base!M58*(1+PostalMarkup),2),"N/A")</f>
        <v>689.43</v>
      </c>
      <c r="N62" s="313">
        <f>IF(LEN(USPS_Pri_Int_Base!N58)&gt;0,ROUND(USPS_Pri_Int_Base!N58*(1+PostalMarkup),2),"N/A")</f>
        <v>462.65</v>
      </c>
      <c r="O62" s="313">
        <f>IF(LEN(USPS_Pri_Int_Base!O58)&gt;0,ROUND(USPS_Pri_Int_Base!O58*(1+PostalMarkup),2),"N/A")</f>
        <v>396.98</v>
      </c>
      <c r="P62" s="313">
        <f>IF(LEN(USPS_Pri_Int_Base!P58)&gt;0,ROUND(USPS_Pri_Int_Base!P58*(1+PostalMarkup),2),"N/A")</f>
        <v>336.55</v>
      </c>
      <c r="Q62" s="313">
        <f>IF(LEN(USPS_Pri_Int_Base!Q58)&gt;0,ROUND(USPS_Pri_Int_Base!Q58*(1+PostalMarkup),2),"N/A")</f>
        <v>367.37</v>
      </c>
      <c r="R62" s="313">
        <f>IF(LEN(USPS_Pri_Int_Base!R58)&gt;0,ROUND(USPS_Pri_Int_Base!R58*(1+PostalMarkup),2),"N/A")</f>
        <v>345.63</v>
      </c>
      <c r="S62" s="313">
        <f>IF(LEN(USPS_Pri_Int_Base!S58)&gt;0,ROUND(USPS_Pri_Int_Base!S58*(1+PostalMarkup),2),"N/A")</f>
        <v>376.05</v>
      </c>
      <c r="T62" s="313" t="str">
        <f>IF(LEN(USPS_Pri_Int_Base!T58)&gt;0,ROUND(USPS_Pri_Int_Base!T58*(1+PostalMarkup),2),"N/A")</f>
        <v>N/A</v>
      </c>
      <c r="U62" s="313">
        <f>IF(LEN(USPS_Pri_Int_Base!U58)&gt;0,ROUND(USPS_Pri_Int_Base!U58*(1+PostalMarkup),2),"N/A")</f>
        <v>393.3</v>
      </c>
    </row>
    <row r="63" spans="1:21" ht="12.75" customHeight="1">
      <c r="A63" s="312">
        <v>58</v>
      </c>
      <c r="B63" s="313">
        <f>IF(LEN(USPS_Pri_Int_Base!B59)&gt;0,ROUND(USPS_Pri_Int_Base!B59*(1+PostalMarkup),2),"N/A")</f>
        <v>311.82</v>
      </c>
      <c r="C63" s="313">
        <f>IF(LEN(USPS_Pri_Int_Base!C59)&gt;0,ROUND(USPS_Pri_Int_Base!C59*(1+PostalMarkup),2),"N/A")</f>
        <v>333.9</v>
      </c>
      <c r="D63" s="313">
        <f>IF(LEN(USPS_Pri_Int_Base!D59)&gt;0,ROUND(USPS_Pri_Int_Base!D59*(1+PostalMarkup),2),"N/A")</f>
        <v>479.03</v>
      </c>
      <c r="E63" s="313">
        <f>IF(LEN(USPS_Pri_Int_Base!E59)&gt;0,ROUND(USPS_Pri_Int_Base!E59*(1+PostalMarkup),2),"N/A")</f>
        <v>366.05</v>
      </c>
      <c r="F63" s="313">
        <f>IF(LEN(USPS_Pri_Int_Base!F59)&gt;0,ROUND(USPS_Pri_Int_Base!F59*(1+PostalMarkup),2),"N/A")</f>
        <v>381.34</v>
      </c>
      <c r="G63" s="313">
        <f>IF(LEN(USPS_Pri_Int_Base!G59)&gt;0,ROUND(USPS_Pri_Int_Base!G59*(1+PostalMarkup),2),"N/A")</f>
        <v>463.39</v>
      </c>
      <c r="H63" s="313">
        <f>IF(LEN(USPS_Pri_Int_Base!H59)&gt;0,ROUND(USPS_Pri_Int_Base!H59*(1+PostalMarkup),2),"N/A")</f>
        <v>485.3</v>
      </c>
      <c r="I63" s="313">
        <f>IF(LEN(USPS_Pri_Int_Base!I59)&gt;0,ROUND(USPS_Pri_Int_Base!I59*(1+PostalMarkup),2),"N/A")</f>
        <v>554.47</v>
      </c>
      <c r="J63" s="313">
        <f>IF(LEN(USPS_Pri_Int_Base!J59)&gt;0,ROUND(USPS_Pri_Int_Base!J59*(1+PostalMarkup),2),"N/A")</f>
        <v>599.32000000000005</v>
      </c>
      <c r="K63" s="313">
        <f>IF(LEN(USPS_Pri_Int_Base!K59)&gt;0,ROUND(USPS_Pri_Int_Base!K59*(1+PostalMarkup),2),"N/A")</f>
        <v>438.09</v>
      </c>
      <c r="L63" s="313">
        <f>IF(LEN(USPS_Pri_Int_Base!L59)&gt;0,ROUND(USPS_Pri_Int_Base!L59*(1+PostalMarkup),2),"N/A")</f>
        <v>502.32</v>
      </c>
      <c r="M63" s="313">
        <f>IF(LEN(USPS_Pri_Int_Base!M59)&gt;0,ROUND(USPS_Pri_Int_Base!M59*(1+PostalMarkup),2),"N/A")</f>
        <v>700.58</v>
      </c>
      <c r="N63" s="313">
        <f>IF(LEN(USPS_Pri_Int_Base!N59)&gt;0,ROUND(USPS_Pri_Int_Base!N59*(1+PostalMarkup),2),"N/A")</f>
        <v>468.63</v>
      </c>
      <c r="O63" s="313">
        <f>IF(LEN(USPS_Pri_Int_Base!O59)&gt;0,ROUND(USPS_Pri_Int_Base!O59*(1+PostalMarkup),2),"N/A")</f>
        <v>403.48</v>
      </c>
      <c r="P63" s="313">
        <f>IF(LEN(USPS_Pri_Int_Base!P59)&gt;0,ROUND(USPS_Pri_Int_Base!P59*(1+PostalMarkup),2),"N/A")</f>
        <v>341.38</v>
      </c>
      <c r="Q63" s="313">
        <f>IF(LEN(USPS_Pri_Int_Base!Q59)&gt;0,ROUND(USPS_Pri_Int_Base!Q59*(1+PostalMarkup),2),"N/A")</f>
        <v>372.54</v>
      </c>
      <c r="R63" s="313">
        <f>IF(LEN(USPS_Pri_Int_Base!R59)&gt;0,ROUND(USPS_Pri_Int_Base!R59*(1+PostalMarkup),2),"N/A")</f>
        <v>350.52</v>
      </c>
      <c r="S63" s="313">
        <f>IF(LEN(USPS_Pri_Int_Base!S59)&gt;0,ROUND(USPS_Pri_Int_Base!S59*(1+PostalMarkup),2),"N/A")</f>
        <v>381.23</v>
      </c>
      <c r="T63" s="313" t="str">
        <f>IF(LEN(USPS_Pri_Int_Base!T59)&gt;0,ROUND(USPS_Pri_Int_Base!T59*(1+PostalMarkup),2),"N/A")</f>
        <v>N/A</v>
      </c>
      <c r="U63" s="313">
        <f>IF(LEN(USPS_Pri_Int_Base!U59)&gt;0,ROUND(USPS_Pri_Int_Base!U59*(1+PostalMarkup),2),"N/A")</f>
        <v>399.05</v>
      </c>
    </row>
    <row r="64" spans="1:21" ht="12.75" customHeight="1">
      <c r="A64" s="312">
        <v>59</v>
      </c>
      <c r="B64" s="313">
        <f>IF(LEN(USPS_Pri_Int_Base!B60)&gt;0,ROUND(USPS_Pri_Int_Base!B60*(1+PostalMarkup),2),"N/A")</f>
        <v>316.54000000000002</v>
      </c>
      <c r="C64" s="313">
        <f>IF(LEN(USPS_Pri_Int_Base!C60)&gt;0,ROUND(USPS_Pri_Int_Base!C60*(1+PostalMarkup),2),"N/A")</f>
        <v>339.25</v>
      </c>
      <c r="D64" s="313">
        <f>IF(LEN(USPS_Pri_Int_Base!D60)&gt;0,ROUND(USPS_Pri_Int_Base!D60*(1+PostalMarkup),2),"N/A")</f>
        <v>486.22</v>
      </c>
      <c r="E64" s="313">
        <f>IF(LEN(USPS_Pri_Int_Base!E60)&gt;0,ROUND(USPS_Pri_Int_Base!E60*(1+PostalMarkup),2),"N/A")</f>
        <v>370.7</v>
      </c>
      <c r="F64" s="313">
        <f>IF(LEN(USPS_Pri_Int_Base!F60)&gt;0,ROUND(USPS_Pri_Int_Base!F60*(1+PostalMarkup),2),"N/A")</f>
        <v>386.8</v>
      </c>
      <c r="G64" s="313">
        <f>IF(LEN(USPS_Pri_Int_Base!G60)&gt;0,ROUND(USPS_Pri_Int_Base!G60*(1+PostalMarkup),2),"N/A")</f>
        <v>470.47</v>
      </c>
      <c r="H64" s="313">
        <f>IF(LEN(USPS_Pri_Int_Base!H60)&gt;0,ROUND(USPS_Pri_Int_Base!H60*(1+PostalMarkup),2),"N/A")</f>
        <v>492.89</v>
      </c>
      <c r="I64" s="313">
        <f>IF(LEN(USPS_Pri_Int_Base!I60)&gt;0,ROUND(USPS_Pri_Int_Base!I60*(1+PostalMarkup),2),"N/A")</f>
        <v>562.92999999999995</v>
      </c>
      <c r="J64" s="313">
        <f>IF(LEN(USPS_Pri_Int_Base!J60)&gt;0,ROUND(USPS_Pri_Int_Base!J60*(1+PostalMarkup),2),"N/A")</f>
        <v>608.41</v>
      </c>
      <c r="K64" s="313">
        <f>IF(LEN(USPS_Pri_Int_Base!K60)&gt;0,ROUND(USPS_Pri_Int_Base!K60*(1+PostalMarkup),2),"N/A")</f>
        <v>444.48</v>
      </c>
      <c r="L64" s="313">
        <f>IF(LEN(USPS_Pri_Int_Base!L60)&gt;0,ROUND(USPS_Pri_Int_Base!L60*(1+PostalMarkup),2),"N/A")</f>
        <v>509.85</v>
      </c>
      <c r="M64" s="313">
        <f>IF(LEN(USPS_Pri_Int_Base!M60)&gt;0,ROUND(USPS_Pri_Int_Base!M60*(1+PostalMarkup),2),"N/A")</f>
        <v>711.68</v>
      </c>
      <c r="N64" s="313">
        <f>IF(LEN(USPS_Pri_Int_Base!N60)&gt;0,ROUND(USPS_Pri_Int_Base!N60*(1+PostalMarkup),2),"N/A")</f>
        <v>476.22</v>
      </c>
      <c r="O64" s="313">
        <f>IF(LEN(USPS_Pri_Int_Base!O60)&gt;0,ROUND(USPS_Pri_Int_Base!O60*(1+PostalMarkup),2),"N/A")</f>
        <v>408.25</v>
      </c>
      <c r="P64" s="313">
        <f>IF(LEN(USPS_Pri_Int_Base!P60)&gt;0,ROUND(USPS_Pri_Int_Base!P60*(1+PostalMarkup),2),"N/A")</f>
        <v>346.04</v>
      </c>
      <c r="Q64" s="313">
        <f>IF(LEN(USPS_Pri_Int_Base!Q60)&gt;0,ROUND(USPS_Pri_Int_Base!Q60*(1+PostalMarkup),2),"N/A")</f>
        <v>377.78</v>
      </c>
      <c r="R64" s="313">
        <f>IF(LEN(USPS_Pri_Int_Base!R60)&gt;0,ROUND(USPS_Pri_Int_Base!R60*(1+PostalMarkup),2),"N/A")</f>
        <v>355.41</v>
      </c>
      <c r="S64" s="313">
        <f>IF(LEN(USPS_Pri_Int_Base!S60)&gt;0,ROUND(USPS_Pri_Int_Base!S60*(1+PostalMarkup),2),"N/A")</f>
        <v>386.52</v>
      </c>
      <c r="T64" s="313" t="str">
        <f>IF(LEN(USPS_Pri_Int_Base!T60)&gt;0,ROUND(USPS_Pri_Int_Base!T60*(1+PostalMarkup),2),"N/A")</f>
        <v>N/A</v>
      </c>
      <c r="U64" s="313">
        <f>IF(LEN(USPS_Pri_Int_Base!U60)&gt;0,ROUND(USPS_Pri_Int_Base!U60*(1+PostalMarkup),2),"N/A")</f>
        <v>404.74</v>
      </c>
    </row>
    <row r="65" spans="1:21" ht="12.75" customHeight="1">
      <c r="A65" s="312">
        <v>60</v>
      </c>
      <c r="B65" s="313">
        <f>IF(LEN(USPS_Pri_Int_Base!B61)&gt;0,ROUND(USPS_Pri_Int_Base!B61*(1+PostalMarkup),2),"N/A")</f>
        <v>322.17</v>
      </c>
      <c r="C65" s="313">
        <f>IF(LEN(USPS_Pri_Int_Base!C61)&gt;0,ROUND(USPS_Pri_Int_Base!C61*(1+PostalMarkup),2),"N/A")</f>
        <v>344.37</v>
      </c>
      <c r="D65" s="313">
        <f>IF(LEN(USPS_Pri_Int_Base!D61)&gt;0,ROUND(USPS_Pri_Int_Base!D61*(1+PostalMarkup),2),"N/A")</f>
        <v>493.35</v>
      </c>
      <c r="E65" s="313">
        <f>IF(LEN(USPS_Pri_Int_Base!E61)&gt;0,ROUND(USPS_Pri_Int_Base!E61*(1+PostalMarkup),2),"N/A")</f>
        <v>376.8</v>
      </c>
      <c r="F65" s="313">
        <f>IF(LEN(USPS_Pri_Int_Base!F61)&gt;0,ROUND(USPS_Pri_Int_Base!F61*(1+PostalMarkup),2),"N/A")</f>
        <v>392.27</v>
      </c>
      <c r="G65" s="313">
        <f>IF(LEN(USPS_Pri_Int_Base!G61)&gt;0,ROUND(USPS_Pri_Int_Base!G61*(1+PostalMarkup),2),"N/A")</f>
        <v>477.54</v>
      </c>
      <c r="H65" s="313">
        <f>IF(LEN(USPS_Pri_Int_Base!H61)&gt;0,ROUND(USPS_Pri_Int_Base!H61*(1+PostalMarkup),2),"N/A")</f>
        <v>501.63</v>
      </c>
      <c r="I65" s="313">
        <f>IF(LEN(USPS_Pri_Int_Base!I61)&gt;0,ROUND(USPS_Pri_Int_Base!I61*(1+PostalMarkup),2),"N/A")</f>
        <v>571.32000000000005</v>
      </c>
      <c r="J65" s="313">
        <f>IF(LEN(USPS_Pri_Int_Base!J61)&gt;0,ROUND(USPS_Pri_Int_Base!J61*(1+PostalMarkup),2),"N/A")</f>
        <v>617.61</v>
      </c>
      <c r="K65" s="313">
        <f>IF(LEN(USPS_Pri_Int_Base!K61)&gt;0,ROUND(USPS_Pri_Int_Base!K61*(1+PostalMarkup),2),"N/A")</f>
        <v>450.97</v>
      </c>
      <c r="L65" s="313">
        <f>IF(LEN(USPS_Pri_Int_Base!L61)&gt;0,ROUND(USPS_Pri_Int_Base!L61*(1+PostalMarkup),2),"N/A")</f>
        <v>517.44000000000005</v>
      </c>
      <c r="M65" s="313">
        <f>IF(LEN(USPS_Pri_Int_Base!M61)&gt;0,ROUND(USPS_Pri_Int_Base!M61*(1+PostalMarkup),2),"N/A")</f>
        <v>722.78</v>
      </c>
      <c r="N65" s="313">
        <f>IF(LEN(USPS_Pri_Int_Base!N61)&gt;0,ROUND(USPS_Pri_Int_Base!N61*(1+PostalMarkup),2),"N/A")</f>
        <v>481.85</v>
      </c>
      <c r="O65" s="313">
        <f>IF(LEN(USPS_Pri_Int_Base!O61)&gt;0,ROUND(USPS_Pri_Int_Base!O61*(1+PostalMarkup),2),"N/A")</f>
        <v>414.86</v>
      </c>
      <c r="P65" s="313">
        <f>IF(LEN(USPS_Pri_Int_Base!P61)&gt;0,ROUND(USPS_Pri_Int_Base!P61*(1+PostalMarkup),2),"N/A")</f>
        <v>350.87</v>
      </c>
      <c r="Q65" s="313">
        <f>IF(LEN(USPS_Pri_Int_Base!Q61)&gt;0,ROUND(USPS_Pri_Int_Base!Q61*(1+PostalMarkup),2),"N/A")</f>
        <v>383.01</v>
      </c>
      <c r="R65" s="313">
        <f>IF(LEN(USPS_Pri_Int_Base!R61)&gt;0,ROUND(USPS_Pri_Int_Base!R61*(1+PostalMarkup),2),"N/A")</f>
        <v>360.35</v>
      </c>
      <c r="S65" s="313">
        <f>IF(LEN(USPS_Pri_Int_Base!S61)&gt;0,ROUND(USPS_Pri_Int_Base!S61*(1+PostalMarkup),2),"N/A")</f>
        <v>391.81</v>
      </c>
      <c r="T65" s="313" t="str">
        <f>IF(LEN(USPS_Pri_Int_Base!T61)&gt;0,ROUND(USPS_Pri_Int_Base!T61*(1+PostalMarkup),2),"N/A")</f>
        <v>N/A</v>
      </c>
      <c r="U65" s="313">
        <f>IF(LEN(USPS_Pri_Int_Base!U61)&gt;0,ROUND(USPS_Pri_Int_Base!U61*(1+PostalMarkup),2),"N/A")</f>
        <v>410.49</v>
      </c>
    </row>
    <row r="66" spans="1:21" ht="12.75" customHeight="1">
      <c r="A66" s="312">
        <v>61</v>
      </c>
      <c r="B66" s="313">
        <f>IF(LEN(USPS_Pri_Int_Base!B62)&gt;0,ROUND(USPS_Pri_Int_Base!B62*(1+PostalMarkup),2),"N/A")</f>
        <v>325.97000000000003</v>
      </c>
      <c r="C66" s="313">
        <f>IF(LEN(USPS_Pri_Int_Base!C62)&gt;0,ROUND(USPS_Pri_Int_Base!C62*(1+PostalMarkup),2),"N/A")</f>
        <v>348.97</v>
      </c>
      <c r="D66" s="313">
        <f>IF(LEN(USPS_Pri_Int_Base!D62)&gt;0,ROUND(USPS_Pri_Int_Base!D62*(1+PostalMarkup),2),"N/A")</f>
        <v>500.54</v>
      </c>
      <c r="E66" s="313">
        <f>IF(LEN(USPS_Pri_Int_Base!E62)&gt;0,ROUND(USPS_Pri_Int_Base!E62*(1+PostalMarkup),2),"N/A")</f>
        <v>381.34</v>
      </c>
      <c r="F66" s="313">
        <f>IF(LEN(USPS_Pri_Int_Base!F62)&gt;0,ROUND(USPS_Pri_Int_Base!F62*(1+PostalMarkup),2),"N/A")</f>
        <v>397.73</v>
      </c>
      <c r="G66" s="313">
        <f>IF(LEN(USPS_Pri_Int_Base!G62)&gt;0,ROUND(USPS_Pri_Int_Base!G62*(1+PostalMarkup),2),"N/A")</f>
        <v>484.61</v>
      </c>
      <c r="H66" s="313">
        <f>IF(LEN(USPS_Pri_Int_Base!H62)&gt;0,ROUND(USPS_Pri_Int_Base!H62*(1+PostalMarkup),2),"N/A")</f>
        <v>508.59</v>
      </c>
      <c r="I66" s="313">
        <f>IF(LEN(USPS_Pri_Int_Base!I62)&gt;0,ROUND(USPS_Pri_Int_Base!I62*(1+PostalMarkup),2),"N/A")</f>
        <v>579.83000000000004</v>
      </c>
      <c r="J66" s="313">
        <f>IF(LEN(USPS_Pri_Int_Base!J62)&gt;0,ROUND(USPS_Pri_Int_Base!J62*(1+PostalMarkup),2),"N/A")</f>
        <v>626.75</v>
      </c>
      <c r="K66" s="313">
        <f>IF(LEN(USPS_Pri_Int_Base!K62)&gt;0,ROUND(USPS_Pri_Int_Base!K62*(1+PostalMarkup),2),"N/A")</f>
        <v>457.3</v>
      </c>
      <c r="L66" s="313">
        <f>IF(LEN(USPS_Pri_Int_Base!L62)&gt;0,ROUND(USPS_Pri_Int_Base!L62*(1+PostalMarkup),2),"N/A")</f>
        <v>525.03</v>
      </c>
      <c r="M66" s="313">
        <f>IF(LEN(USPS_Pri_Int_Base!M62)&gt;0,ROUND(USPS_Pri_Int_Base!M62*(1+PostalMarkup),2),"N/A")</f>
        <v>733.93</v>
      </c>
      <c r="N66" s="313">
        <f>IF(LEN(USPS_Pri_Int_Base!N62)&gt;0,ROUND(USPS_Pri_Int_Base!N62*(1+PostalMarkup),2),"N/A")</f>
        <v>492.2</v>
      </c>
      <c r="O66" s="313">
        <f>IF(LEN(USPS_Pri_Int_Base!O62)&gt;0,ROUND(USPS_Pri_Int_Base!O62*(1+PostalMarkup),2),"N/A")</f>
        <v>420.84</v>
      </c>
      <c r="P66" s="313">
        <f>IF(LEN(USPS_Pri_Int_Base!P62)&gt;0,ROUND(USPS_Pri_Int_Base!P62*(1+PostalMarkup),2),"N/A")</f>
        <v>355.64</v>
      </c>
      <c r="Q66" s="313">
        <f>IF(LEN(USPS_Pri_Int_Base!Q62)&gt;0,ROUND(USPS_Pri_Int_Base!Q62*(1+PostalMarkup),2),"N/A")</f>
        <v>388.24</v>
      </c>
      <c r="R66" s="313">
        <f>IF(LEN(USPS_Pri_Int_Base!R62)&gt;0,ROUND(USPS_Pri_Int_Base!R62*(1+PostalMarkup),2),"N/A")</f>
        <v>365.24</v>
      </c>
      <c r="S66" s="313">
        <f>IF(LEN(USPS_Pri_Int_Base!S62)&gt;0,ROUND(USPS_Pri_Int_Base!S62*(1+PostalMarkup),2),"N/A")</f>
        <v>397.04</v>
      </c>
      <c r="T66" s="313" t="str">
        <f>IF(LEN(USPS_Pri_Int_Base!T62)&gt;0,ROUND(USPS_Pri_Int_Base!T62*(1+PostalMarkup),2),"N/A")</f>
        <v>N/A</v>
      </c>
      <c r="U66" s="313">
        <f>IF(LEN(USPS_Pri_Int_Base!U62)&gt;0,ROUND(USPS_Pri_Int_Base!U62*(1+PostalMarkup),2),"N/A")</f>
        <v>416.24</v>
      </c>
    </row>
    <row r="67" spans="1:21" ht="12.75" customHeight="1">
      <c r="A67" s="312">
        <v>62</v>
      </c>
      <c r="B67" s="313">
        <f>IF(LEN(USPS_Pri_Int_Base!B63)&gt;0,ROUND(USPS_Pri_Int_Base!B63*(1+PostalMarkup),2),"N/A")</f>
        <v>331.37</v>
      </c>
      <c r="C67" s="313">
        <f>IF(LEN(USPS_Pri_Int_Base!C63)&gt;0,ROUND(USPS_Pri_Int_Base!C63*(1+PostalMarkup),2),"N/A")</f>
        <v>353.97</v>
      </c>
      <c r="D67" s="313">
        <f>IF(LEN(USPS_Pri_Int_Base!D63)&gt;0,ROUND(USPS_Pri_Int_Base!D63*(1+PostalMarkup),2),"N/A")</f>
        <v>507.67</v>
      </c>
      <c r="E67" s="313">
        <f>IF(LEN(USPS_Pri_Int_Base!E63)&gt;0,ROUND(USPS_Pri_Int_Base!E63*(1+PostalMarkup),2),"N/A")</f>
        <v>386.8</v>
      </c>
      <c r="F67" s="313">
        <f>IF(LEN(USPS_Pri_Int_Base!F63)&gt;0,ROUND(USPS_Pri_Int_Base!F63*(1+PostalMarkup),2),"N/A")</f>
        <v>403.19</v>
      </c>
      <c r="G67" s="313">
        <f>IF(LEN(USPS_Pri_Int_Base!G63)&gt;0,ROUND(USPS_Pri_Int_Base!G63*(1+PostalMarkup),2),"N/A")</f>
        <v>491.68</v>
      </c>
      <c r="H67" s="313">
        <f>IF(LEN(USPS_Pri_Int_Base!H63)&gt;0,ROUND(USPS_Pri_Int_Base!H63*(1+PostalMarkup),2),"N/A")</f>
        <v>514.74</v>
      </c>
      <c r="I67" s="313">
        <f>IF(LEN(USPS_Pri_Int_Base!I63)&gt;0,ROUND(USPS_Pri_Int_Base!I63*(1+PostalMarkup),2),"N/A")</f>
        <v>588.34</v>
      </c>
      <c r="J67" s="313">
        <f>IF(LEN(USPS_Pri_Int_Base!J63)&gt;0,ROUND(USPS_Pri_Int_Base!J63*(1+PostalMarkup),2),"N/A")</f>
        <v>635.84</v>
      </c>
      <c r="K67" s="313">
        <f>IF(LEN(USPS_Pri_Int_Base!K63)&gt;0,ROUND(USPS_Pri_Int_Base!K63*(1+PostalMarkup),2),"N/A")</f>
        <v>463.74</v>
      </c>
      <c r="L67" s="313">
        <f>IF(LEN(USPS_Pri_Int_Base!L63)&gt;0,ROUND(USPS_Pri_Int_Base!L63*(1+PostalMarkup),2),"N/A")</f>
        <v>532.62</v>
      </c>
      <c r="M67" s="313">
        <f>IF(LEN(USPS_Pri_Int_Base!M63)&gt;0,ROUND(USPS_Pri_Int_Base!M63*(1+PostalMarkup),2),"N/A")</f>
        <v>745.03</v>
      </c>
      <c r="N67" s="313">
        <f>IF(LEN(USPS_Pri_Int_Base!N63)&gt;0,ROUND(USPS_Pri_Int_Base!N63*(1+PostalMarkup),2),"N/A")</f>
        <v>496.51</v>
      </c>
      <c r="O67" s="313">
        <f>IF(LEN(USPS_Pri_Int_Base!O63)&gt;0,ROUND(USPS_Pri_Int_Base!O63*(1+PostalMarkup),2),"N/A")</f>
        <v>427.23</v>
      </c>
      <c r="P67" s="313">
        <f>IF(LEN(USPS_Pri_Int_Base!P63)&gt;0,ROUND(USPS_Pri_Int_Base!P63*(1+PostalMarkup),2),"N/A")</f>
        <v>360.41</v>
      </c>
      <c r="Q67" s="313">
        <f>IF(LEN(USPS_Pri_Int_Base!Q63)&gt;0,ROUND(USPS_Pri_Int_Base!Q63*(1+PostalMarkup),2),"N/A")</f>
        <v>393.47</v>
      </c>
      <c r="R67" s="313">
        <f>IF(LEN(USPS_Pri_Int_Base!R63)&gt;0,ROUND(USPS_Pri_Int_Base!R63*(1+PostalMarkup),2),"N/A")</f>
        <v>370.19</v>
      </c>
      <c r="S67" s="313">
        <f>IF(LEN(USPS_Pri_Int_Base!S63)&gt;0,ROUND(USPS_Pri_Int_Base!S63*(1+PostalMarkup),2),"N/A")</f>
        <v>402.44</v>
      </c>
      <c r="T67" s="313" t="str">
        <f>IF(LEN(USPS_Pri_Int_Base!T63)&gt;0,ROUND(USPS_Pri_Int_Base!T63*(1+PostalMarkup),2),"N/A")</f>
        <v>N/A</v>
      </c>
      <c r="U67" s="313">
        <f>IF(LEN(USPS_Pri_Int_Base!U63)&gt;0,ROUND(USPS_Pri_Int_Base!U63*(1+PostalMarkup),2),"N/A")</f>
        <v>421.99</v>
      </c>
    </row>
    <row r="68" spans="1:21" ht="12.75" customHeight="1">
      <c r="A68" s="312">
        <v>63</v>
      </c>
      <c r="B68" s="313">
        <f>IF(LEN(USPS_Pri_Int_Base!B64)&gt;0,ROUND(USPS_Pri_Int_Base!B64*(1+PostalMarkup),2),"N/A")</f>
        <v>336.26</v>
      </c>
      <c r="C68" s="313">
        <f>IF(LEN(USPS_Pri_Int_Base!C64)&gt;0,ROUND(USPS_Pri_Int_Base!C64*(1+PostalMarkup),2),"N/A")</f>
        <v>358.74</v>
      </c>
      <c r="D68" s="313">
        <f>IF(LEN(USPS_Pri_Int_Base!D64)&gt;0,ROUND(USPS_Pri_Int_Base!D64*(1+PostalMarkup),2),"N/A")</f>
        <v>514.86</v>
      </c>
      <c r="E68" s="313">
        <f>IF(LEN(USPS_Pri_Int_Base!E64)&gt;0,ROUND(USPS_Pri_Int_Base!E64*(1+PostalMarkup),2),"N/A")</f>
        <v>391.98</v>
      </c>
      <c r="F68" s="313">
        <f>IF(LEN(USPS_Pri_Int_Base!F64)&gt;0,ROUND(USPS_Pri_Int_Base!F64*(1+PostalMarkup),2),"N/A")</f>
        <v>408.65</v>
      </c>
      <c r="G68" s="313">
        <f>IF(LEN(USPS_Pri_Int_Base!G64)&gt;0,ROUND(USPS_Pri_Int_Base!G64*(1+PostalMarkup),2),"N/A")</f>
        <v>498.76</v>
      </c>
      <c r="H68" s="313">
        <f>IF(LEN(USPS_Pri_Int_Base!H64)&gt;0,ROUND(USPS_Pri_Int_Base!H64*(1+PostalMarkup),2),"N/A")</f>
        <v>523.14</v>
      </c>
      <c r="I68" s="313">
        <f>IF(LEN(USPS_Pri_Int_Base!I64)&gt;0,ROUND(USPS_Pri_Int_Base!I64*(1+PostalMarkup),2),"N/A")</f>
        <v>596.79</v>
      </c>
      <c r="J68" s="313">
        <f>IF(LEN(USPS_Pri_Int_Base!J64)&gt;0,ROUND(USPS_Pri_Int_Base!J64*(1+PostalMarkup),2),"N/A")</f>
        <v>645.09</v>
      </c>
      <c r="K68" s="313">
        <f>IF(LEN(USPS_Pri_Int_Base!K64)&gt;0,ROUND(USPS_Pri_Int_Base!K64*(1+PostalMarkup),2),"N/A")</f>
        <v>470.12</v>
      </c>
      <c r="L68" s="313">
        <f>IF(LEN(USPS_Pri_Int_Base!L64)&gt;0,ROUND(USPS_Pri_Int_Base!L64*(1+PostalMarkup),2),"N/A")</f>
        <v>540.21</v>
      </c>
      <c r="M68" s="313">
        <f>IF(LEN(USPS_Pri_Int_Base!M64)&gt;0,ROUND(USPS_Pri_Int_Base!M64*(1+PostalMarkup),2),"N/A")</f>
        <v>756.13</v>
      </c>
      <c r="N68" s="313">
        <f>IF(LEN(USPS_Pri_Int_Base!N64)&gt;0,ROUND(USPS_Pri_Int_Base!N64*(1+PostalMarkup),2),"N/A")</f>
        <v>505.66</v>
      </c>
      <c r="O68" s="313">
        <f>IF(LEN(USPS_Pri_Int_Base!O64)&gt;0,ROUND(USPS_Pri_Int_Base!O64*(1+PostalMarkup),2),"N/A")</f>
        <v>433.21</v>
      </c>
      <c r="P68" s="313">
        <f>IF(LEN(USPS_Pri_Int_Base!P64)&gt;0,ROUND(USPS_Pri_Int_Base!P64*(1+PostalMarkup),2),"N/A")</f>
        <v>365.18</v>
      </c>
      <c r="Q68" s="313">
        <f>IF(LEN(USPS_Pri_Int_Base!Q64)&gt;0,ROUND(USPS_Pri_Int_Base!Q64*(1+PostalMarkup),2),"N/A")</f>
        <v>398.65</v>
      </c>
      <c r="R68" s="313">
        <f>IF(LEN(USPS_Pri_Int_Base!R64)&gt;0,ROUND(USPS_Pri_Int_Base!R64*(1+PostalMarkup),2),"N/A")</f>
        <v>375.07</v>
      </c>
      <c r="S68" s="313">
        <f>IF(LEN(USPS_Pri_Int_Base!S64)&gt;0,ROUND(USPS_Pri_Int_Base!S64*(1+PostalMarkup),2),"N/A")</f>
        <v>407.68</v>
      </c>
      <c r="T68" s="313" t="str">
        <f>IF(LEN(USPS_Pri_Int_Base!T64)&gt;0,ROUND(USPS_Pri_Int_Base!T64*(1+PostalMarkup),2),"N/A")</f>
        <v>N/A</v>
      </c>
      <c r="U68" s="313">
        <f>IF(LEN(USPS_Pri_Int_Base!U64)&gt;0,ROUND(USPS_Pri_Int_Base!U64*(1+PostalMarkup),2),"N/A")</f>
        <v>427.74</v>
      </c>
    </row>
    <row r="69" spans="1:21" ht="12.75" customHeight="1">
      <c r="A69" s="312">
        <v>64</v>
      </c>
      <c r="B69" s="313">
        <f>IF(LEN(USPS_Pri_Int_Base!B65)&gt;0,ROUND(USPS_Pri_Int_Base!B65*(1+PostalMarkup),2),"N/A")</f>
        <v>340.98</v>
      </c>
      <c r="C69" s="313">
        <f>IF(LEN(USPS_Pri_Int_Base!C65)&gt;0,ROUND(USPS_Pri_Int_Base!C65*(1+PostalMarkup),2),"N/A")</f>
        <v>364.15</v>
      </c>
      <c r="D69" s="313">
        <f>IF(LEN(USPS_Pri_Int_Base!D65)&gt;0,ROUND(USPS_Pri_Int_Base!D65*(1+PostalMarkup),2),"N/A")</f>
        <v>521.99</v>
      </c>
      <c r="E69" s="313">
        <f>IF(LEN(USPS_Pri_Int_Base!E65)&gt;0,ROUND(USPS_Pri_Int_Base!E65*(1+PostalMarkup),2),"N/A")</f>
        <v>397.5</v>
      </c>
      <c r="F69" s="313">
        <f>IF(LEN(USPS_Pri_Int_Base!F65)&gt;0,ROUND(USPS_Pri_Int_Base!F65*(1+PostalMarkup),2),"N/A")</f>
        <v>414.06</v>
      </c>
      <c r="G69" s="313">
        <f>IF(LEN(USPS_Pri_Int_Base!G65)&gt;0,ROUND(USPS_Pri_Int_Base!G65*(1+PostalMarkup),2),"N/A")</f>
        <v>505.83</v>
      </c>
      <c r="H69" s="313">
        <f>IF(LEN(USPS_Pri_Int_Base!H65)&gt;0,ROUND(USPS_Pri_Int_Base!H65*(1+PostalMarkup),2),"N/A")</f>
        <v>530.27</v>
      </c>
      <c r="I69" s="313">
        <f>IF(LEN(USPS_Pri_Int_Base!I65)&gt;0,ROUND(USPS_Pri_Int_Base!I65*(1+PostalMarkup),2),"N/A")</f>
        <v>605.29999999999995</v>
      </c>
      <c r="J69" s="313">
        <f>IF(LEN(USPS_Pri_Int_Base!J65)&gt;0,ROUND(USPS_Pri_Int_Base!J65*(1+PostalMarkup),2),"N/A")</f>
        <v>654.24</v>
      </c>
      <c r="K69" s="313">
        <f>IF(LEN(USPS_Pri_Int_Base!K65)&gt;0,ROUND(USPS_Pri_Int_Base!K65*(1+PostalMarkup),2),"N/A")</f>
        <v>476.56</v>
      </c>
      <c r="L69" s="313">
        <f>IF(LEN(USPS_Pri_Int_Base!L65)&gt;0,ROUND(USPS_Pri_Int_Base!L65*(1+PostalMarkup),2),"N/A")</f>
        <v>547.79999999999995</v>
      </c>
      <c r="M69" s="313">
        <f>IF(LEN(USPS_Pri_Int_Base!M65)&gt;0,ROUND(USPS_Pri_Int_Base!M65*(1+PostalMarkup),2),"N/A")</f>
        <v>767.28</v>
      </c>
      <c r="N69" s="313">
        <f>IF(LEN(USPS_Pri_Int_Base!N65)&gt;0,ROUND(USPS_Pri_Int_Base!N65*(1+PostalMarkup),2),"N/A")</f>
        <v>511.52</v>
      </c>
      <c r="O69" s="313">
        <f>IF(LEN(USPS_Pri_Int_Base!O65)&gt;0,ROUND(USPS_Pri_Int_Base!O65*(1+PostalMarkup),2),"N/A")</f>
        <v>439.19</v>
      </c>
      <c r="P69" s="313">
        <f>IF(LEN(USPS_Pri_Int_Base!P65)&gt;0,ROUND(USPS_Pri_Int_Base!P65*(1+PostalMarkup),2),"N/A")</f>
        <v>369.96</v>
      </c>
      <c r="Q69" s="313">
        <f>IF(LEN(USPS_Pri_Int_Base!Q65)&gt;0,ROUND(USPS_Pri_Int_Base!Q65*(1+PostalMarkup),2),"N/A")</f>
        <v>403.88</v>
      </c>
      <c r="R69" s="313">
        <f>IF(LEN(USPS_Pri_Int_Base!R65)&gt;0,ROUND(USPS_Pri_Int_Base!R65*(1+PostalMarkup),2),"N/A")</f>
        <v>379.96</v>
      </c>
      <c r="S69" s="313">
        <f>IF(LEN(USPS_Pri_Int_Base!S65)&gt;0,ROUND(USPS_Pri_Int_Base!S65*(1+PostalMarkup),2),"N/A")</f>
        <v>412.91</v>
      </c>
      <c r="T69" s="313" t="str">
        <f>IF(LEN(USPS_Pri_Int_Base!T65)&gt;0,ROUND(USPS_Pri_Int_Base!T65*(1+PostalMarkup),2),"N/A")</f>
        <v>N/A</v>
      </c>
      <c r="U69" s="313">
        <f>IF(LEN(USPS_Pri_Int_Base!U65)&gt;0,ROUND(USPS_Pri_Int_Base!U65*(1+PostalMarkup),2),"N/A")</f>
        <v>433.44</v>
      </c>
    </row>
    <row r="70" spans="1:21" ht="12.75" customHeight="1">
      <c r="A70" s="312">
        <v>65</v>
      </c>
      <c r="B70" s="313">
        <f>IF(LEN(USPS_Pri_Int_Base!B66)&gt;0,ROUND(USPS_Pri_Int_Base!B66*(1+PostalMarkup),2),"N/A")</f>
        <v>345.81</v>
      </c>
      <c r="C70" s="313">
        <f>IF(LEN(USPS_Pri_Int_Base!C66)&gt;0,ROUND(USPS_Pri_Int_Base!C66*(1+PostalMarkup),2),"N/A")</f>
        <v>368.75</v>
      </c>
      <c r="D70" s="313">
        <f>IF(LEN(USPS_Pri_Int_Base!D66)&gt;0,ROUND(USPS_Pri_Int_Base!D66*(1+PostalMarkup),2),"N/A")</f>
        <v>529.12</v>
      </c>
      <c r="E70" s="313">
        <f>IF(LEN(USPS_Pri_Int_Base!E66)&gt;0,ROUND(USPS_Pri_Int_Base!E66*(1+PostalMarkup),2),"N/A")</f>
        <v>403.08</v>
      </c>
      <c r="F70" s="313">
        <f>IF(LEN(USPS_Pri_Int_Base!F66)&gt;0,ROUND(USPS_Pri_Int_Base!F66*(1+PostalMarkup),2),"N/A")</f>
        <v>419.52</v>
      </c>
      <c r="G70" s="313">
        <f>IF(LEN(USPS_Pri_Int_Base!G66)&gt;0,ROUND(USPS_Pri_Int_Base!G66*(1+PostalMarkup),2),"N/A")</f>
        <v>512.9</v>
      </c>
      <c r="H70" s="313">
        <f>IF(LEN(USPS_Pri_Int_Base!H66)&gt;0,ROUND(USPS_Pri_Int_Base!H66*(1+PostalMarkup),2),"N/A")</f>
        <v>538.78</v>
      </c>
      <c r="I70" s="313">
        <f>IF(LEN(USPS_Pri_Int_Base!I66)&gt;0,ROUND(USPS_Pri_Int_Base!I66*(1+PostalMarkup),2),"N/A")</f>
        <v>613.76</v>
      </c>
      <c r="J70" s="313">
        <f>IF(LEN(USPS_Pri_Int_Base!J66)&gt;0,ROUND(USPS_Pri_Int_Base!J66*(1+PostalMarkup),2),"N/A")</f>
        <v>663.44</v>
      </c>
      <c r="K70" s="313">
        <f>IF(LEN(USPS_Pri_Int_Base!K66)&gt;0,ROUND(USPS_Pri_Int_Base!K66*(1+PostalMarkup),2),"N/A")</f>
        <v>483</v>
      </c>
      <c r="L70" s="313">
        <f>IF(LEN(USPS_Pri_Int_Base!L66)&gt;0,ROUND(USPS_Pri_Int_Base!L66*(1+PostalMarkup),2),"N/A")</f>
        <v>555.39</v>
      </c>
      <c r="M70" s="313">
        <f>IF(LEN(USPS_Pri_Int_Base!M66)&gt;0,ROUND(USPS_Pri_Int_Base!M66*(1+PostalMarkup),2),"N/A")</f>
        <v>778.38</v>
      </c>
      <c r="N70" s="313">
        <f>IF(LEN(USPS_Pri_Int_Base!N66)&gt;0,ROUND(USPS_Pri_Int_Base!N66*(1+PostalMarkup),2),"N/A")</f>
        <v>517.96</v>
      </c>
      <c r="O70" s="313">
        <f>IF(LEN(USPS_Pri_Int_Base!O66)&gt;0,ROUND(USPS_Pri_Int_Base!O66*(1+PostalMarkup),2),"N/A")</f>
        <v>445.34</v>
      </c>
      <c r="P70" s="313">
        <f>IF(LEN(USPS_Pri_Int_Base!P66)&gt;0,ROUND(USPS_Pri_Int_Base!P66*(1+PostalMarkup),2),"N/A")</f>
        <v>374.79</v>
      </c>
      <c r="Q70" s="313">
        <f>IF(LEN(USPS_Pri_Int_Base!Q66)&gt;0,ROUND(USPS_Pri_Int_Base!Q66*(1+PostalMarkup),2),"N/A")</f>
        <v>409.11</v>
      </c>
      <c r="R70" s="313">
        <f>IF(LEN(USPS_Pri_Int_Base!R66)&gt;0,ROUND(USPS_Pri_Int_Base!R66*(1+PostalMarkup),2),"N/A")</f>
        <v>384.91</v>
      </c>
      <c r="S70" s="313">
        <f>IF(LEN(USPS_Pri_Int_Base!S66)&gt;0,ROUND(USPS_Pri_Int_Base!S66*(1+PostalMarkup),2),"N/A")</f>
        <v>418.14</v>
      </c>
      <c r="T70" s="313" t="str">
        <f>IF(LEN(USPS_Pri_Int_Base!T66)&gt;0,ROUND(USPS_Pri_Int_Base!T66*(1+PostalMarkup),2),"N/A")</f>
        <v>N/A</v>
      </c>
      <c r="U70" s="313">
        <f>IF(LEN(USPS_Pri_Int_Base!U66)&gt;0,ROUND(USPS_Pri_Int_Base!U66*(1+PostalMarkup),2),"N/A")</f>
        <v>439.19</v>
      </c>
    </row>
    <row r="71" spans="1:21" ht="12.75" customHeight="1">
      <c r="A71" s="312">
        <v>66</v>
      </c>
      <c r="B71" s="313">
        <f>IF(LEN(USPS_Pri_Int_Base!B67)&gt;0,ROUND(USPS_Pri_Int_Base!B67*(1+PostalMarkup),2),"N/A")</f>
        <v>351.84</v>
      </c>
      <c r="C71" s="313">
        <f>IF(LEN(USPS_Pri_Int_Base!C67)&gt;0,ROUND(USPS_Pri_Int_Base!C67*(1+PostalMarkup),2),"N/A")</f>
        <v>373.46</v>
      </c>
      <c r="D71" s="313">
        <f>IF(LEN(USPS_Pri_Int_Base!D67)&gt;0,ROUND(USPS_Pri_Int_Base!D67*(1+PostalMarkup),2),"N/A")</f>
        <v>536.25</v>
      </c>
      <c r="E71" s="313">
        <f>IF(LEN(USPS_Pri_Int_Base!E67)&gt;0,ROUND(USPS_Pri_Int_Base!E67*(1+PostalMarkup),2),"N/A")</f>
        <v>408.77</v>
      </c>
      <c r="F71" s="313">
        <f>IF(LEN(USPS_Pri_Int_Base!F67)&gt;0,ROUND(USPS_Pri_Int_Base!F67*(1+PostalMarkup),2),"N/A")</f>
        <v>424.98</v>
      </c>
      <c r="G71" s="313">
        <f>IF(LEN(USPS_Pri_Int_Base!G67)&gt;0,ROUND(USPS_Pri_Int_Base!G67*(1+PostalMarkup),2),"N/A")</f>
        <v>519.97</v>
      </c>
      <c r="H71" s="313">
        <f>IF(LEN(USPS_Pri_Int_Base!H67)&gt;0,ROUND(USPS_Pri_Int_Base!H67*(1+PostalMarkup),2),"N/A")</f>
        <v>543.32000000000005</v>
      </c>
      <c r="I71" s="313">
        <f>IF(LEN(USPS_Pri_Int_Base!I67)&gt;0,ROUND(USPS_Pri_Int_Base!I67*(1+PostalMarkup),2),"N/A")</f>
        <v>622.21</v>
      </c>
      <c r="J71" s="313">
        <f>IF(LEN(USPS_Pri_Int_Base!J67)&gt;0,ROUND(USPS_Pri_Int_Base!J67*(1+PostalMarkup),2),"N/A")</f>
        <v>672.58</v>
      </c>
      <c r="K71" s="313">
        <f>IF(LEN(USPS_Pri_Int_Base!K67)&gt;0,ROUND(USPS_Pri_Int_Base!K67*(1+PostalMarkup),2),"N/A")</f>
        <v>489.38</v>
      </c>
      <c r="L71" s="313">
        <f>IF(LEN(USPS_Pri_Int_Base!L67)&gt;0,ROUND(USPS_Pri_Int_Base!L67*(1+PostalMarkup),2),"N/A")</f>
        <v>562.98</v>
      </c>
      <c r="M71" s="313">
        <f>IF(LEN(USPS_Pri_Int_Base!M67)&gt;0,ROUND(USPS_Pri_Int_Base!M67*(1+PostalMarkup),2),"N/A")</f>
        <v>789.48</v>
      </c>
      <c r="N71" s="313">
        <f>IF(LEN(USPS_Pri_Int_Base!N67)&gt;0,ROUND(USPS_Pri_Int_Base!N67*(1+PostalMarkup),2),"N/A")</f>
        <v>528.37</v>
      </c>
      <c r="O71" s="313">
        <f>IF(LEN(USPS_Pri_Int_Base!O67)&gt;0,ROUND(USPS_Pri_Int_Base!O67*(1+PostalMarkup),2),"N/A")</f>
        <v>453.91</v>
      </c>
      <c r="P71" s="313">
        <f>IF(LEN(USPS_Pri_Int_Base!P67)&gt;0,ROUND(USPS_Pri_Int_Base!P67*(1+PostalMarkup),2),"N/A")</f>
        <v>379.5</v>
      </c>
      <c r="Q71" s="313">
        <f>IF(LEN(USPS_Pri_Int_Base!Q67)&gt;0,ROUND(USPS_Pri_Int_Base!Q67*(1+PostalMarkup),2),"N/A")</f>
        <v>414.35</v>
      </c>
      <c r="R71" s="313">
        <f>IF(LEN(USPS_Pri_Int_Base!R67)&gt;0,ROUND(USPS_Pri_Int_Base!R67*(1+PostalMarkup),2),"N/A")</f>
        <v>389.79</v>
      </c>
      <c r="S71" s="313">
        <f>IF(LEN(USPS_Pri_Int_Base!S67)&gt;0,ROUND(USPS_Pri_Int_Base!S67*(1+PostalMarkup),2),"N/A")</f>
        <v>423.37</v>
      </c>
      <c r="T71" s="313" t="str">
        <f>IF(LEN(USPS_Pri_Int_Base!T67)&gt;0,ROUND(USPS_Pri_Int_Base!T67*(1+PostalMarkup),2),"N/A")</f>
        <v>N/A</v>
      </c>
      <c r="U71" s="313">
        <f>IF(LEN(USPS_Pri_Int_Base!U67)&gt;0,ROUND(USPS_Pri_Int_Base!U67*(1+PostalMarkup),2),"N/A")</f>
        <v>444.94</v>
      </c>
    </row>
    <row r="72" spans="1:21" ht="12.75" customHeight="1">
      <c r="A72" s="312">
        <v>67</v>
      </c>
      <c r="B72" s="313" t="str">
        <f>IF(LEN(USPS_Pri_Int_Base!B68)&gt;0,ROUND(USPS_Pri_Int_Base!B68*(1+PostalMarkup),2),"N/A")</f>
        <v>N/A</v>
      </c>
      <c r="C72" s="313">
        <f>IF(LEN(USPS_Pri_Int_Base!C68)&gt;0,ROUND(USPS_Pri_Int_Base!C68*(1+PostalMarkup),2),"N/A")</f>
        <v>378.64</v>
      </c>
      <c r="D72" s="313">
        <f>IF(LEN(USPS_Pri_Int_Base!D68)&gt;0,ROUND(USPS_Pri_Int_Base!D68*(1+PostalMarkup),2),"N/A")</f>
        <v>543.42999999999995</v>
      </c>
      <c r="E72" s="313">
        <f>IF(LEN(USPS_Pri_Int_Base!E68)&gt;0,ROUND(USPS_Pri_Int_Base!E68*(1+PostalMarkup),2),"N/A")</f>
        <v>412.97</v>
      </c>
      <c r="F72" s="313">
        <f>IF(LEN(USPS_Pri_Int_Base!F68)&gt;0,ROUND(USPS_Pri_Int_Base!F68*(1+PostalMarkup),2),"N/A")</f>
        <v>430.45</v>
      </c>
      <c r="G72" s="313">
        <f>IF(LEN(USPS_Pri_Int_Base!G68)&gt;0,ROUND(USPS_Pri_Int_Base!G68*(1+PostalMarkup),2),"N/A")</f>
        <v>526.99</v>
      </c>
      <c r="H72" s="313">
        <f>IF(LEN(USPS_Pri_Int_Base!H68)&gt;0,ROUND(USPS_Pri_Int_Base!H68*(1+PostalMarkup),2),"N/A")</f>
        <v>554.99</v>
      </c>
      <c r="I72" s="313">
        <f>IF(LEN(USPS_Pri_Int_Base!I68)&gt;0,ROUND(USPS_Pri_Int_Base!I68*(1+PostalMarkup),2),"N/A")</f>
        <v>630.66</v>
      </c>
      <c r="J72" s="313">
        <f>IF(LEN(USPS_Pri_Int_Base!J68)&gt;0,ROUND(USPS_Pri_Int_Base!J68*(1+PostalMarkup),2),"N/A")</f>
        <v>681.66</v>
      </c>
      <c r="K72" s="313">
        <f>IF(LEN(USPS_Pri_Int_Base!K68)&gt;0,ROUND(USPS_Pri_Int_Base!K68*(1+PostalMarkup),2),"N/A")</f>
        <v>495.82</v>
      </c>
      <c r="L72" s="313">
        <f>IF(LEN(USPS_Pri_Int_Base!L68)&gt;0,ROUND(USPS_Pri_Int_Base!L68*(1+PostalMarkup),2),"N/A")</f>
        <v>570.52</v>
      </c>
      <c r="M72" s="313" t="str">
        <f>IF(LEN(USPS_Pri_Int_Base!M68)&gt;0,ROUND(USPS_Pri_Int_Base!M68*(1+PostalMarkup),2),"N/A")</f>
        <v>N/A</v>
      </c>
      <c r="N72" s="313" t="str">
        <f>IF(LEN(USPS_Pri_Int_Base!N68)&gt;0,ROUND(USPS_Pri_Int_Base!N68*(1+PostalMarkup),2),"N/A")</f>
        <v>N/A</v>
      </c>
      <c r="O72" s="313" t="str">
        <f>IF(LEN(USPS_Pri_Int_Base!O68)&gt;0,ROUND(USPS_Pri_Int_Base!O68*(1+PostalMarkup),2),"N/A")</f>
        <v>N/A</v>
      </c>
      <c r="P72" s="313" t="str">
        <f>IF(LEN(USPS_Pri_Int_Base!P68)&gt;0,ROUND(USPS_Pri_Int_Base!P68*(1+PostalMarkup),2),"N/A")</f>
        <v>N/A</v>
      </c>
      <c r="Q72" s="313">
        <f>IF(LEN(USPS_Pri_Int_Base!Q68)&gt;0,ROUND(USPS_Pri_Int_Base!Q68*(1+PostalMarkup),2),"N/A")</f>
        <v>419.58</v>
      </c>
      <c r="R72" s="313" t="str">
        <f>IF(LEN(USPS_Pri_Int_Base!R68)&gt;0,ROUND(USPS_Pri_Int_Base!R68*(1+PostalMarkup),2),"N/A")</f>
        <v>N/A</v>
      </c>
      <c r="S72" s="313" t="str">
        <f>IF(LEN(USPS_Pri_Int_Base!S68)&gt;0,ROUND(USPS_Pri_Int_Base!S68*(1+PostalMarkup),2),"N/A")</f>
        <v>N/A</v>
      </c>
      <c r="T72" s="313" t="str">
        <f>IF(LEN(USPS_Pri_Int_Base!T68)&gt;0,ROUND(USPS_Pri_Int_Base!T68*(1+PostalMarkup),2),"N/A")</f>
        <v>N/A</v>
      </c>
      <c r="U72" s="313" t="str">
        <f>IF(LEN(USPS_Pri_Int_Base!U68)&gt;0,ROUND(USPS_Pri_Int_Base!U68*(1+PostalMarkup),2),"N/A")</f>
        <v>N/A</v>
      </c>
    </row>
    <row r="73" spans="1:21" ht="12.75" customHeight="1">
      <c r="A73" s="312">
        <v>68</v>
      </c>
      <c r="B73" s="313" t="str">
        <f>IF(LEN(USPS_Pri_Int_Base!B69)&gt;0,ROUND(USPS_Pri_Int_Base!B69*(1+PostalMarkup),2),"N/A")</f>
        <v>N/A</v>
      </c>
      <c r="C73" s="313">
        <f>IF(LEN(USPS_Pri_Int_Base!C69)&gt;0,ROUND(USPS_Pri_Int_Base!C69*(1+PostalMarkup),2),"N/A")</f>
        <v>383.76</v>
      </c>
      <c r="D73" s="313">
        <f>IF(LEN(USPS_Pri_Int_Base!D69)&gt;0,ROUND(USPS_Pri_Int_Base!D69*(1+PostalMarkup),2),"N/A")</f>
        <v>550.55999999999995</v>
      </c>
      <c r="E73" s="313">
        <f>IF(LEN(USPS_Pri_Int_Base!E69)&gt;0,ROUND(USPS_Pri_Int_Base!E69*(1+PostalMarkup),2),"N/A")</f>
        <v>419.46</v>
      </c>
      <c r="F73" s="313">
        <f>IF(LEN(USPS_Pri_Int_Base!F69)&gt;0,ROUND(USPS_Pri_Int_Base!F69*(1+PostalMarkup),2),"N/A")</f>
        <v>435.91</v>
      </c>
      <c r="G73" s="313">
        <f>IF(LEN(USPS_Pri_Int_Base!G69)&gt;0,ROUND(USPS_Pri_Int_Base!G69*(1+PostalMarkup),2),"N/A")</f>
        <v>534.05999999999995</v>
      </c>
      <c r="H73" s="313">
        <f>IF(LEN(USPS_Pri_Int_Base!H69)&gt;0,ROUND(USPS_Pri_Int_Base!H69*(1+PostalMarkup),2),"N/A")</f>
        <v>560.45000000000005</v>
      </c>
      <c r="I73" s="313">
        <f>IF(LEN(USPS_Pri_Int_Base!I69)&gt;0,ROUND(USPS_Pri_Int_Base!I69*(1+PostalMarkup),2),"N/A")</f>
        <v>639.16999999999996</v>
      </c>
      <c r="J73" s="313">
        <f>IF(LEN(USPS_Pri_Int_Base!J69)&gt;0,ROUND(USPS_Pri_Int_Base!J69*(1+PostalMarkup),2),"N/A")</f>
        <v>690.86</v>
      </c>
      <c r="K73" s="313">
        <f>IF(LEN(USPS_Pri_Int_Base!K69)&gt;0,ROUND(USPS_Pri_Int_Base!K69*(1+PostalMarkup),2),"N/A")</f>
        <v>502.26</v>
      </c>
      <c r="L73" s="313">
        <f>IF(LEN(USPS_Pri_Int_Base!L69)&gt;0,ROUND(USPS_Pri_Int_Base!L69*(1+PostalMarkup),2),"N/A")</f>
        <v>578.11</v>
      </c>
      <c r="M73" s="313" t="str">
        <f>IF(LEN(USPS_Pri_Int_Base!M69)&gt;0,ROUND(USPS_Pri_Int_Base!M69*(1+PostalMarkup),2),"N/A")</f>
        <v>N/A</v>
      </c>
      <c r="N73" s="313" t="str">
        <f>IF(LEN(USPS_Pri_Int_Base!N69)&gt;0,ROUND(USPS_Pri_Int_Base!N69*(1+PostalMarkup),2),"N/A")</f>
        <v>N/A</v>
      </c>
      <c r="O73" s="313" t="str">
        <f>IF(LEN(USPS_Pri_Int_Base!O69)&gt;0,ROUND(USPS_Pri_Int_Base!O69*(1+PostalMarkup),2),"N/A")</f>
        <v>N/A</v>
      </c>
      <c r="P73" s="313" t="str">
        <f>IF(LEN(USPS_Pri_Int_Base!P69)&gt;0,ROUND(USPS_Pri_Int_Base!P69*(1+PostalMarkup),2),"N/A")</f>
        <v>N/A</v>
      </c>
      <c r="Q73" s="313">
        <f>IF(LEN(USPS_Pri_Int_Base!Q69)&gt;0,ROUND(USPS_Pri_Int_Base!Q69*(1+PostalMarkup),2),"N/A")</f>
        <v>424.75</v>
      </c>
      <c r="R73" s="313" t="str">
        <f>IF(LEN(USPS_Pri_Int_Base!R69)&gt;0,ROUND(USPS_Pri_Int_Base!R69*(1+PostalMarkup),2),"N/A")</f>
        <v>N/A</v>
      </c>
      <c r="S73" s="313" t="str">
        <f>IF(LEN(USPS_Pri_Int_Base!S69)&gt;0,ROUND(USPS_Pri_Int_Base!S69*(1+PostalMarkup),2),"N/A")</f>
        <v>N/A</v>
      </c>
      <c r="T73" s="313" t="str">
        <f>IF(LEN(USPS_Pri_Int_Base!T69)&gt;0,ROUND(USPS_Pri_Int_Base!T69*(1+PostalMarkup),2),"N/A")</f>
        <v>N/A</v>
      </c>
      <c r="U73" s="313" t="str">
        <f>IF(LEN(USPS_Pri_Int_Base!U69)&gt;0,ROUND(USPS_Pri_Int_Base!U69*(1+PostalMarkup),2),"N/A")</f>
        <v>N/A</v>
      </c>
    </row>
    <row r="74" spans="1:21" ht="12.75" customHeight="1">
      <c r="A74" s="312">
        <v>69</v>
      </c>
      <c r="B74" s="313" t="str">
        <f>IF(LEN(USPS_Pri_Int_Base!B70)&gt;0,ROUND(USPS_Pri_Int_Base!B70*(1+PostalMarkup),2),"N/A")</f>
        <v>N/A</v>
      </c>
      <c r="C74" s="313">
        <f>IF(LEN(USPS_Pri_Int_Base!C70)&gt;0,ROUND(USPS_Pri_Int_Base!C70*(1+PostalMarkup),2),"N/A")</f>
        <v>388.59</v>
      </c>
      <c r="D74" s="313">
        <f>IF(LEN(USPS_Pri_Int_Base!D70)&gt;0,ROUND(USPS_Pri_Int_Base!D70*(1+PostalMarkup),2),"N/A")</f>
        <v>557.75</v>
      </c>
      <c r="E74" s="313">
        <f>IF(LEN(USPS_Pri_Int_Base!E70)&gt;0,ROUND(USPS_Pri_Int_Base!E70*(1+PostalMarkup),2),"N/A")</f>
        <v>423.09</v>
      </c>
      <c r="F74" s="313">
        <f>IF(LEN(USPS_Pri_Int_Base!F70)&gt;0,ROUND(USPS_Pri_Int_Base!F70*(1+PostalMarkup),2),"N/A")</f>
        <v>441.37</v>
      </c>
      <c r="G74" s="313">
        <f>IF(LEN(USPS_Pri_Int_Base!G70)&gt;0,ROUND(USPS_Pri_Int_Base!G70*(1+PostalMarkup),2),"N/A")</f>
        <v>541.13</v>
      </c>
      <c r="H74" s="313">
        <f>IF(LEN(USPS_Pri_Int_Base!H70)&gt;0,ROUND(USPS_Pri_Int_Base!H70*(1+PostalMarkup),2),"N/A")</f>
        <v>567.41</v>
      </c>
      <c r="I74" s="313">
        <f>IF(LEN(USPS_Pri_Int_Base!I70)&gt;0,ROUND(USPS_Pri_Int_Base!I70*(1+PostalMarkup),2),"N/A")</f>
        <v>647.67999999999995</v>
      </c>
      <c r="J74" s="313">
        <f>IF(LEN(USPS_Pri_Int_Base!J70)&gt;0,ROUND(USPS_Pri_Int_Base!J70*(1+PostalMarkup),2),"N/A")</f>
        <v>700.06</v>
      </c>
      <c r="K74" s="313">
        <f>IF(LEN(USPS_Pri_Int_Base!K70)&gt;0,ROUND(USPS_Pri_Int_Base!K70*(1+PostalMarkup),2),"N/A")</f>
        <v>508.65</v>
      </c>
      <c r="L74" s="313">
        <f>IF(LEN(USPS_Pri_Int_Base!L70)&gt;0,ROUND(USPS_Pri_Int_Base!L70*(1+PostalMarkup),2),"N/A")</f>
        <v>585.70000000000005</v>
      </c>
      <c r="M74" s="313" t="str">
        <f>IF(LEN(USPS_Pri_Int_Base!M70)&gt;0,ROUND(USPS_Pri_Int_Base!M70*(1+PostalMarkup),2),"N/A")</f>
        <v>N/A</v>
      </c>
      <c r="N74" s="313" t="str">
        <f>IF(LEN(USPS_Pri_Int_Base!N70)&gt;0,ROUND(USPS_Pri_Int_Base!N70*(1+PostalMarkup),2),"N/A")</f>
        <v>N/A</v>
      </c>
      <c r="O74" s="313" t="str">
        <f>IF(LEN(USPS_Pri_Int_Base!O70)&gt;0,ROUND(USPS_Pri_Int_Base!O70*(1+PostalMarkup),2),"N/A")</f>
        <v>N/A</v>
      </c>
      <c r="P74" s="313" t="str">
        <f>IF(LEN(USPS_Pri_Int_Base!P70)&gt;0,ROUND(USPS_Pri_Int_Base!P70*(1+PostalMarkup),2),"N/A")</f>
        <v>N/A</v>
      </c>
      <c r="Q74" s="313">
        <f>IF(LEN(USPS_Pri_Int_Base!Q70)&gt;0,ROUND(USPS_Pri_Int_Base!Q70*(1+PostalMarkup),2),"N/A")</f>
        <v>429.99</v>
      </c>
      <c r="R74" s="313" t="str">
        <f>IF(LEN(USPS_Pri_Int_Base!R70)&gt;0,ROUND(USPS_Pri_Int_Base!R70*(1+PostalMarkup),2),"N/A")</f>
        <v>N/A</v>
      </c>
      <c r="S74" s="313" t="str">
        <f>IF(LEN(USPS_Pri_Int_Base!S70)&gt;0,ROUND(USPS_Pri_Int_Base!S70*(1+PostalMarkup),2),"N/A")</f>
        <v>N/A</v>
      </c>
      <c r="T74" s="313" t="str">
        <f>IF(LEN(USPS_Pri_Int_Base!T70)&gt;0,ROUND(USPS_Pri_Int_Base!T70*(1+PostalMarkup),2),"N/A")</f>
        <v>N/A</v>
      </c>
      <c r="U74" s="313" t="str">
        <f>IF(LEN(USPS_Pri_Int_Base!U70)&gt;0,ROUND(USPS_Pri_Int_Base!U70*(1+PostalMarkup),2),"N/A")</f>
        <v>N/A</v>
      </c>
    </row>
    <row r="75" spans="1:21" ht="12.75" customHeight="1">
      <c r="A75" s="312">
        <v>70</v>
      </c>
      <c r="B75" s="313" t="str">
        <f>IF(LEN(USPS_Pri_Int_Base!B71)&gt;0,ROUND(USPS_Pri_Int_Base!B71*(1+PostalMarkup),2),"N/A")</f>
        <v>N/A</v>
      </c>
      <c r="C75" s="313">
        <f>IF(LEN(USPS_Pri_Int_Base!C71)&gt;0,ROUND(USPS_Pri_Int_Base!C71*(1+PostalMarkup),2),"N/A")</f>
        <v>395.83</v>
      </c>
      <c r="D75" s="313">
        <f>IF(LEN(USPS_Pri_Int_Base!D71)&gt;0,ROUND(USPS_Pri_Int_Base!D71*(1+PostalMarkup),2),"N/A")</f>
        <v>564.88</v>
      </c>
      <c r="E75" s="313">
        <f>IF(LEN(USPS_Pri_Int_Base!E71)&gt;0,ROUND(USPS_Pri_Int_Base!E71*(1+PostalMarkup),2),"N/A")</f>
        <v>432.46</v>
      </c>
      <c r="F75" s="313">
        <f>IF(LEN(USPS_Pri_Int_Base!F71)&gt;0,ROUND(USPS_Pri_Int_Base!F71*(1+PostalMarkup),2),"N/A")</f>
        <v>446.78</v>
      </c>
      <c r="G75" s="313">
        <f>IF(LEN(USPS_Pri_Int_Base!G71)&gt;0,ROUND(USPS_Pri_Int_Base!G71*(1+PostalMarkup),2),"N/A")</f>
        <v>548.21</v>
      </c>
      <c r="H75" s="313">
        <f>IF(LEN(USPS_Pri_Int_Base!H71)&gt;0,ROUND(USPS_Pri_Int_Base!H71*(1+PostalMarkup),2),"N/A")</f>
        <v>572.87</v>
      </c>
      <c r="I75" s="313">
        <f>IF(LEN(USPS_Pri_Int_Base!I71)&gt;0,ROUND(USPS_Pri_Int_Base!I71*(1+PostalMarkup),2),"N/A")</f>
        <v>656.08</v>
      </c>
      <c r="J75" s="313">
        <f>IF(LEN(USPS_Pri_Int_Base!J71)&gt;0,ROUND(USPS_Pri_Int_Base!J71*(1+PostalMarkup),2),"N/A")</f>
        <v>709.26</v>
      </c>
      <c r="K75" s="313">
        <f>IF(LEN(USPS_Pri_Int_Base!K71)&gt;0,ROUND(USPS_Pri_Int_Base!K71*(1+PostalMarkup),2),"N/A")</f>
        <v>515.09</v>
      </c>
      <c r="L75" s="313">
        <f>IF(LEN(USPS_Pri_Int_Base!L71)&gt;0,ROUND(USPS_Pri_Int_Base!L71*(1+PostalMarkup),2),"N/A")</f>
        <v>593.29</v>
      </c>
      <c r="M75" s="313" t="str">
        <f>IF(LEN(USPS_Pri_Int_Base!M71)&gt;0,ROUND(USPS_Pri_Int_Base!M71*(1+PostalMarkup),2),"N/A")</f>
        <v>N/A</v>
      </c>
      <c r="N75" s="313" t="str">
        <f>IF(LEN(USPS_Pri_Int_Base!N71)&gt;0,ROUND(USPS_Pri_Int_Base!N71*(1+PostalMarkup),2),"N/A")</f>
        <v>N/A</v>
      </c>
      <c r="O75" s="313" t="str">
        <f>IF(LEN(USPS_Pri_Int_Base!O71)&gt;0,ROUND(USPS_Pri_Int_Base!O71*(1+PostalMarkup),2),"N/A")</f>
        <v>N/A</v>
      </c>
      <c r="P75" s="313" t="str">
        <f>IF(LEN(USPS_Pri_Int_Base!P71)&gt;0,ROUND(USPS_Pri_Int_Base!P71*(1+PostalMarkup),2),"N/A")</f>
        <v>N/A</v>
      </c>
      <c r="Q75" s="313">
        <f>IF(LEN(USPS_Pri_Int_Base!Q71)&gt;0,ROUND(USPS_Pri_Int_Base!Q71*(1+PostalMarkup),2),"N/A")</f>
        <v>435.22</v>
      </c>
      <c r="R75" s="313" t="str">
        <f>IF(LEN(USPS_Pri_Int_Base!R71)&gt;0,ROUND(USPS_Pri_Int_Base!R71*(1+PostalMarkup),2),"N/A")</f>
        <v>N/A</v>
      </c>
      <c r="S75" s="313" t="str">
        <f>IF(LEN(USPS_Pri_Int_Base!S71)&gt;0,ROUND(USPS_Pri_Int_Base!S71*(1+PostalMarkup),2),"N/A")</f>
        <v>N/A</v>
      </c>
      <c r="T75" s="313" t="str">
        <f>IF(LEN(USPS_Pri_Int_Base!T71)&gt;0,ROUND(USPS_Pri_Int_Base!T71*(1+PostalMarkup),2),"N/A")</f>
        <v>N/A</v>
      </c>
      <c r="U75" s="313" t="str">
        <f>IF(LEN(USPS_Pri_Int_Base!U71)&gt;0,ROUND(USPS_Pri_Int_Base!U71*(1+PostalMarkup),2),"N/A")</f>
        <v>N/A</v>
      </c>
    </row>
    <row r="76" spans="1:21" ht="12.75" customHeight="1"/>
    <row r="77" spans="1:21" ht="12.75" customHeight="1"/>
    <row r="78" spans="1:21" ht="12.75" customHeight="1"/>
    <row r="79" spans="1:21" ht="12.75" customHeight="1"/>
    <row r="80" spans="1:21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6:U75">
    <cfRule type="expression" dxfId="0" priority="1">
      <formula>MOD(ROW(),2)=0</formula>
    </cfRule>
  </conditionalFormatting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002"/>
  <sheetViews>
    <sheetView workbookViewId="0"/>
  </sheetViews>
  <sheetFormatPr defaultColWidth="12.5703125" defaultRowHeight="15" customHeight="1"/>
  <cols>
    <col min="1" max="1" width="47" customWidth="1"/>
    <col min="2" max="2" width="13.42578125" customWidth="1"/>
    <col min="3" max="3" width="9.42578125" customWidth="1"/>
    <col min="4" max="26" width="8.5703125" customWidth="1"/>
  </cols>
  <sheetData>
    <row r="1" spans="1:3" ht="12.75" customHeight="1">
      <c r="A1" s="131"/>
      <c r="B1" s="131"/>
    </row>
    <row r="2" spans="1:3" ht="12.75" customHeight="1">
      <c r="A2" s="131" t="s">
        <v>186</v>
      </c>
      <c r="B2" s="131" t="s">
        <v>187</v>
      </c>
    </row>
    <row r="3" spans="1:3" ht="12.75" customHeight="1">
      <c r="A3" s="60" t="s">
        <v>188</v>
      </c>
      <c r="B3" s="314">
        <v>0.15</v>
      </c>
    </row>
    <row r="4" spans="1:3" ht="12.75" customHeight="1">
      <c r="A4" s="60" t="s">
        <v>189</v>
      </c>
      <c r="B4" s="314">
        <v>0.15</v>
      </c>
    </row>
    <row r="5" spans="1:3" ht="12.75" customHeight="1">
      <c r="B5" s="314"/>
    </row>
    <row r="6" spans="1:3" ht="12.75" customHeight="1">
      <c r="A6" s="131" t="s">
        <v>190</v>
      </c>
      <c r="B6" s="314"/>
    </row>
    <row r="7" spans="1:3" ht="12.75" customHeight="1">
      <c r="A7" s="60" t="s">
        <v>191</v>
      </c>
      <c r="B7" s="314">
        <v>0.3075</v>
      </c>
    </row>
    <row r="8" spans="1:3" ht="12.75" customHeight="1">
      <c r="A8" s="60" t="s">
        <v>192</v>
      </c>
      <c r="B8" s="314">
        <v>0.27250000000000002</v>
      </c>
    </row>
    <row r="9" spans="1:3" ht="12.75" customHeight="1">
      <c r="A9" s="60" t="s">
        <v>193</v>
      </c>
      <c r="B9" s="314">
        <v>0.25</v>
      </c>
      <c r="C9" s="60"/>
    </row>
    <row r="10" spans="1:3" ht="12.75" customHeight="1">
      <c r="A10" s="60" t="s">
        <v>194</v>
      </c>
      <c r="B10" s="314">
        <v>0.38750000000000001</v>
      </c>
    </row>
    <row r="11" spans="1:3" ht="12.75" customHeight="1">
      <c r="B11" s="314"/>
    </row>
    <row r="12" spans="1:3" ht="25.5">
      <c r="A12" s="131" t="s">
        <v>195</v>
      </c>
      <c r="B12" s="36" t="s">
        <v>196</v>
      </c>
      <c r="C12" s="36" t="s">
        <v>197</v>
      </c>
    </row>
    <row r="13" spans="1:3" ht="12.75" customHeight="1">
      <c r="A13" s="60" t="s">
        <v>198</v>
      </c>
      <c r="B13" s="315">
        <v>2.2599999999999998</v>
      </c>
      <c r="C13" s="315">
        <f>ROUND(GroundResidentialFee*(1+GroundFuelSurcharge),2)</f>
        <v>2.88</v>
      </c>
    </row>
    <row r="14" spans="1:3" ht="12.75" customHeight="1">
      <c r="A14" s="60" t="s">
        <v>199</v>
      </c>
      <c r="B14" s="315">
        <v>3.48</v>
      </c>
      <c r="C14" s="315">
        <f>ROUND(ExpressResidentialFee*(1+ExpressFuelSurcharge),2)</f>
        <v>4.55</v>
      </c>
    </row>
    <row r="15" spans="1:3" ht="12.75" customHeight="1">
      <c r="A15" s="60" t="s">
        <v>200</v>
      </c>
      <c r="B15" s="315">
        <v>3.48</v>
      </c>
      <c r="C15" s="315">
        <f>ROUND(Express_Intl_Residential_Fee*(1+International_Fuel_Surcharge),2)</f>
        <v>4.83</v>
      </c>
    </row>
    <row r="16" spans="1:3" ht="12.75" customHeight="1"/>
    <row r="17" spans="1:2" ht="12.75" customHeight="1">
      <c r="A17" s="131" t="s">
        <v>201</v>
      </c>
    </row>
    <row r="18" spans="1:2" ht="12.75" customHeight="1">
      <c r="A18" s="60" t="s">
        <v>202</v>
      </c>
      <c r="B18" s="85">
        <v>4.95</v>
      </c>
    </row>
    <row r="19" spans="1:2" ht="12.75" customHeight="1">
      <c r="A19" s="60" t="s">
        <v>203</v>
      </c>
      <c r="B19" s="85">
        <v>1.65</v>
      </c>
    </row>
    <row r="20" spans="1:2" ht="12.75" customHeight="1"/>
    <row r="21" spans="1:2" ht="12.75" customHeight="1"/>
    <row r="22" spans="1:2" ht="12.75" customHeight="1"/>
    <row r="23" spans="1:2" ht="12.75" customHeight="1"/>
    <row r="24" spans="1:2" ht="12.75" customHeight="1"/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3300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5703125" defaultRowHeight="15" customHeight="1"/>
  <cols>
    <col min="1" max="1" width="10" customWidth="1"/>
    <col min="2" max="11" width="7.5703125" customWidth="1"/>
    <col min="12" max="12" width="3.5703125" customWidth="1"/>
    <col min="13" max="26" width="8.5703125" customWidth="1"/>
  </cols>
  <sheetData>
    <row r="1" spans="1:26" ht="12.75" customHeight="1">
      <c r="A1" s="1"/>
      <c r="B1" s="62" t="s">
        <v>0</v>
      </c>
      <c r="C1" s="62" t="s">
        <v>0</v>
      </c>
      <c r="D1" s="62" t="s">
        <v>0</v>
      </c>
      <c r="E1" s="62" t="s">
        <v>0</v>
      </c>
      <c r="F1" s="62" t="s">
        <v>0</v>
      </c>
      <c r="G1" s="62" t="s">
        <v>0</v>
      </c>
      <c r="H1" s="62" t="s">
        <v>0</v>
      </c>
    </row>
    <row r="2" spans="1:26" ht="12.75" customHeight="1">
      <c r="A2" s="1" t="s">
        <v>5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57">
        <v>23.84</v>
      </c>
      <c r="C3" s="57">
        <v>24.33</v>
      </c>
      <c r="D3" s="57">
        <v>24.83</v>
      </c>
      <c r="E3" s="57">
        <v>31.04</v>
      </c>
      <c r="F3" s="57">
        <v>35.69</v>
      </c>
      <c r="G3" s="57">
        <v>37.51</v>
      </c>
      <c r="H3" s="58">
        <v>41.41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9">
        <v>2</v>
      </c>
      <c r="B4" s="42">
        <v>24.29</v>
      </c>
      <c r="C4" s="42">
        <v>24.79</v>
      </c>
      <c r="D4" s="42">
        <v>25.29</v>
      </c>
      <c r="E4" s="42">
        <v>31.59</v>
      </c>
      <c r="F4" s="42">
        <v>38.06</v>
      </c>
      <c r="G4" s="42">
        <v>41.8</v>
      </c>
      <c r="H4" s="43">
        <v>48.1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3">
        <v>3</v>
      </c>
      <c r="B5" s="44">
        <v>25.79</v>
      </c>
      <c r="C5" s="44">
        <v>27.51</v>
      </c>
      <c r="D5" s="44">
        <v>28.07</v>
      </c>
      <c r="E5" s="44">
        <v>35.04</v>
      </c>
      <c r="F5" s="44">
        <v>44.25</v>
      </c>
      <c r="G5" s="44">
        <v>46.77</v>
      </c>
      <c r="H5" s="45">
        <v>54.32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3">
        <v>4</v>
      </c>
      <c r="B6" s="44">
        <v>26.25</v>
      </c>
      <c r="C6" s="44">
        <v>28.41</v>
      </c>
      <c r="D6" s="44">
        <v>30.52</v>
      </c>
      <c r="E6" s="44">
        <v>39.380000000000003</v>
      </c>
      <c r="F6" s="44">
        <v>46.55</v>
      </c>
      <c r="G6" s="44">
        <v>53.47</v>
      </c>
      <c r="H6" s="45">
        <v>62.15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6">
        <v>5</v>
      </c>
      <c r="B7" s="46">
        <v>26.7</v>
      </c>
      <c r="C7" s="46">
        <v>28.86</v>
      </c>
      <c r="D7" s="46">
        <v>32.19</v>
      </c>
      <c r="E7" s="46">
        <v>40.99</v>
      </c>
      <c r="F7" s="46">
        <v>52.83</v>
      </c>
      <c r="G7" s="46">
        <v>59.03</v>
      </c>
      <c r="H7" s="47">
        <v>69.709999999999994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9">
        <v>6</v>
      </c>
      <c r="B8" s="48">
        <v>28.86</v>
      </c>
      <c r="C8" s="48">
        <v>31.46</v>
      </c>
      <c r="D8" s="49">
        <v>36.78</v>
      </c>
      <c r="E8" s="49">
        <v>48.3</v>
      </c>
      <c r="F8" s="49">
        <v>62.06</v>
      </c>
      <c r="G8" s="49">
        <v>65.569999999999993</v>
      </c>
      <c r="H8" s="50">
        <v>79.28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3">
        <v>7</v>
      </c>
      <c r="B9" s="51">
        <v>29.33</v>
      </c>
      <c r="C9" s="51">
        <v>34.479999999999997</v>
      </c>
      <c r="D9" s="52">
        <v>39.75</v>
      </c>
      <c r="E9" s="52">
        <v>49.24</v>
      </c>
      <c r="F9" s="52">
        <v>65.489999999999995</v>
      </c>
      <c r="G9" s="52">
        <v>74.19</v>
      </c>
      <c r="H9" s="53">
        <v>82.57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9">
        <v>8</v>
      </c>
      <c r="B10" s="51">
        <v>30.43</v>
      </c>
      <c r="C10" s="51">
        <v>36.5</v>
      </c>
      <c r="D10" s="52">
        <v>41.11</v>
      </c>
      <c r="E10" s="52">
        <v>52.94</v>
      </c>
      <c r="F10" s="52">
        <v>71.89</v>
      </c>
      <c r="G10" s="52">
        <v>81.209999999999994</v>
      </c>
      <c r="H10" s="53">
        <v>90.17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9">
        <v>9</v>
      </c>
      <c r="B11" s="51">
        <v>30.69</v>
      </c>
      <c r="C11" s="51">
        <v>36.770000000000003</v>
      </c>
      <c r="D11" s="52">
        <v>43.87</v>
      </c>
      <c r="E11" s="52">
        <v>55.08</v>
      </c>
      <c r="F11" s="52">
        <v>74.23</v>
      </c>
      <c r="G11" s="52">
        <v>89.12</v>
      </c>
      <c r="H11" s="53">
        <v>102.41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7">
        <v>10</v>
      </c>
      <c r="B12" s="54">
        <v>30.99</v>
      </c>
      <c r="C12" s="54">
        <v>37.020000000000003</v>
      </c>
      <c r="D12" s="55">
        <v>45.01</v>
      </c>
      <c r="E12" s="55">
        <v>59.21</v>
      </c>
      <c r="F12" s="55">
        <v>78.83</v>
      </c>
      <c r="G12" s="55">
        <v>95.91</v>
      </c>
      <c r="H12" s="56">
        <v>110.41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3">
        <v>11</v>
      </c>
      <c r="B13" s="42">
        <v>36.75</v>
      </c>
      <c r="C13" s="42">
        <v>39.86</v>
      </c>
      <c r="D13" s="42">
        <v>49.64</v>
      </c>
      <c r="E13" s="42">
        <v>62.58</v>
      </c>
      <c r="F13" s="42">
        <v>87.41</v>
      </c>
      <c r="G13" s="42">
        <v>102.84</v>
      </c>
      <c r="H13" s="43">
        <v>117.19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3">
        <v>12</v>
      </c>
      <c r="B14" s="44">
        <v>37.67</v>
      </c>
      <c r="C14" s="44">
        <v>46.71</v>
      </c>
      <c r="D14" s="44">
        <v>54.16</v>
      </c>
      <c r="E14" s="44">
        <v>72.5</v>
      </c>
      <c r="F14" s="44">
        <v>92.83</v>
      </c>
      <c r="G14" s="44">
        <v>109.35</v>
      </c>
      <c r="H14" s="45">
        <v>123.83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3">
        <v>13</v>
      </c>
      <c r="B15" s="44">
        <v>41.07</v>
      </c>
      <c r="C15" s="44">
        <v>49.13</v>
      </c>
      <c r="D15" s="44">
        <v>55.31</v>
      </c>
      <c r="E15" s="44">
        <v>73.89</v>
      </c>
      <c r="F15" s="44">
        <v>94.9</v>
      </c>
      <c r="G15" s="44">
        <v>110.02</v>
      </c>
      <c r="H15" s="45">
        <v>132.62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3">
        <v>14</v>
      </c>
      <c r="B16" s="44">
        <v>41.51</v>
      </c>
      <c r="C16" s="44">
        <v>49.86</v>
      </c>
      <c r="D16" s="44">
        <v>60.01</v>
      </c>
      <c r="E16" s="44">
        <v>78.290000000000006</v>
      </c>
      <c r="F16" s="44">
        <v>99.73</v>
      </c>
      <c r="G16" s="44">
        <v>115.66</v>
      </c>
      <c r="H16" s="45">
        <v>139.49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3">
        <v>15</v>
      </c>
      <c r="B17" s="46">
        <v>41.78</v>
      </c>
      <c r="C17" s="46">
        <v>52.95</v>
      </c>
      <c r="D17" s="46">
        <v>62.69</v>
      </c>
      <c r="E17" s="46">
        <v>81.69</v>
      </c>
      <c r="F17" s="46">
        <v>105.14</v>
      </c>
      <c r="G17" s="46">
        <v>126.36</v>
      </c>
      <c r="H17" s="47">
        <v>147.36000000000001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1">
        <v>16</v>
      </c>
      <c r="B18" s="48">
        <v>44.3</v>
      </c>
      <c r="C18" s="48">
        <v>54.63</v>
      </c>
      <c r="D18" s="49">
        <v>64.87</v>
      </c>
      <c r="E18" s="49">
        <v>87.57</v>
      </c>
      <c r="F18" s="49">
        <v>109.56</v>
      </c>
      <c r="G18" s="49">
        <v>132.94999999999999</v>
      </c>
      <c r="H18" s="50">
        <v>152.44999999999999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9">
        <v>17</v>
      </c>
      <c r="B19" s="51">
        <v>44.57</v>
      </c>
      <c r="C19" s="51">
        <v>56.34</v>
      </c>
      <c r="D19" s="52">
        <v>67.569999999999993</v>
      </c>
      <c r="E19" s="52">
        <v>88.4</v>
      </c>
      <c r="F19" s="52">
        <v>113.96</v>
      </c>
      <c r="G19" s="52">
        <v>133.62</v>
      </c>
      <c r="H19" s="53">
        <v>160.83000000000001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9">
        <v>18</v>
      </c>
      <c r="B20" s="51">
        <v>48.62</v>
      </c>
      <c r="C20" s="51">
        <v>58.12</v>
      </c>
      <c r="D20" s="52">
        <v>70.16</v>
      </c>
      <c r="E20" s="52">
        <v>91.71</v>
      </c>
      <c r="F20" s="52">
        <v>118.05</v>
      </c>
      <c r="G20" s="52">
        <v>145.94999999999999</v>
      </c>
      <c r="H20" s="53">
        <v>166.28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9">
        <v>19</v>
      </c>
      <c r="B21" s="51">
        <v>49.87</v>
      </c>
      <c r="C21" s="51">
        <v>59.79</v>
      </c>
      <c r="D21" s="52">
        <v>72.599999999999994</v>
      </c>
      <c r="E21" s="52">
        <v>95.05</v>
      </c>
      <c r="F21" s="52">
        <v>122.02</v>
      </c>
      <c r="G21" s="52">
        <v>149.91</v>
      </c>
      <c r="H21" s="53">
        <v>172.32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9">
        <v>20</v>
      </c>
      <c r="B22" s="54">
        <v>50.14</v>
      </c>
      <c r="C22" s="54">
        <v>60.56</v>
      </c>
      <c r="D22" s="55">
        <v>74</v>
      </c>
      <c r="E22" s="55">
        <v>99</v>
      </c>
      <c r="F22" s="55">
        <v>126.57</v>
      </c>
      <c r="G22" s="55">
        <v>150.41999999999999</v>
      </c>
      <c r="H22" s="56">
        <v>177.95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2">
        <v>21</v>
      </c>
      <c r="B23" s="42">
        <v>51.58</v>
      </c>
      <c r="C23" s="42">
        <v>62.54</v>
      </c>
      <c r="D23" s="42">
        <v>76.44</v>
      </c>
      <c r="E23" s="42">
        <v>99.41</v>
      </c>
      <c r="F23" s="42">
        <v>132.6</v>
      </c>
      <c r="G23" s="42">
        <v>160.33000000000001</v>
      </c>
      <c r="H23" s="43">
        <v>183.78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3">
        <v>22</v>
      </c>
      <c r="B24" s="44">
        <v>55.3</v>
      </c>
      <c r="C24" s="44">
        <v>66.42</v>
      </c>
      <c r="D24" s="44">
        <v>79.78</v>
      </c>
      <c r="E24" s="44">
        <v>105.67</v>
      </c>
      <c r="F24" s="44">
        <v>137.22</v>
      </c>
      <c r="G24" s="44">
        <v>161.33000000000001</v>
      </c>
      <c r="H24" s="45">
        <v>190.65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3">
        <v>23</v>
      </c>
      <c r="B25" s="44">
        <v>57.42</v>
      </c>
      <c r="C25" s="44">
        <v>67.92</v>
      </c>
      <c r="D25" s="44">
        <v>85.09</v>
      </c>
      <c r="E25" s="44">
        <v>108.75</v>
      </c>
      <c r="F25" s="44">
        <v>142.87</v>
      </c>
      <c r="G25" s="44">
        <v>172.02</v>
      </c>
      <c r="H25" s="45">
        <v>192.39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3">
        <v>24</v>
      </c>
      <c r="B26" s="44">
        <v>57.68</v>
      </c>
      <c r="C26" s="44">
        <v>72.180000000000007</v>
      </c>
      <c r="D26" s="44">
        <v>87.24</v>
      </c>
      <c r="E26" s="44">
        <v>112.83</v>
      </c>
      <c r="F26" s="44">
        <v>145.32</v>
      </c>
      <c r="G26" s="44">
        <v>173.35</v>
      </c>
      <c r="H26" s="45">
        <v>193.27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6">
        <v>25</v>
      </c>
      <c r="B27" s="46">
        <v>57.96</v>
      </c>
      <c r="C27" s="46">
        <v>72.64</v>
      </c>
      <c r="D27" s="46">
        <v>90.13</v>
      </c>
      <c r="E27" s="46">
        <v>116.72</v>
      </c>
      <c r="F27" s="46">
        <v>151.74</v>
      </c>
      <c r="G27" s="46">
        <v>183.96</v>
      </c>
      <c r="H27" s="47">
        <v>210.4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9">
        <v>26</v>
      </c>
      <c r="B28" s="48">
        <v>63.36</v>
      </c>
      <c r="C28" s="48">
        <v>75.31</v>
      </c>
      <c r="D28" s="49">
        <v>93.08</v>
      </c>
      <c r="E28" s="49">
        <v>120.52</v>
      </c>
      <c r="F28" s="49">
        <v>154.07</v>
      </c>
      <c r="G28" s="49">
        <v>190.31</v>
      </c>
      <c r="H28" s="50">
        <v>216.82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3">
        <v>27</v>
      </c>
      <c r="B29" s="51">
        <v>65.42</v>
      </c>
      <c r="C29" s="51">
        <v>78.510000000000005</v>
      </c>
      <c r="D29" s="52">
        <v>96.6</v>
      </c>
      <c r="E29" s="52">
        <v>127</v>
      </c>
      <c r="F29" s="52">
        <v>158.12</v>
      </c>
      <c r="G29" s="52">
        <v>196.99</v>
      </c>
      <c r="H29" s="53">
        <v>223.54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3">
        <v>28</v>
      </c>
      <c r="B30" s="51">
        <v>67.39</v>
      </c>
      <c r="C30" s="51">
        <v>78.83</v>
      </c>
      <c r="D30" s="52">
        <v>99.02</v>
      </c>
      <c r="E30" s="52">
        <v>127.69</v>
      </c>
      <c r="F30" s="52">
        <v>175.06</v>
      </c>
      <c r="G30" s="52">
        <v>206.15</v>
      </c>
      <c r="H30" s="53">
        <v>230.74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3">
        <v>29</v>
      </c>
      <c r="B31" s="51">
        <v>67.67</v>
      </c>
      <c r="C31" s="51">
        <v>80.760000000000005</v>
      </c>
      <c r="D31" s="52">
        <v>101.88</v>
      </c>
      <c r="E31" s="52">
        <v>131</v>
      </c>
      <c r="F31" s="52">
        <v>180.23</v>
      </c>
      <c r="G31" s="52">
        <v>212.29</v>
      </c>
      <c r="H31" s="53">
        <v>237.92</v>
      </c>
    </row>
    <row r="32" spans="1:26" ht="12.75" customHeight="1">
      <c r="A32" s="23">
        <v>30</v>
      </c>
      <c r="B32" s="54">
        <v>67.92</v>
      </c>
      <c r="C32" s="54">
        <v>82.96</v>
      </c>
      <c r="D32" s="55">
        <v>102.17</v>
      </c>
      <c r="E32" s="55">
        <v>135.09</v>
      </c>
      <c r="F32" s="55">
        <v>183.13</v>
      </c>
      <c r="G32" s="55">
        <v>212.91</v>
      </c>
      <c r="H32" s="56">
        <v>244.73</v>
      </c>
    </row>
    <row r="33" spans="1:26" ht="12.75" customHeight="1">
      <c r="A33" s="9">
        <v>31</v>
      </c>
      <c r="B33" s="42">
        <v>70.12</v>
      </c>
      <c r="C33" s="42">
        <v>87.7</v>
      </c>
      <c r="D33" s="42">
        <v>105.14</v>
      </c>
      <c r="E33" s="42">
        <v>137.28</v>
      </c>
      <c r="F33" s="42">
        <v>192.46</v>
      </c>
      <c r="G33" s="42">
        <v>215.16</v>
      </c>
      <c r="H33" s="43">
        <v>251.38</v>
      </c>
    </row>
    <row r="34" spans="1:26" ht="12.75" customHeight="1">
      <c r="A34" s="33">
        <v>32</v>
      </c>
      <c r="B34" s="44">
        <v>70.41</v>
      </c>
      <c r="C34" s="44">
        <v>88.27</v>
      </c>
      <c r="D34" s="44">
        <v>108.13</v>
      </c>
      <c r="E34" s="44">
        <v>141.83000000000001</v>
      </c>
      <c r="F34" s="44">
        <v>196.41</v>
      </c>
      <c r="G34" s="44">
        <v>220.06</v>
      </c>
      <c r="H34" s="45">
        <v>254.7</v>
      </c>
    </row>
    <row r="35" spans="1:26" ht="12.75" customHeight="1">
      <c r="A35" s="33">
        <v>33</v>
      </c>
      <c r="B35" s="44">
        <v>74.400000000000006</v>
      </c>
      <c r="C35" s="44">
        <v>90.12</v>
      </c>
      <c r="D35" s="44">
        <v>112.55</v>
      </c>
      <c r="E35" s="44">
        <v>145.72999999999999</v>
      </c>
      <c r="F35" s="44">
        <v>202.13</v>
      </c>
      <c r="G35" s="44">
        <v>225.76</v>
      </c>
      <c r="H35" s="45">
        <v>255.68</v>
      </c>
    </row>
    <row r="36" spans="1:26" ht="12.75" customHeight="1">
      <c r="A36" s="33">
        <v>34</v>
      </c>
      <c r="B36" s="44">
        <v>75.86</v>
      </c>
      <c r="C36" s="44">
        <v>90.38</v>
      </c>
      <c r="D36" s="44">
        <v>113</v>
      </c>
      <c r="E36" s="44">
        <v>149.26</v>
      </c>
      <c r="F36" s="44">
        <v>205.42</v>
      </c>
      <c r="G36" s="44">
        <v>231.07</v>
      </c>
      <c r="H36" s="45">
        <v>275.08999999999997</v>
      </c>
    </row>
    <row r="37" spans="1:26" ht="12.75" customHeight="1">
      <c r="A37" s="16">
        <v>35</v>
      </c>
      <c r="B37" s="46">
        <v>77.34</v>
      </c>
      <c r="C37" s="46">
        <v>94.39</v>
      </c>
      <c r="D37" s="46">
        <v>116.27</v>
      </c>
      <c r="E37" s="46">
        <v>153.01</v>
      </c>
      <c r="F37" s="46">
        <v>205.78</v>
      </c>
      <c r="G37" s="46">
        <v>236.9</v>
      </c>
      <c r="H37" s="47">
        <v>277.04000000000002</v>
      </c>
    </row>
    <row r="38" spans="1:26" ht="12.75" customHeight="1">
      <c r="A38" s="5">
        <v>36</v>
      </c>
      <c r="B38" s="57">
        <v>79.540000000000006</v>
      </c>
      <c r="C38" s="57">
        <v>96.48</v>
      </c>
      <c r="D38" s="57">
        <v>120.62</v>
      </c>
      <c r="E38" s="57">
        <v>153.55000000000001</v>
      </c>
      <c r="F38" s="57">
        <v>206.56</v>
      </c>
      <c r="G38" s="57">
        <v>238.06</v>
      </c>
      <c r="H38" s="58">
        <v>286.38</v>
      </c>
      <c r="L38" s="4"/>
    </row>
    <row r="39" spans="1:26" ht="12.75" customHeight="1">
      <c r="A39" s="9">
        <v>37</v>
      </c>
      <c r="B39" s="42">
        <v>79.97</v>
      </c>
      <c r="C39" s="42">
        <v>97.17</v>
      </c>
      <c r="D39" s="42">
        <v>121.07</v>
      </c>
      <c r="E39" s="42">
        <v>160.07</v>
      </c>
      <c r="F39" s="42">
        <v>222.09</v>
      </c>
      <c r="G39" s="42">
        <v>246.62</v>
      </c>
      <c r="H39" s="43">
        <v>290.36</v>
      </c>
    </row>
    <row r="40" spans="1:26" ht="12.75" customHeight="1">
      <c r="A40" s="13">
        <v>38</v>
      </c>
      <c r="B40" s="44">
        <v>80.59</v>
      </c>
      <c r="C40" s="44">
        <v>97.63</v>
      </c>
      <c r="D40" s="44">
        <v>124.55</v>
      </c>
      <c r="E40" s="44">
        <v>163.87</v>
      </c>
      <c r="F40" s="44">
        <v>226.77</v>
      </c>
      <c r="G40" s="44">
        <v>251.56</v>
      </c>
      <c r="H40" s="45">
        <v>290.93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3">
        <v>39</v>
      </c>
      <c r="B41" s="44">
        <v>80.849999999999994</v>
      </c>
      <c r="C41" s="44">
        <v>98.06</v>
      </c>
      <c r="D41" s="44">
        <v>126.84</v>
      </c>
      <c r="E41" s="44">
        <v>167.46</v>
      </c>
      <c r="F41" s="44">
        <v>232.13</v>
      </c>
      <c r="G41" s="44">
        <v>264.74</v>
      </c>
      <c r="H41" s="45">
        <v>301.89999999999998</v>
      </c>
    </row>
    <row r="42" spans="1:26" ht="12.75" customHeight="1">
      <c r="A42" s="16">
        <v>40</v>
      </c>
      <c r="B42" s="46">
        <v>81.33</v>
      </c>
      <c r="C42" s="46">
        <v>98.5</v>
      </c>
      <c r="D42" s="46">
        <v>127.1</v>
      </c>
      <c r="E42" s="46">
        <v>168.98</v>
      </c>
      <c r="F42" s="46">
        <v>232.69</v>
      </c>
      <c r="G42" s="46">
        <v>266.06</v>
      </c>
      <c r="H42" s="47">
        <v>309.81</v>
      </c>
    </row>
    <row r="43" spans="1:26" ht="12.75" customHeight="1">
      <c r="A43" s="19">
        <v>41</v>
      </c>
      <c r="B43" s="48">
        <v>90.7</v>
      </c>
      <c r="C43" s="48">
        <v>104.26</v>
      </c>
      <c r="D43" s="49">
        <v>130.55000000000001</v>
      </c>
      <c r="E43" s="49">
        <v>170.13</v>
      </c>
      <c r="F43" s="49">
        <v>237.75</v>
      </c>
      <c r="G43" s="49">
        <v>266.26</v>
      </c>
      <c r="H43" s="50">
        <v>316.42</v>
      </c>
    </row>
    <row r="44" spans="1:26" ht="12.75" customHeight="1">
      <c r="A44" s="23">
        <v>42</v>
      </c>
      <c r="B44" s="51">
        <v>92.37</v>
      </c>
      <c r="C44" s="51">
        <v>106.8</v>
      </c>
      <c r="D44" s="52">
        <v>130.9</v>
      </c>
      <c r="E44" s="52">
        <v>174.5</v>
      </c>
      <c r="F44" s="52">
        <v>242.85</v>
      </c>
      <c r="G44" s="52">
        <v>267.82</v>
      </c>
      <c r="H44" s="53">
        <v>326.39999999999998</v>
      </c>
    </row>
    <row r="45" spans="1:26" ht="12.75" customHeight="1">
      <c r="A45" s="19">
        <v>43</v>
      </c>
      <c r="B45" s="51">
        <v>94.17</v>
      </c>
      <c r="C45" s="51">
        <v>109.88</v>
      </c>
      <c r="D45" s="52">
        <v>137.16</v>
      </c>
      <c r="E45" s="52">
        <v>177.73</v>
      </c>
      <c r="F45" s="52">
        <v>247.74</v>
      </c>
      <c r="G45" s="52">
        <v>278.04000000000002</v>
      </c>
      <c r="H45" s="53">
        <v>330.78</v>
      </c>
    </row>
    <row r="46" spans="1:26" ht="12.75" customHeight="1">
      <c r="A46" s="19">
        <v>44</v>
      </c>
      <c r="B46" s="51">
        <v>94.87</v>
      </c>
      <c r="C46" s="51">
        <v>110.2</v>
      </c>
      <c r="D46" s="52">
        <v>137.79</v>
      </c>
      <c r="E46" s="52">
        <v>181.4</v>
      </c>
      <c r="F46" s="52">
        <v>252.22</v>
      </c>
      <c r="G46" s="52">
        <v>279.63</v>
      </c>
      <c r="H46" s="53">
        <v>331.55</v>
      </c>
    </row>
    <row r="47" spans="1:26" ht="12.75" customHeight="1">
      <c r="A47" s="27">
        <v>45</v>
      </c>
      <c r="B47" s="54">
        <v>95.14</v>
      </c>
      <c r="C47" s="54">
        <v>113.5</v>
      </c>
      <c r="D47" s="55">
        <v>140.66999999999999</v>
      </c>
      <c r="E47" s="55">
        <v>190.68</v>
      </c>
      <c r="F47" s="55">
        <v>252.68</v>
      </c>
      <c r="G47" s="55">
        <v>285.45999999999998</v>
      </c>
      <c r="H47" s="56">
        <v>332.57</v>
      </c>
    </row>
    <row r="48" spans="1:26" ht="12.75" customHeight="1">
      <c r="A48" s="13">
        <v>46</v>
      </c>
      <c r="B48" s="42">
        <v>95.4</v>
      </c>
      <c r="C48" s="42">
        <v>113.83</v>
      </c>
      <c r="D48" s="42">
        <v>149.06</v>
      </c>
      <c r="E48" s="42">
        <v>192</v>
      </c>
      <c r="F48" s="42">
        <v>259.45</v>
      </c>
      <c r="G48" s="42">
        <v>295.99</v>
      </c>
      <c r="H48" s="43">
        <v>352.96</v>
      </c>
    </row>
    <row r="49" spans="1:8" ht="12.75" customHeight="1">
      <c r="A49" s="13">
        <v>47</v>
      </c>
      <c r="B49" s="44">
        <v>95.67</v>
      </c>
      <c r="C49" s="44">
        <v>114.16</v>
      </c>
      <c r="D49" s="44">
        <v>149.91</v>
      </c>
      <c r="E49" s="44">
        <v>198.19</v>
      </c>
      <c r="F49" s="44">
        <v>260.31</v>
      </c>
      <c r="G49" s="44">
        <v>301.67</v>
      </c>
      <c r="H49" s="45">
        <v>358.46</v>
      </c>
    </row>
    <row r="50" spans="1:8" ht="12.75" customHeight="1">
      <c r="A50" s="13">
        <v>48</v>
      </c>
      <c r="B50" s="44">
        <v>95.94</v>
      </c>
      <c r="C50" s="44">
        <v>114.42</v>
      </c>
      <c r="D50" s="44">
        <v>150.18</v>
      </c>
      <c r="E50" s="44">
        <v>204.76</v>
      </c>
      <c r="F50" s="44">
        <v>260.51</v>
      </c>
      <c r="G50" s="44">
        <v>317.63</v>
      </c>
      <c r="H50" s="45">
        <v>365.06</v>
      </c>
    </row>
    <row r="51" spans="1:8" ht="12.75" customHeight="1">
      <c r="A51" s="13">
        <v>49</v>
      </c>
      <c r="B51" s="44">
        <v>96.2</v>
      </c>
      <c r="C51" s="44">
        <v>114.62</v>
      </c>
      <c r="D51" s="44">
        <v>150.38</v>
      </c>
      <c r="E51" s="44">
        <v>205.42</v>
      </c>
      <c r="F51" s="44">
        <v>260.74</v>
      </c>
      <c r="G51" s="44">
        <v>320.77999999999997</v>
      </c>
      <c r="H51" s="45">
        <v>366.08</v>
      </c>
    </row>
    <row r="52" spans="1:8" ht="12.75" customHeight="1">
      <c r="A52" s="13">
        <v>50</v>
      </c>
      <c r="B52" s="46">
        <v>96.64</v>
      </c>
      <c r="C52" s="46">
        <v>115.2</v>
      </c>
      <c r="D52" s="46">
        <v>150.93</v>
      </c>
      <c r="E52" s="46">
        <v>205.81</v>
      </c>
      <c r="F52" s="46">
        <v>265.3</v>
      </c>
      <c r="G52" s="46">
        <v>326.38</v>
      </c>
      <c r="H52" s="47">
        <v>371.2</v>
      </c>
    </row>
    <row r="53" spans="1:8" ht="12.75" customHeight="1">
      <c r="A53" s="31">
        <v>51</v>
      </c>
      <c r="B53" s="48">
        <v>104.85</v>
      </c>
      <c r="C53" s="48">
        <v>122.37</v>
      </c>
      <c r="D53" s="49">
        <v>161.78</v>
      </c>
      <c r="E53" s="49">
        <v>207.54</v>
      </c>
      <c r="F53" s="49">
        <v>271.33999999999997</v>
      </c>
      <c r="G53" s="49">
        <v>327.97</v>
      </c>
      <c r="H53" s="50">
        <v>398.7</v>
      </c>
    </row>
    <row r="54" spans="1:8" ht="12.75" customHeight="1">
      <c r="A54" s="19">
        <v>52</v>
      </c>
      <c r="B54" s="51">
        <v>107.26</v>
      </c>
      <c r="C54" s="51">
        <v>128.24</v>
      </c>
      <c r="D54" s="52">
        <v>162.87</v>
      </c>
      <c r="E54" s="52">
        <v>215.29</v>
      </c>
      <c r="F54" s="52">
        <v>303.83999999999997</v>
      </c>
      <c r="G54" s="52">
        <v>328.37</v>
      </c>
      <c r="H54" s="53">
        <v>405.72</v>
      </c>
    </row>
    <row r="55" spans="1:8" ht="12.75" customHeight="1">
      <c r="A55" s="19">
        <v>53</v>
      </c>
      <c r="B55" s="51">
        <v>111.39</v>
      </c>
      <c r="C55" s="51">
        <v>132.47999999999999</v>
      </c>
      <c r="D55" s="52">
        <v>165.26</v>
      </c>
      <c r="E55" s="52">
        <v>223.16</v>
      </c>
      <c r="F55" s="52">
        <v>307.08999999999997</v>
      </c>
      <c r="G55" s="52">
        <v>332.8</v>
      </c>
      <c r="H55" s="53">
        <v>412.41</v>
      </c>
    </row>
    <row r="56" spans="1:8" ht="12.75" customHeight="1">
      <c r="A56" s="19">
        <v>54</v>
      </c>
      <c r="B56" s="51">
        <v>112.01</v>
      </c>
      <c r="C56" s="51">
        <v>132.91</v>
      </c>
      <c r="D56" s="52">
        <v>165.87</v>
      </c>
      <c r="E56" s="52">
        <v>223.95</v>
      </c>
      <c r="F56" s="52">
        <v>307.49</v>
      </c>
      <c r="G56" s="52">
        <v>339.92</v>
      </c>
      <c r="H56" s="53">
        <v>413.08</v>
      </c>
    </row>
    <row r="57" spans="1:8" ht="12.75" customHeight="1">
      <c r="A57" s="19">
        <v>55</v>
      </c>
      <c r="B57" s="54">
        <v>112.55</v>
      </c>
      <c r="C57" s="54">
        <v>137.91</v>
      </c>
      <c r="D57" s="55">
        <v>171.09</v>
      </c>
      <c r="E57" s="55">
        <v>227.25</v>
      </c>
      <c r="F57" s="55">
        <v>308.27</v>
      </c>
      <c r="G57" s="55">
        <v>347.91</v>
      </c>
      <c r="H57" s="56">
        <v>413.65</v>
      </c>
    </row>
    <row r="58" spans="1:8" ht="12.75" customHeight="1">
      <c r="A58" s="32">
        <v>56</v>
      </c>
      <c r="B58" s="42">
        <v>113.09</v>
      </c>
      <c r="C58" s="42">
        <v>138.44999999999999</v>
      </c>
      <c r="D58" s="42">
        <v>171.69</v>
      </c>
      <c r="E58" s="42">
        <v>239.15</v>
      </c>
      <c r="F58" s="42">
        <v>323.64999999999998</v>
      </c>
      <c r="G58" s="42">
        <v>349.54</v>
      </c>
      <c r="H58" s="43">
        <v>418.27</v>
      </c>
    </row>
    <row r="59" spans="1:8" ht="12.75" customHeight="1">
      <c r="A59" s="13">
        <v>57</v>
      </c>
      <c r="B59" s="44">
        <v>113.62</v>
      </c>
      <c r="C59" s="44">
        <v>138.97999999999999</v>
      </c>
      <c r="D59" s="44">
        <v>175.98</v>
      </c>
      <c r="E59" s="44">
        <v>242.83</v>
      </c>
      <c r="F59" s="44">
        <v>325.19</v>
      </c>
      <c r="G59" s="44">
        <v>382.08</v>
      </c>
      <c r="H59" s="45">
        <v>426.63</v>
      </c>
    </row>
    <row r="60" spans="1:8" ht="12.75" customHeight="1">
      <c r="A60" s="13">
        <v>58</v>
      </c>
      <c r="B60" s="44">
        <v>114.18</v>
      </c>
      <c r="C60" s="44">
        <v>139.53</v>
      </c>
      <c r="D60" s="44">
        <v>176.6</v>
      </c>
      <c r="E60" s="44">
        <v>246.64</v>
      </c>
      <c r="F60" s="44">
        <v>341.38</v>
      </c>
      <c r="G60" s="44">
        <v>385.36</v>
      </c>
      <c r="H60" s="45">
        <v>433.6</v>
      </c>
    </row>
    <row r="61" spans="1:8" ht="12.75" customHeight="1">
      <c r="A61" s="13">
        <v>59</v>
      </c>
      <c r="B61" s="44">
        <v>114.72</v>
      </c>
      <c r="C61" s="44">
        <v>140.15</v>
      </c>
      <c r="D61" s="44">
        <v>177.18</v>
      </c>
      <c r="E61" s="44">
        <v>249.74</v>
      </c>
      <c r="F61" s="44">
        <v>343</v>
      </c>
      <c r="G61" s="44">
        <v>391.4</v>
      </c>
      <c r="H61" s="45">
        <v>441.58</v>
      </c>
    </row>
    <row r="62" spans="1:8" ht="12.75" customHeight="1">
      <c r="A62" s="16">
        <v>60</v>
      </c>
      <c r="B62" s="46">
        <v>116.79</v>
      </c>
      <c r="C62" s="46">
        <v>144.68</v>
      </c>
      <c r="D62" s="46">
        <v>177.77</v>
      </c>
      <c r="E62" s="46">
        <v>250.39</v>
      </c>
      <c r="F62" s="46">
        <v>343.92</v>
      </c>
      <c r="G62" s="46">
        <v>392.07</v>
      </c>
      <c r="H62" s="47">
        <v>449.58</v>
      </c>
    </row>
    <row r="63" spans="1:8" ht="12.75" customHeight="1">
      <c r="A63" s="19">
        <v>61</v>
      </c>
      <c r="B63" s="48">
        <v>119.79</v>
      </c>
      <c r="C63" s="48">
        <v>148.72999999999999</v>
      </c>
      <c r="D63" s="49">
        <v>187.19</v>
      </c>
      <c r="E63" s="49">
        <v>258.88</v>
      </c>
      <c r="F63" s="49">
        <v>344.79</v>
      </c>
      <c r="G63" s="49">
        <v>404.8</v>
      </c>
      <c r="H63" s="50">
        <v>456.78</v>
      </c>
    </row>
    <row r="64" spans="1:8" ht="12.75" customHeight="1">
      <c r="A64" s="23">
        <v>62</v>
      </c>
      <c r="B64" s="51">
        <v>121.74</v>
      </c>
      <c r="C64" s="51">
        <v>149.31</v>
      </c>
      <c r="D64" s="52">
        <v>190.17</v>
      </c>
      <c r="E64" s="52">
        <v>262.44</v>
      </c>
      <c r="F64" s="52">
        <v>361.97</v>
      </c>
      <c r="G64" s="52">
        <v>411.77</v>
      </c>
      <c r="H64" s="53">
        <v>457.53</v>
      </c>
    </row>
    <row r="65" spans="1:26" ht="12.75" customHeight="1">
      <c r="A65" s="23">
        <v>63</v>
      </c>
      <c r="B65" s="51">
        <v>123.09</v>
      </c>
      <c r="C65" s="51">
        <v>149.85</v>
      </c>
      <c r="D65" s="52">
        <v>190.79</v>
      </c>
      <c r="E65" s="52">
        <v>266.55</v>
      </c>
      <c r="F65" s="52">
        <v>373.29</v>
      </c>
      <c r="G65" s="52">
        <v>418.38</v>
      </c>
      <c r="H65" s="53">
        <v>471.89</v>
      </c>
    </row>
    <row r="66" spans="1:26" ht="12.75" customHeight="1">
      <c r="A66" s="23">
        <v>64</v>
      </c>
      <c r="B66" s="51">
        <v>126.08</v>
      </c>
      <c r="C66" s="51">
        <v>152.77000000000001</v>
      </c>
      <c r="D66" s="52">
        <v>191.36</v>
      </c>
      <c r="E66" s="52">
        <v>270.11</v>
      </c>
      <c r="F66" s="52">
        <v>379.15</v>
      </c>
      <c r="G66" s="52">
        <v>424.99</v>
      </c>
      <c r="H66" s="53">
        <v>479.41</v>
      </c>
    </row>
    <row r="67" spans="1:26" ht="12.75" customHeight="1">
      <c r="A67" s="23">
        <v>65</v>
      </c>
      <c r="B67" s="54">
        <v>126.62</v>
      </c>
      <c r="C67" s="54">
        <v>156.82</v>
      </c>
      <c r="D67" s="55">
        <v>196.12</v>
      </c>
      <c r="E67" s="55">
        <v>272.94</v>
      </c>
      <c r="F67" s="55">
        <v>379.8</v>
      </c>
      <c r="G67" s="55">
        <v>431.56</v>
      </c>
      <c r="H67" s="56">
        <v>490.82</v>
      </c>
    </row>
    <row r="68" spans="1:26" ht="12.75" customHeight="1">
      <c r="A68" s="9">
        <v>66</v>
      </c>
      <c r="B68" s="42">
        <v>127.18</v>
      </c>
      <c r="C68" s="42">
        <v>157.38</v>
      </c>
      <c r="D68" s="42">
        <v>198.31</v>
      </c>
      <c r="E68" s="42">
        <v>273.58999999999997</v>
      </c>
      <c r="F68" s="42">
        <v>382.42</v>
      </c>
      <c r="G68" s="42">
        <v>432.22</v>
      </c>
      <c r="H68" s="43">
        <v>501.23</v>
      </c>
    </row>
    <row r="69" spans="1:26" ht="12.75" customHeight="1">
      <c r="A69" s="33">
        <v>67</v>
      </c>
      <c r="B69" s="44">
        <v>127.71</v>
      </c>
      <c r="C69" s="44">
        <v>160.53</v>
      </c>
      <c r="D69" s="44">
        <v>198.81</v>
      </c>
      <c r="E69" s="44">
        <v>274.24</v>
      </c>
      <c r="F69" s="44">
        <v>383.08</v>
      </c>
      <c r="G69" s="44">
        <v>438.13</v>
      </c>
      <c r="H69" s="45">
        <v>502.28</v>
      </c>
    </row>
    <row r="70" spans="1:26" ht="12.75" customHeight="1">
      <c r="A70" s="33">
        <v>68</v>
      </c>
      <c r="B70" s="44">
        <v>128.24</v>
      </c>
      <c r="C70" s="44">
        <v>161.83000000000001</v>
      </c>
      <c r="D70" s="44">
        <v>204.34</v>
      </c>
      <c r="E70" s="44">
        <v>284.74</v>
      </c>
      <c r="F70" s="44">
        <v>383.74</v>
      </c>
      <c r="G70" s="44">
        <v>438.77</v>
      </c>
      <c r="H70" s="45">
        <v>523.11</v>
      </c>
    </row>
    <row r="71" spans="1:26" ht="12.75" customHeight="1">
      <c r="A71" s="33">
        <v>69</v>
      </c>
      <c r="B71" s="44">
        <v>128.79</v>
      </c>
      <c r="C71" s="44">
        <v>165.12</v>
      </c>
      <c r="D71" s="44">
        <v>204.9</v>
      </c>
      <c r="E71" s="44">
        <v>285.8</v>
      </c>
      <c r="F71" s="44">
        <v>384.41</v>
      </c>
      <c r="G71" s="44">
        <v>439.72</v>
      </c>
      <c r="H71" s="45">
        <v>525.20000000000005</v>
      </c>
    </row>
    <row r="72" spans="1:26" ht="12.75" customHeight="1">
      <c r="A72" s="16">
        <v>70</v>
      </c>
      <c r="B72" s="46">
        <v>131.96</v>
      </c>
      <c r="C72" s="46">
        <v>169.76</v>
      </c>
      <c r="D72" s="46">
        <v>209.76</v>
      </c>
      <c r="E72" s="46">
        <v>293.02</v>
      </c>
      <c r="F72" s="46">
        <v>385.06</v>
      </c>
      <c r="G72" s="46">
        <v>458.52</v>
      </c>
      <c r="H72" s="47">
        <v>525.91</v>
      </c>
    </row>
    <row r="73" spans="1:26" ht="12.75" customHeight="1">
      <c r="A73" s="35">
        <v>71</v>
      </c>
      <c r="B73" s="48">
        <v>132.56</v>
      </c>
      <c r="C73" s="48">
        <v>170.35</v>
      </c>
      <c r="D73" s="49">
        <v>210.25</v>
      </c>
      <c r="E73" s="49">
        <v>295.51</v>
      </c>
      <c r="F73" s="49">
        <v>385.72</v>
      </c>
      <c r="G73" s="49">
        <v>469.89</v>
      </c>
      <c r="H73" s="50">
        <v>539.59</v>
      </c>
    </row>
    <row r="74" spans="1:26" ht="12.75" customHeight="1">
      <c r="A74" s="23">
        <v>72</v>
      </c>
      <c r="B74" s="51">
        <v>135.68</v>
      </c>
      <c r="C74" s="51">
        <v>170.95</v>
      </c>
      <c r="D74" s="52">
        <v>210.65</v>
      </c>
      <c r="E74" s="52">
        <v>299.61</v>
      </c>
      <c r="F74" s="52">
        <v>386.38</v>
      </c>
      <c r="G74" s="52">
        <v>474.99</v>
      </c>
      <c r="H74" s="53">
        <v>540.96</v>
      </c>
    </row>
    <row r="75" spans="1:26" ht="12.75" customHeight="1">
      <c r="A75" s="23">
        <v>73</v>
      </c>
      <c r="B75" s="51">
        <v>136.22</v>
      </c>
      <c r="C75" s="51">
        <v>171.53</v>
      </c>
      <c r="D75" s="52">
        <v>212.66</v>
      </c>
      <c r="E75" s="52">
        <v>300.89999999999998</v>
      </c>
      <c r="F75" s="52">
        <v>387.04</v>
      </c>
      <c r="G75" s="52">
        <v>475.63</v>
      </c>
      <c r="H75" s="53">
        <v>541.54999999999995</v>
      </c>
    </row>
    <row r="76" spans="1:26" ht="12.75" customHeight="1">
      <c r="A76" s="23">
        <v>74</v>
      </c>
      <c r="B76" s="51">
        <v>136.75</v>
      </c>
      <c r="C76" s="51">
        <v>171.93</v>
      </c>
      <c r="D76" s="52">
        <v>213.25</v>
      </c>
      <c r="E76" s="52">
        <v>301.3</v>
      </c>
      <c r="F76" s="52">
        <v>387.44</v>
      </c>
      <c r="G76" s="52">
        <v>476.03</v>
      </c>
      <c r="H76" s="53">
        <v>542.15</v>
      </c>
    </row>
    <row r="77" spans="1:26" ht="12.75" customHeight="1">
      <c r="A77" s="27">
        <v>75</v>
      </c>
      <c r="B77" s="54">
        <v>137.96</v>
      </c>
      <c r="C77" s="54">
        <v>173.33</v>
      </c>
      <c r="D77" s="55">
        <v>214.44</v>
      </c>
      <c r="E77" s="55">
        <v>302.89</v>
      </c>
      <c r="F77" s="55">
        <v>389.03</v>
      </c>
      <c r="G77" s="55">
        <v>477.64</v>
      </c>
      <c r="H77" s="56">
        <v>543.62</v>
      </c>
    </row>
    <row r="78" spans="1:26" ht="12.75" customHeight="1">
      <c r="A78" s="5">
        <v>76</v>
      </c>
      <c r="B78" s="57">
        <v>139.66999999999999</v>
      </c>
      <c r="C78" s="57">
        <v>174.5</v>
      </c>
      <c r="D78" s="57">
        <v>215.62</v>
      </c>
      <c r="E78" s="57">
        <v>304.19</v>
      </c>
      <c r="F78" s="57">
        <v>390.36</v>
      </c>
      <c r="G78" s="57">
        <v>489.77</v>
      </c>
      <c r="H78" s="58">
        <v>572.74</v>
      </c>
      <c r="L78" s="4"/>
    </row>
    <row r="79" spans="1:26" ht="12.75" customHeight="1">
      <c r="A79" s="9">
        <v>77</v>
      </c>
      <c r="B79" s="42">
        <v>140.76</v>
      </c>
      <c r="C79" s="42">
        <v>175.3</v>
      </c>
      <c r="D79" s="42">
        <v>216.81</v>
      </c>
      <c r="E79" s="42">
        <v>305.51</v>
      </c>
      <c r="F79" s="42">
        <v>391.16</v>
      </c>
      <c r="G79" s="42">
        <v>491.09</v>
      </c>
      <c r="H79" s="43">
        <v>575.66</v>
      </c>
    </row>
    <row r="80" spans="1:26" ht="12.75" customHeight="1">
      <c r="A80" s="13">
        <v>78</v>
      </c>
      <c r="B80" s="44">
        <v>141.83000000000001</v>
      </c>
      <c r="C80" s="44">
        <v>176.1</v>
      </c>
      <c r="D80" s="44">
        <v>218.01</v>
      </c>
      <c r="E80" s="44">
        <v>306.82</v>
      </c>
      <c r="F80" s="44">
        <v>391.96</v>
      </c>
      <c r="G80" s="44">
        <v>492.46</v>
      </c>
      <c r="H80" s="45">
        <v>578.34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8" ht="12.75" customHeight="1">
      <c r="A81" s="13">
        <v>79</v>
      </c>
      <c r="B81" s="44">
        <v>142.93</v>
      </c>
      <c r="C81" s="44">
        <v>176.9</v>
      </c>
      <c r="D81" s="44">
        <v>219.19</v>
      </c>
      <c r="E81" s="44">
        <v>308.14999999999998</v>
      </c>
      <c r="F81" s="44">
        <v>392.76</v>
      </c>
      <c r="G81" s="44">
        <v>493.77</v>
      </c>
      <c r="H81" s="45">
        <v>583.75</v>
      </c>
    </row>
    <row r="82" spans="1:8" ht="12.75" customHeight="1">
      <c r="A82" s="16">
        <v>80</v>
      </c>
      <c r="B82" s="46">
        <v>144.01</v>
      </c>
      <c r="C82" s="46">
        <v>177.7</v>
      </c>
      <c r="D82" s="46">
        <v>220.5</v>
      </c>
      <c r="E82" s="46">
        <v>309.45</v>
      </c>
      <c r="F82" s="46">
        <v>393.56</v>
      </c>
      <c r="G82" s="46">
        <v>495.1</v>
      </c>
      <c r="H82" s="47">
        <v>585.05999999999995</v>
      </c>
    </row>
    <row r="83" spans="1:8" ht="12.75" customHeight="1">
      <c r="A83" s="19">
        <v>81</v>
      </c>
      <c r="B83" s="48">
        <v>145.09</v>
      </c>
      <c r="C83" s="48">
        <v>182.25</v>
      </c>
      <c r="D83" s="49">
        <v>221.57</v>
      </c>
      <c r="E83" s="49">
        <v>310.89999999999998</v>
      </c>
      <c r="F83" s="49">
        <v>400.37</v>
      </c>
      <c r="G83" s="49">
        <v>497.3</v>
      </c>
      <c r="H83" s="50">
        <v>586.39</v>
      </c>
    </row>
    <row r="84" spans="1:8" ht="12.75" customHeight="1">
      <c r="A84" s="23">
        <v>82</v>
      </c>
      <c r="B84" s="51">
        <v>147.1</v>
      </c>
      <c r="C84" s="51">
        <v>189.88</v>
      </c>
      <c r="D84" s="52">
        <v>228.88</v>
      </c>
      <c r="E84" s="52">
        <v>334.2</v>
      </c>
      <c r="F84" s="52">
        <v>429.47</v>
      </c>
      <c r="G84" s="52">
        <v>536.21</v>
      </c>
      <c r="H84" s="53">
        <v>589.23</v>
      </c>
    </row>
    <row r="85" spans="1:8" ht="12.75" customHeight="1">
      <c r="A85" s="19">
        <v>83</v>
      </c>
      <c r="B85" s="51">
        <v>147.9</v>
      </c>
      <c r="C85" s="51">
        <v>191.07</v>
      </c>
      <c r="D85" s="52">
        <v>229.68</v>
      </c>
      <c r="E85" s="52">
        <v>337.8</v>
      </c>
      <c r="F85" s="52">
        <v>449.25</v>
      </c>
      <c r="G85" s="52">
        <v>540.11</v>
      </c>
      <c r="H85" s="53">
        <v>604.36</v>
      </c>
    </row>
    <row r="86" spans="1:8" ht="13.5" customHeight="1">
      <c r="A86" s="19">
        <v>84</v>
      </c>
      <c r="B86" s="51">
        <v>148.69999999999999</v>
      </c>
      <c r="C86" s="51">
        <v>197.25</v>
      </c>
      <c r="D86" s="52">
        <v>230.48</v>
      </c>
      <c r="E86" s="52">
        <v>339.14</v>
      </c>
      <c r="F86" s="52">
        <v>451.23</v>
      </c>
      <c r="G86" s="52">
        <v>540.91</v>
      </c>
      <c r="H86" s="53">
        <v>605.88</v>
      </c>
    </row>
    <row r="87" spans="1:8" ht="13.5" customHeight="1">
      <c r="A87" s="27">
        <v>85</v>
      </c>
      <c r="B87" s="54">
        <v>149.5</v>
      </c>
      <c r="C87" s="54">
        <v>200.69</v>
      </c>
      <c r="D87" s="55">
        <v>231.28</v>
      </c>
      <c r="E87" s="55">
        <v>340.96</v>
      </c>
      <c r="F87" s="55">
        <v>452.03</v>
      </c>
      <c r="G87" s="55">
        <v>541.71</v>
      </c>
      <c r="H87" s="56">
        <v>624.79</v>
      </c>
    </row>
    <row r="88" spans="1:8" ht="13.5" customHeight="1">
      <c r="A88" s="13">
        <v>86</v>
      </c>
      <c r="B88" s="42">
        <v>150.30000000000001</v>
      </c>
      <c r="C88" s="42">
        <v>201.49</v>
      </c>
      <c r="D88" s="42">
        <v>232.08</v>
      </c>
      <c r="E88" s="42">
        <v>341.76</v>
      </c>
      <c r="F88" s="42">
        <v>452.83</v>
      </c>
      <c r="G88" s="42">
        <v>542.51</v>
      </c>
      <c r="H88" s="43">
        <v>626.69000000000005</v>
      </c>
    </row>
    <row r="89" spans="1:8" ht="13.5" customHeight="1">
      <c r="A89" s="13">
        <v>87</v>
      </c>
      <c r="B89" s="44">
        <v>151.1</v>
      </c>
      <c r="C89" s="44">
        <v>202.29</v>
      </c>
      <c r="D89" s="44">
        <v>232.88</v>
      </c>
      <c r="E89" s="44">
        <v>342.56</v>
      </c>
      <c r="F89" s="44">
        <v>453.63</v>
      </c>
      <c r="G89" s="44">
        <v>543.30999999999995</v>
      </c>
      <c r="H89" s="45">
        <v>627.49</v>
      </c>
    </row>
    <row r="90" spans="1:8" ht="13.5" customHeight="1">
      <c r="A90" s="13">
        <v>88</v>
      </c>
      <c r="B90" s="44">
        <v>151.9</v>
      </c>
      <c r="C90" s="44">
        <v>203.09</v>
      </c>
      <c r="D90" s="44">
        <v>233.68</v>
      </c>
      <c r="E90" s="44">
        <v>343.36</v>
      </c>
      <c r="F90" s="44">
        <v>454.43</v>
      </c>
      <c r="G90" s="44">
        <v>544.11</v>
      </c>
      <c r="H90" s="45">
        <v>628.29</v>
      </c>
    </row>
    <row r="91" spans="1:8" ht="13.5" customHeight="1">
      <c r="A91" s="13">
        <v>89</v>
      </c>
      <c r="B91" s="44">
        <v>152.69999999999999</v>
      </c>
      <c r="C91" s="44">
        <v>203.89</v>
      </c>
      <c r="D91" s="44">
        <v>234.48</v>
      </c>
      <c r="E91" s="44">
        <v>344.16</v>
      </c>
      <c r="F91" s="44">
        <v>455.23</v>
      </c>
      <c r="G91" s="44">
        <v>544.91</v>
      </c>
      <c r="H91" s="45">
        <v>629.09</v>
      </c>
    </row>
    <row r="92" spans="1:8" ht="13.5" customHeight="1">
      <c r="A92" s="13">
        <v>90</v>
      </c>
      <c r="B92" s="46">
        <v>153.5</v>
      </c>
      <c r="C92" s="46">
        <v>204.69</v>
      </c>
      <c r="D92" s="46">
        <v>235.28</v>
      </c>
      <c r="E92" s="46">
        <v>344.96</v>
      </c>
      <c r="F92" s="46">
        <v>456.03</v>
      </c>
      <c r="G92" s="46">
        <v>545.71</v>
      </c>
      <c r="H92" s="47">
        <v>629.89</v>
      </c>
    </row>
    <row r="93" spans="1:8" ht="13.5" customHeight="1">
      <c r="A93" s="31">
        <v>91</v>
      </c>
      <c r="B93" s="48">
        <v>164.82</v>
      </c>
      <c r="C93" s="48">
        <v>213.52</v>
      </c>
      <c r="D93" s="49">
        <v>251.28</v>
      </c>
      <c r="E93" s="49">
        <v>359.2</v>
      </c>
      <c r="F93" s="49">
        <v>466.19</v>
      </c>
      <c r="G93" s="49">
        <v>549.95000000000005</v>
      </c>
      <c r="H93" s="50">
        <v>637.29999999999995</v>
      </c>
    </row>
    <row r="94" spans="1:8" ht="13.5" customHeight="1">
      <c r="A94" s="19">
        <v>92</v>
      </c>
      <c r="B94" s="51">
        <v>165.96</v>
      </c>
      <c r="C94" s="51">
        <v>214.64</v>
      </c>
      <c r="D94" s="52">
        <v>254.77</v>
      </c>
      <c r="E94" s="52">
        <v>360.63</v>
      </c>
      <c r="F94" s="52">
        <v>467.52</v>
      </c>
      <c r="G94" s="52">
        <v>550.75</v>
      </c>
      <c r="H94" s="53">
        <v>638.64</v>
      </c>
    </row>
    <row r="95" spans="1:8" ht="13.5" customHeight="1">
      <c r="A95" s="19">
        <v>93</v>
      </c>
      <c r="B95" s="51">
        <v>167.34</v>
      </c>
      <c r="C95" s="51">
        <v>215.75</v>
      </c>
      <c r="D95" s="52">
        <v>255.57</v>
      </c>
      <c r="E95" s="52">
        <v>361.43</v>
      </c>
      <c r="F95" s="52">
        <v>468.84</v>
      </c>
      <c r="G95" s="52">
        <v>551.54999999999995</v>
      </c>
      <c r="H95" s="53">
        <v>639.94000000000005</v>
      </c>
    </row>
    <row r="96" spans="1:8" ht="13.5" customHeight="1">
      <c r="A96" s="19">
        <v>94</v>
      </c>
      <c r="B96" s="51">
        <v>168.55</v>
      </c>
      <c r="C96" s="51">
        <v>216.87</v>
      </c>
      <c r="D96" s="52">
        <v>257.02999999999997</v>
      </c>
      <c r="E96" s="52">
        <v>363.27</v>
      </c>
      <c r="F96" s="52">
        <v>470.17</v>
      </c>
      <c r="G96" s="52">
        <v>552.35</v>
      </c>
      <c r="H96" s="53">
        <v>641.55999999999995</v>
      </c>
    </row>
    <row r="97" spans="1:8" ht="13.5" customHeight="1">
      <c r="A97" s="19">
        <v>95</v>
      </c>
      <c r="B97" s="54">
        <v>169.99</v>
      </c>
      <c r="C97" s="54">
        <v>217.99</v>
      </c>
      <c r="D97" s="55">
        <v>258.14</v>
      </c>
      <c r="E97" s="55">
        <v>364.58</v>
      </c>
      <c r="F97" s="55">
        <v>472.11</v>
      </c>
      <c r="G97" s="55">
        <v>553.15</v>
      </c>
      <c r="H97" s="56">
        <v>673.78</v>
      </c>
    </row>
    <row r="98" spans="1:8" ht="13.5" customHeight="1">
      <c r="A98" s="32">
        <v>96</v>
      </c>
      <c r="B98" s="42">
        <v>173.8</v>
      </c>
      <c r="C98" s="42">
        <v>218.99</v>
      </c>
      <c r="D98" s="42">
        <v>262.27999999999997</v>
      </c>
      <c r="E98" s="42">
        <v>365.38</v>
      </c>
      <c r="F98" s="42">
        <v>509.86</v>
      </c>
      <c r="G98" s="42">
        <v>553.95000000000005</v>
      </c>
      <c r="H98" s="43">
        <v>693.01</v>
      </c>
    </row>
    <row r="99" spans="1:8" ht="13.5" customHeight="1">
      <c r="A99" s="13">
        <v>97</v>
      </c>
      <c r="B99" s="44">
        <v>174.89</v>
      </c>
      <c r="C99" s="44">
        <v>220.21</v>
      </c>
      <c r="D99" s="44">
        <v>263.08</v>
      </c>
      <c r="E99" s="44">
        <v>366.18</v>
      </c>
      <c r="F99" s="44">
        <v>513.64</v>
      </c>
      <c r="G99" s="44">
        <v>554.75</v>
      </c>
      <c r="H99" s="45">
        <v>694.94</v>
      </c>
    </row>
    <row r="100" spans="1:8" ht="13.5" customHeight="1">
      <c r="A100" s="13">
        <v>98</v>
      </c>
      <c r="B100" s="44">
        <v>182.03</v>
      </c>
      <c r="C100" s="44">
        <v>221.34</v>
      </c>
      <c r="D100" s="44">
        <v>273.04000000000002</v>
      </c>
      <c r="E100" s="44">
        <v>367</v>
      </c>
      <c r="F100" s="44">
        <v>514.79999999999995</v>
      </c>
      <c r="G100" s="44">
        <v>556.62</v>
      </c>
      <c r="H100" s="45">
        <v>695.97</v>
      </c>
    </row>
    <row r="101" spans="1:8" ht="13.5" customHeight="1">
      <c r="A101" s="13">
        <v>99</v>
      </c>
      <c r="B101" s="44">
        <v>184.2</v>
      </c>
      <c r="C101" s="44">
        <v>222.45</v>
      </c>
      <c r="D101" s="44">
        <v>279.47000000000003</v>
      </c>
      <c r="E101" s="44">
        <v>383.37</v>
      </c>
      <c r="F101" s="44">
        <v>537.95000000000005</v>
      </c>
      <c r="G101" s="44">
        <v>594.02</v>
      </c>
      <c r="H101" s="45">
        <v>716.54</v>
      </c>
    </row>
    <row r="102" spans="1:8" ht="13.5" customHeight="1">
      <c r="A102" s="16">
        <v>100</v>
      </c>
      <c r="B102" s="46">
        <v>185</v>
      </c>
      <c r="C102" s="46">
        <v>239</v>
      </c>
      <c r="D102" s="46">
        <v>306</v>
      </c>
      <c r="E102" s="46">
        <v>423</v>
      </c>
      <c r="F102" s="46">
        <v>595</v>
      </c>
      <c r="G102" s="46">
        <v>658</v>
      </c>
      <c r="H102" s="47">
        <v>753</v>
      </c>
    </row>
    <row r="103" spans="1:8" ht="13.5" customHeight="1">
      <c r="A103" s="19">
        <v>101</v>
      </c>
      <c r="B103" s="48">
        <v>186.85</v>
      </c>
      <c r="C103" s="48">
        <v>241.39</v>
      </c>
      <c r="D103" s="49">
        <v>309.06</v>
      </c>
      <c r="E103" s="49">
        <v>427.23</v>
      </c>
      <c r="F103" s="49">
        <v>600.95000000000005</v>
      </c>
      <c r="G103" s="49">
        <v>664.58</v>
      </c>
      <c r="H103" s="50">
        <v>760.53</v>
      </c>
    </row>
    <row r="104" spans="1:8" ht="13.5" customHeight="1">
      <c r="A104" s="23">
        <v>102</v>
      </c>
      <c r="B104" s="51">
        <v>188.7</v>
      </c>
      <c r="C104" s="51">
        <v>243.78</v>
      </c>
      <c r="D104" s="52">
        <v>312.12</v>
      </c>
      <c r="E104" s="52">
        <v>431.46</v>
      </c>
      <c r="F104" s="52">
        <v>606.9</v>
      </c>
      <c r="G104" s="52">
        <v>671.16</v>
      </c>
      <c r="H104" s="53">
        <v>768.06</v>
      </c>
    </row>
    <row r="105" spans="1:8" ht="13.5" customHeight="1">
      <c r="A105" s="23">
        <v>103</v>
      </c>
      <c r="B105" s="51">
        <v>190.55</v>
      </c>
      <c r="C105" s="51">
        <v>246.17</v>
      </c>
      <c r="D105" s="52">
        <v>315.18</v>
      </c>
      <c r="E105" s="52">
        <v>435.69</v>
      </c>
      <c r="F105" s="52">
        <v>612.85</v>
      </c>
      <c r="G105" s="52">
        <v>677.74</v>
      </c>
      <c r="H105" s="53">
        <v>775.59</v>
      </c>
    </row>
    <row r="106" spans="1:8" ht="13.5" customHeight="1">
      <c r="A106" s="23">
        <v>104</v>
      </c>
      <c r="B106" s="51">
        <v>192.4</v>
      </c>
      <c r="C106" s="51">
        <v>248.56</v>
      </c>
      <c r="D106" s="52">
        <v>318.24</v>
      </c>
      <c r="E106" s="52">
        <v>439.92</v>
      </c>
      <c r="F106" s="52">
        <v>618.79999999999995</v>
      </c>
      <c r="G106" s="52">
        <v>684.32</v>
      </c>
      <c r="H106" s="53">
        <v>783.12</v>
      </c>
    </row>
    <row r="107" spans="1:8" ht="12.75" customHeight="1">
      <c r="A107" s="23">
        <v>105</v>
      </c>
      <c r="B107" s="54">
        <v>194.25</v>
      </c>
      <c r="C107" s="54">
        <v>250.95</v>
      </c>
      <c r="D107" s="55">
        <v>321.3</v>
      </c>
      <c r="E107" s="55">
        <v>444.15</v>
      </c>
      <c r="F107" s="55">
        <v>624.75</v>
      </c>
      <c r="G107" s="55">
        <v>690.9</v>
      </c>
      <c r="H107" s="56">
        <v>790.65</v>
      </c>
    </row>
    <row r="108" spans="1:8" ht="12.75" customHeight="1">
      <c r="A108" s="9">
        <v>106</v>
      </c>
      <c r="B108" s="42">
        <v>196.1</v>
      </c>
      <c r="C108" s="42">
        <v>253.34</v>
      </c>
      <c r="D108" s="42">
        <v>324.36</v>
      </c>
      <c r="E108" s="42">
        <v>448.38</v>
      </c>
      <c r="F108" s="42">
        <v>630.70000000000005</v>
      </c>
      <c r="G108" s="42">
        <v>697.48</v>
      </c>
      <c r="H108" s="43">
        <v>798.18</v>
      </c>
    </row>
    <row r="109" spans="1:8" ht="12.75" customHeight="1">
      <c r="A109" s="33">
        <v>107</v>
      </c>
      <c r="B109" s="44">
        <v>197.95</v>
      </c>
      <c r="C109" s="44">
        <v>255.73</v>
      </c>
      <c r="D109" s="44">
        <v>327.42</v>
      </c>
      <c r="E109" s="44">
        <v>452.61</v>
      </c>
      <c r="F109" s="44">
        <v>636.65</v>
      </c>
      <c r="G109" s="44">
        <v>704.06</v>
      </c>
      <c r="H109" s="45">
        <v>805.71</v>
      </c>
    </row>
    <row r="110" spans="1:8" ht="12.75" customHeight="1">
      <c r="A110" s="33">
        <v>108</v>
      </c>
      <c r="B110" s="44">
        <v>199.8</v>
      </c>
      <c r="C110" s="44">
        <v>258.12</v>
      </c>
      <c r="D110" s="44">
        <v>330.48</v>
      </c>
      <c r="E110" s="44">
        <v>456.84</v>
      </c>
      <c r="F110" s="44">
        <v>642.6</v>
      </c>
      <c r="G110" s="44">
        <v>710.64</v>
      </c>
      <c r="H110" s="45">
        <v>813.24</v>
      </c>
    </row>
    <row r="111" spans="1:8" ht="12.75" customHeight="1">
      <c r="A111" s="33">
        <v>109</v>
      </c>
      <c r="B111" s="44">
        <v>201.65</v>
      </c>
      <c r="C111" s="44">
        <v>260.51</v>
      </c>
      <c r="D111" s="44">
        <v>333.54</v>
      </c>
      <c r="E111" s="44">
        <v>461.07</v>
      </c>
      <c r="F111" s="44">
        <v>648.54999999999995</v>
      </c>
      <c r="G111" s="44">
        <v>717.22</v>
      </c>
      <c r="H111" s="45">
        <v>820.77</v>
      </c>
    </row>
    <row r="112" spans="1:8" ht="12.75" customHeight="1">
      <c r="A112" s="16">
        <v>110</v>
      </c>
      <c r="B112" s="46">
        <v>203.5</v>
      </c>
      <c r="C112" s="46">
        <v>262.89999999999998</v>
      </c>
      <c r="D112" s="46">
        <v>336.6</v>
      </c>
      <c r="E112" s="46">
        <v>465.3</v>
      </c>
      <c r="F112" s="46">
        <v>654.5</v>
      </c>
      <c r="G112" s="46">
        <v>723.8</v>
      </c>
      <c r="H112" s="47">
        <v>828.3</v>
      </c>
    </row>
    <row r="113" spans="1:26" ht="12.75" customHeight="1">
      <c r="A113" s="35">
        <v>111</v>
      </c>
      <c r="B113" s="48">
        <v>205.35</v>
      </c>
      <c r="C113" s="48">
        <v>265.29000000000002</v>
      </c>
      <c r="D113" s="49">
        <v>339.66</v>
      </c>
      <c r="E113" s="49">
        <v>469.53</v>
      </c>
      <c r="F113" s="49">
        <v>660.45</v>
      </c>
      <c r="G113" s="49">
        <v>730.38</v>
      </c>
      <c r="H113" s="50">
        <v>835.83</v>
      </c>
    </row>
    <row r="114" spans="1:26" ht="12.75" customHeight="1">
      <c r="A114" s="23">
        <v>112</v>
      </c>
      <c r="B114" s="51">
        <v>207.2</v>
      </c>
      <c r="C114" s="51">
        <v>267.68</v>
      </c>
      <c r="D114" s="52">
        <v>342.72</v>
      </c>
      <c r="E114" s="52">
        <v>473.76</v>
      </c>
      <c r="F114" s="52">
        <v>666.4</v>
      </c>
      <c r="G114" s="52">
        <v>736.96</v>
      </c>
      <c r="H114" s="53">
        <v>843.36</v>
      </c>
    </row>
    <row r="115" spans="1:26" ht="12.75" customHeight="1">
      <c r="A115" s="23">
        <v>113</v>
      </c>
      <c r="B115" s="51">
        <v>209.05</v>
      </c>
      <c r="C115" s="51">
        <v>270.07</v>
      </c>
      <c r="D115" s="52">
        <v>345.78</v>
      </c>
      <c r="E115" s="52">
        <v>477.99</v>
      </c>
      <c r="F115" s="52">
        <v>672.35</v>
      </c>
      <c r="G115" s="52">
        <v>743.54</v>
      </c>
      <c r="H115" s="53">
        <v>850.89</v>
      </c>
    </row>
    <row r="116" spans="1:26" ht="12.75" customHeight="1">
      <c r="A116" s="23">
        <v>114</v>
      </c>
      <c r="B116" s="51">
        <v>210.9</v>
      </c>
      <c r="C116" s="51">
        <v>272.45999999999998</v>
      </c>
      <c r="D116" s="52">
        <v>348.84</v>
      </c>
      <c r="E116" s="52">
        <v>482.22</v>
      </c>
      <c r="F116" s="52">
        <v>678.3</v>
      </c>
      <c r="G116" s="52">
        <v>750.12</v>
      </c>
      <c r="H116" s="53">
        <v>858.42</v>
      </c>
    </row>
    <row r="117" spans="1:26" ht="12.75" customHeight="1">
      <c r="A117" s="27">
        <v>115</v>
      </c>
      <c r="B117" s="54">
        <v>212.75</v>
      </c>
      <c r="C117" s="54">
        <v>274.85000000000002</v>
      </c>
      <c r="D117" s="55">
        <v>351.9</v>
      </c>
      <c r="E117" s="55">
        <v>486.45</v>
      </c>
      <c r="F117" s="55">
        <v>684.25</v>
      </c>
      <c r="G117" s="55">
        <v>756.7</v>
      </c>
      <c r="H117" s="56">
        <v>865.95</v>
      </c>
    </row>
    <row r="118" spans="1:26" ht="12.75" customHeight="1">
      <c r="A118" s="5">
        <v>116</v>
      </c>
      <c r="B118" s="57">
        <v>214.6</v>
      </c>
      <c r="C118" s="57">
        <v>277.24</v>
      </c>
      <c r="D118" s="57">
        <v>354.96</v>
      </c>
      <c r="E118" s="57">
        <v>490.68</v>
      </c>
      <c r="F118" s="57">
        <v>690.2</v>
      </c>
      <c r="G118" s="57">
        <v>763.28</v>
      </c>
      <c r="H118" s="58">
        <v>873.48</v>
      </c>
      <c r="L118" s="4"/>
    </row>
    <row r="119" spans="1:26" ht="12.75" customHeight="1">
      <c r="A119" s="9">
        <v>117</v>
      </c>
      <c r="B119" s="42">
        <v>216.45</v>
      </c>
      <c r="C119" s="42">
        <v>279.63</v>
      </c>
      <c r="D119" s="42">
        <v>358.02</v>
      </c>
      <c r="E119" s="42">
        <v>494.91</v>
      </c>
      <c r="F119" s="42">
        <v>696.15</v>
      </c>
      <c r="G119" s="42">
        <v>769.86</v>
      </c>
      <c r="H119" s="43">
        <v>881.01</v>
      </c>
    </row>
    <row r="120" spans="1:26" ht="12.75" customHeight="1">
      <c r="A120" s="13">
        <v>118</v>
      </c>
      <c r="B120" s="44">
        <v>218.3</v>
      </c>
      <c r="C120" s="44">
        <v>282.02</v>
      </c>
      <c r="D120" s="44">
        <v>361.08</v>
      </c>
      <c r="E120" s="44">
        <v>499.14</v>
      </c>
      <c r="F120" s="44">
        <v>702.1</v>
      </c>
      <c r="G120" s="44">
        <v>776.44</v>
      </c>
      <c r="H120" s="45">
        <v>888.54</v>
      </c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13">
        <v>119</v>
      </c>
      <c r="B121" s="44">
        <v>220.15</v>
      </c>
      <c r="C121" s="44">
        <v>284.41000000000003</v>
      </c>
      <c r="D121" s="44">
        <v>364.14</v>
      </c>
      <c r="E121" s="44">
        <v>503.37</v>
      </c>
      <c r="F121" s="44">
        <v>708.05</v>
      </c>
      <c r="G121" s="44">
        <v>783.02</v>
      </c>
      <c r="H121" s="45">
        <v>896.07</v>
      </c>
    </row>
    <row r="122" spans="1:26" ht="12.75" customHeight="1">
      <c r="A122" s="16">
        <v>120</v>
      </c>
      <c r="B122" s="46">
        <v>222</v>
      </c>
      <c r="C122" s="46">
        <v>286.8</v>
      </c>
      <c r="D122" s="46">
        <v>367.2</v>
      </c>
      <c r="E122" s="46">
        <v>507.6</v>
      </c>
      <c r="F122" s="46">
        <v>714</v>
      </c>
      <c r="G122" s="46">
        <v>789.6</v>
      </c>
      <c r="H122" s="47">
        <v>903.6</v>
      </c>
    </row>
    <row r="123" spans="1:26" ht="12.75" customHeight="1">
      <c r="A123" s="19">
        <v>121</v>
      </c>
      <c r="B123" s="48">
        <v>223.85</v>
      </c>
      <c r="C123" s="48">
        <v>289.19</v>
      </c>
      <c r="D123" s="49">
        <v>370.26</v>
      </c>
      <c r="E123" s="49">
        <v>511.83</v>
      </c>
      <c r="F123" s="49">
        <v>719.95</v>
      </c>
      <c r="G123" s="49">
        <v>796.18</v>
      </c>
      <c r="H123" s="50">
        <v>911.13</v>
      </c>
    </row>
    <row r="124" spans="1:26" ht="12.75" customHeight="1">
      <c r="A124" s="23">
        <v>122</v>
      </c>
      <c r="B124" s="51">
        <v>225.7</v>
      </c>
      <c r="C124" s="51">
        <v>291.58</v>
      </c>
      <c r="D124" s="52">
        <v>373.32</v>
      </c>
      <c r="E124" s="52">
        <v>516.05999999999995</v>
      </c>
      <c r="F124" s="52">
        <v>725.9</v>
      </c>
      <c r="G124" s="52">
        <v>802.76</v>
      </c>
      <c r="H124" s="53">
        <v>918.66</v>
      </c>
    </row>
    <row r="125" spans="1:26" ht="12.75" customHeight="1">
      <c r="A125" s="19">
        <v>123</v>
      </c>
      <c r="B125" s="51">
        <v>227.55</v>
      </c>
      <c r="C125" s="51">
        <v>293.97000000000003</v>
      </c>
      <c r="D125" s="52">
        <v>376.38</v>
      </c>
      <c r="E125" s="52">
        <v>520.29</v>
      </c>
      <c r="F125" s="52">
        <v>731.85</v>
      </c>
      <c r="G125" s="52">
        <v>809.34</v>
      </c>
      <c r="H125" s="53">
        <v>926.19</v>
      </c>
    </row>
    <row r="126" spans="1:26" ht="12.75" customHeight="1">
      <c r="A126" s="19">
        <v>124</v>
      </c>
      <c r="B126" s="51">
        <v>229.4</v>
      </c>
      <c r="C126" s="51">
        <v>296.36</v>
      </c>
      <c r="D126" s="52">
        <v>379.44</v>
      </c>
      <c r="E126" s="52">
        <v>524.52</v>
      </c>
      <c r="F126" s="52">
        <v>737.8</v>
      </c>
      <c r="G126" s="52">
        <v>815.92</v>
      </c>
      <c r="H126" s="53">
        <v>933.72</v>
      </c>
    </row>
    <row r="127" spans="1:26" ht="12.75" customHeight="1">
      <c r="A127" s="27">
        <v>125</v>
      </c>
      <c r="B127" s="54">
        <v>231.25</v>
      </c>
      <c r="C127" s="54">
        <v>298.75</v>
      </c>
      <c r="D127" s="55">
        <v>382.5</v>
      </c>
      <c r="E127" s="55">
        <v>528.75</v>
      </c>
      <c r="F127" s="55">
        <v>743.75</v>
      </c>
      <c r="G127" s="55">
        <v>822.5</v>
      </c>
      <c r="H127" s="56">
        <v>941.25</v>
      </c>
    </row>
    <row r="128" spans="1:26" ht="12.75" customHeight="1">
      <c r="A128" s="13">
        <v>126</v>
      </c>
      <c r="B128" s="42">
        <v>233.1</v>
      </c>
      <c r="C128" s="42">
        <v>301.14</v>
      </c>
      <c r="D128" s="42">
        <v>385.56</v>
      </c>
      <c r="E128" s="42">
        <v>532.98</v>
      </c>
      <c r="F128" s="42">
        <v>749.7</v>
      </c>
      <c r="G128" s="42">
        <v>829.08</v>
      </c>
      <c r="H128" s="43">
        <v>948.78</v>
      </c>
    </row>
    <row r="129" spans="1:8" ht="12.75" customHeight="1">
      <c r="A129" s="13">
        <v>127</v>
      </c>
      <c r="B129" s="44">
        <v>234.95</v>
      </c>
      <c r="C129" s="44">
        <v>303.52999999999997</v>
      </c>
      <c r="D129" s="44">
        <v>388.62</v>
      </c>
      <c r="E129" s="44">
        <v>537.21</v>
      </c>
      <c r="F129" s="44">
        <v>755.65</v>
      </c>
      <c r="G129" s="44">
        <v>835.66</v>
      </c>
      <c r="H129" s="45">
        <v>956.31</v>
      </c>
    </row>
    <row r="130" spans="1:8" ht="12.75" customHeight="1">
      <c r="A130" s="13">
        <v>128</v>
      </c>
      <c r="B130" s="44">
        <v>236.8</v>
      </c>
      <c r="C130" s="44">
        <v>305.92</v>
      </c>
      <c r="D130" s="44">
        <v>391.68</v>
      </c>
      <c r="E130" s="44">
        <v>541.44000000000005</v>
      </c>
      <c r="F130" s="44">
        <v>761.6</v>
      </c>
      <c r="G130" s="44">
        <v>842.24</v>
      </c>
      <c r="H130" s="45">
        <v>963.84</v>
      </c>
    </row>
    <row r="131" spans="1:8" ht="12.75" customHeight="1">
      <c r="A131" s="13">
        <v>129</v>
      </c>
      <c r="B131" s="44">
        <v>238.65</v>
      </c>
      <c r="C131" s="44">
        <v>308.31</v>
      </c>
      <c r="D131" s="44">
        <v>394.74</v>
      </c>
      <c r="E131" s="44">
        <v>545.66999999999996</v>
      </c>
      <c r="F131" s="44">
        <v>767.55</v>
      </c>
      <c r="G131" s="44">
        <v>848.82</v>
      </c>
      <c r="H131" s="45">
        <v>971.37</v>
      </c>
    </row>
    <row r="132" spans="1:8" ht="12.75" customHeight="1">
      <c r="A132" s="13">
        <v>130</v>
      </c>
      <c r="B132" s="46">
        <v>240.5</v>
      </c>
      <c r="C132" s="46">
        <v>310.7</v>
      </c>
      <c r="D132" s="46">
        <v>397.8</v>
      </c>
      <c r="E132" s="46">
        <v>549.9</v>
      </c>
      <c r="F132" s="46">
        <v>773.5</v>
      </c>
      <c r="G132" s="46">
        <v>855.4</v>
      </c>
      <c r="H132" s="47">
        <v>978.9</v>
      </c>
    </row>
    <row r="133" spans="1:8" ht="12.75" customHeight="1">
      <c r="A133" s="31">
        <v>131</v>
      </c>
      <c r="B133" s="48">
        <v>242.35</v>
      </c>
      <c r="C133" s="48">
        <v>313.08999999999997</v>
      </c>
      <c r="D133" s="49">
        <v>400.86</v>
      </c>
      <c r="E133" s="49">
        <v>554.13</v>
      </c>
      <c r="F133" s="49">
        <v>779.45</v>
      </c>
      <c r="G133" s="49">
        <v>861.98</v>
      </c>
      <c r="H133" s="50">
        <v>986.43</v>
      </c>
    </row>
    <row r="134" spans="1:8" ht="12.75" customHeight="1">
      <c r="A134" s="19">
        <v>132</v>
      </c>
      <c r="B134" s="51">
        <v>244.2</v>
      </c>
      <c r="C134" s="51">
        <v>315.48</v>
      </c>
      <c r="D134" s="52">
        <v>403.92</v>
      </c>
      <c r="E134" s="52">
        <v>558.36</v>
      </c>
      <c r="F134" s="52">
        <v>785.4</v>
      </c>
      <c r="G134" s="52">
        <v>868.56</v>
      </c>
      <c r="H134" s="53">
        <v>993.96</v>
      </c>
    </row>
    <row r="135" spans="1:8" ht="12.75" customHeight="1">
      <c r="A135" s="19">
        <v>133</v>
      </c>
      <c r="B135" s="51">
        <v>246.05</v>
      </c>
      <c r="C135" s="51">
        <v>317.87</v>
      </c>
      <c r="D135" s="52">
        <v>406.98</v>
      </c>
      <c r="E135" s="52">
        <v>562.59</v>
      </c>
      <c r="F135" s="52">
        <v>791.35</v>
      </c>
      <c r="G135" s="52">
        <v>875.14</v>
      </c>
      <c r="H135" s="53">
        <v>1001.49</v>
      </c>
    </row>
    <row r="136" spans="1:8" ht="12.75" customHeight="1">
      <c r="A136" s="19">
        <v>134</v>
      </c>
      <c r="B136" s="51">
        <v>247.9</v>
      </c>
      <c r="C136" s="51">
        <v>320.26</v>
      </c>
      <c r="D136" s="52">
        <v>410.04</v>
      </c>
      <c r="E136" s="52">
        <v>566.82000000000005</v>
      </c>
      <c r="F136" s="52">
        <v>797.3</v>
      </c>
      <c r="G136" s="52">
        <v>881.72</v>
      </c>
      <c r="H136" s="53">
        <v>1009.02</v>
      </c>
    </row>
    <row r="137" spans="1:8" ht="12.75" customHeight="1">
      <c r="A137" s="19">
        <v>135</v>
      </c>
      <c r="B137" s="54">
        <v>249.75</v>
      </c>
      <c r="C137" s="54">
        <v>322.64999999999998</v>
      </c>
      <c r="D137" s="55">
        <v>413.1</v>
      </c>
      <c r="E137" s="55">
        <v>571.04999999999995</v>
      </c>
      <c r="F137" s="55">
        <v>803.25</v>
      </c>
      <c r="G137" s="55">
        <v>888.3</v>
      </c>
      <c r="H137" s="56">
        <v>1016.55</v>
      </c>
    </row>
    <row r="138" spans="1:8" ht="12.75" customHeight="1">
      <c r="A138" s="32">
        <v>136</v>
      </c>
      <c r="B138" s="42">
        <v>251.6</v>
      </c>
      <c r="C138" s="42">
        <v>325.04000000000002</v>
      </c>
      <c r="D138" s="42">
        <v>416.16</v>
      </c>
      <c r="E138" s="42">
        <v>575.28</v>
      </c>
      <c r="F138" s="42">
        <v>809.2</v>
      </c>
      <c r="G138" s="42">
        <v>894.88</v>
      </c>
      <c r="H138" s="43">
        <v>1024.08</v>
      </c>
    </row>
    <row r="139" spans="1:8" ht="12.75" customHeight="1">
      <c r="A139" s="13">
        <v>137</v>
      </c>
      <c r="B139" s="44">
        <v>253.45</v>
      </c>
      <c r="C139" s="44">
        <v>327.43</v>
      </c>
      <c r="D139" s="44">
        <v>419.22</v>
      </c>
      <c r="E139" s="44">
        <v>579.51</v>
      </c>
      <c r="F139" s="44">
        <v>815.15</v>
      </c>
      <c r="G139" s="44">
        <v>901.46</v>
      </c>
      <c r="H139" s="45">
        <v>1031.6099999999999</v>
      </c>
    </row>
    <row r="140" spans="1:8" ht="12.75" customHeight="1">
      <c r="A140" s="13">
        <v>138</v>
      </c>
      <c r="B140" s="44">
        <v>255.3</v>
      </c>
      <c r="C140" s="44">
        <v>329.82</v>
      </c>
      <c r="D140" s="44">
        <v>422.28</v>
      </c>
      <c r="E140" s="44">
        <v>583.74</v>
      </c>
      <c r="F140" s="44">
        <v>821.1</v>
      </c>
      <c r="G140" s="44">
        <v>908.04</v>
      </c>
      <c r="H140" s="45">
        <v>1039.1400000000001</v>
      </c>
    </row>
    <row r="141" spans="1:8" ht="12.75" customHeight="1">
      <c r="A141" s="13">
        <v>139</v>
      </c>
      <c r="B141" s="44">
        <v>257.14999999999998</v>
      </c>
      <c r="C141" s="44">
        <v>332.21</v>
      </c>
      <c r="D141" s="44">
        <v>425.34</v>
      </c>
      <c r="E141" s="44">
        <v>587.97</v>
      </c>
      <c r="F141" s="44">
        <v>827.05</v>
      </c>
      <c r="G141" s="44">
        <v>914.62</v>
      </c>
      <c r="H141" s="45">
        <v>1046.67</v>
      </c>
    </row>
    <row r="142" spans="1:8" ht="12.75" customHeight="1">
      <c r="A142" s="16">
        <v>140</v>
      </c>
      <c r="B142" s="46">
        <v>259</v>
      </c>
      <c r="C142" s="46">
        <v>334.6</v>
      </c>
      <c r="D142" s="46">
        <v>428.4</v>
      </c>
      <c r="E142" s="46">
        <v>592.20000000000005</v>
      </c>
      <c r="F142" s="46">
        <v>833</v>
      </c>
      <c r="G142" s="46">
        <v>921.2</v>
      </c>
      <c r="H142" s="47">
        <v>1054.2</v>
      </c>
    </row>
    <row r="143" spans="1:8" ht="12.75" customHeight="1">
      <c r="A143" s="19">
        <v>141</v>
      </c>
      <c r="B143" s="48">
        <v>260.85000000000002</v>
      </c>
      <c r="C143" s="48">
        <v>336.99</v>
      </c>
      <c r="D143" s="49">
        <v>431.46</v>
      </c>
      <c r="E143" s="49">
        <v>596.42999999999995</v>
      </c>
      <c r="F143" s="49">
        <v>838.95</v>
      </c>
      <c r="G143" s="49">
        <v>927.78</v>
      </c>
      <c r="H143" s="50">
        <v>1061.73</v>
      </c>
    </row>
    <row r="144" spans="1:8" ht="12.75" customHeight="1">
      <c r="A144" s="23">
        <v>142</v>
      </c>
      <c r="B144" s="51">
        <v>262.7</v>
      </c>
      <c r="C144" s="51">
        <v>339.38</v>
      </c>
      <c r="D144" s="52">
        <v>434.52</v>
      </c>
      <c r="E144" s="52">
        <v>600.66</v>
      </c>
      <c r="F144" s="52">
        <v>844.9</v>
      </c>
      <c r="G144" s="52">
        <v>934.36</v>
      </c>
      <c r="H144" s="53">
        <v>1069.26</v>
      </c>
    </row>
    <row r="145" spans="1:8" ht="12.75" customHeight="1">
      <c r="A145" s="23">
        <v>143</v>
      </c>
      <c r="B145" s="51">
        <v>264.55</v>
      </c>
      <c r="C145" s="51">
        <v>341.77</v>
      </c>
      <c r="D145" s="52">
        <v>437.58</v>
      </c>
      <c r="E145" s="52">
        <v>604.89</v>
      </c>
      <c r="F145" s="52">
        <v>850.85</v>
      </c>
      <c r="G145" s="52">
        <v>940.94</v>
      </c>
      <c r="H145" s="53">
        <v>1076.79</v>
      </c>
    </row>
    <row r="146" spans="1:8" ht="12.75" customHeight="1">
      <c r="A146" s="23">
        <v>144</v>
      </c>
      <c r="B146" s="51">
        <v>266.39999999999998</v>
      </c>
      <c r="C146" s="51">
        <v>344.16</v>
      </c>
      <c r="D146" s="52">
        <v>440.64</v>
      </c>
      <c r="E146" s="52">
        <v>609.12</v>
      </c>
      <c r="F146" s="52">
        <v>856.8</v>
      </c>
      <c r="G146" s="52">
        <v>947.52</v>
      </c>
      <c r="H146" s="53">
        <v>1084.32</v>
      </c>
    </row>
    <row r="147" spans="1:8" ht="12.75" customHeight="1">
      <c r="A147" s="23">
        <v>145</v>
      </c>
      <c r="B147" s="54">
        <v>268.25</v>
      </c>
      <c r="C147" s="54">
        <v>346.55</v>
      </c>
      <c r="D147" s="55">
        <v>443.7</v>
      </c>
      <c r="E147" s="55">
        <v>613.35</v>
      </c>
      <c r="F147" s="55">
        <v>862.75</v>
      </c>
      <c r="G147" s="55">
        <v>954.1</v>
      </c>
      <c r="H147" s="56">
        <v>1091.8499999999999</v>
      </c>
    </row>
    <row r="148" spans="1:8" ht="12.75" customHeight="1">
      <c r="A148" s="9">
        <v>146</v>
      </c>
      <c r="B148" s="42">
        <v>270.10000000000002</v>
      </c>
      <c r="C148" s="42">
        <v>348.94</v>
      </c>
      <c r="D148" s="42">
        <v>446.76</v>
      </c>
      <c r="E148" s="42">
        <v>617.58000000000004</v>
      </c>
      <c r="F148" s="42">
        <v>868.7</v>
      </c>
      <c r="G148" s="42">
        <v>960.68</v>
      </c>
      <c r="H148" s="43">
        <v>1099.3800000000001</v>
      </c>
    </row>
    <row r="149" spans="1:8" ht="12.75" customHeight="1">
      <c r="A149" s="33">
        <v>147</v>
      </c>
      <c r="B149" s="44">
        <v>271.95</v>
      </c>
      <c r="C149" s="44">
        <v>351.33</v>
      </c>
      <c r="D149" s="44">
        <v>449.82</v>
      </c>
      <c r="E149" s="44">
        <v>621.80999999999995</v>
      </c>
      <c r="F149" s="44">
        <v>874.65</v>
      </c>
      <c r="G149" s="44">
        <v>967.26</v>
      </c>
      <c r="H149" s="45">
        <v>1106.9100000000001</v>
      </c>
    </row>
    <row r="150" spans="1:8" ht="12.75" customHeight="1">
      <c r="A150" s="33">
        <v>148</v>
      </c>
      <c r="B150" s="44">
        <v>273.8</v>
      </c>
      <c r="C150" s="44">
        <v>353.72</v>
      </c>
      <c r="D150" s="44">
        <v>452.88</v>
      </c>
      <c r="E150" s="44">
        <v>626.04</v>
      </c>
      <c r="F150" s="44">
        <v>880.6</v>
      </c>
      <c r="G150" s="44">
        <v>973.84</v>
      </c>
      <c r="H150" s="45">
        <v>1114.44</v>
      </c>
    </row>
    <row r="151" spans="1:8" ht="12.75" customHeight="1">
      <c r="A151" s="33">
        <v>149</v>
      </c>
      <c r="B151" s="44">
        <v>275.64999999999998</v>
      </c>
      <c r="C151" s="44">
        <v>356.11</v>
      </c>
      <c r="D151" s="44">
        <v>455.94</v>
      </c>
      <c r="E151" s="44">
        <v>630.27</v>
      </c>
      <c r="F151" s="44">
        <v>886.55</v>
      </c>
      <c r="G151" s="44">
        <v>980.42</v>
      </c>
      <c r="H151" s="45">
        <v>1121.97</v>
      </c>
    </row>
    <row r="152" spans="1:8" ht="12.75" customHeight="1">
      <c r="A152" s="16">
        <v>150</v>
      </c>
      <c r="B152" s="46">
        <v>277.5</v>
      </c>
      <c r="C152" s="46">
        <v>358.5</v>
      </c>
      <c r="D152" s="46">
        <v>459</v>
      </c>
      <c r="E152" s="46">
        <v>634.5</v>
      </c>
      <c r="F152" s="46">
        <v>892.5</v>
      </c>
      <c r="G152" s="46">
        <v>987</v>
      </c>
      <c r="H152" s="47">
        <v>1129.5</v>
      </c>
    </row>
    <row r="153" spans="1:8" ht="12.75" customHeight="1">
      <c r="A153" s="36" t="s">
        <v>13</v>
      </c>
      <c r="B153" s="44">
        <v>1.85</v>
      </c>
      <c r="C153" s="44">
        <v>2.39</v>
      </c>
      <c r="D153" s="44">
        <v>3.06</v>
      </c>
      <c r="E153" s="44">
        <v>4.2300000000000004</v>
      </c>
      <c r="F153" s="44">
        <v>5.95</v>
      </c>
      <c r="G153" s="44">
        <v>6.58</v>
      </c>
      <c r="H153" s="44">
        <v>7.53</v>
      </c>
    </row>
    <row r="154" spans="1:8" ht="12.75" customHeight="1"/>
    <row r="155" spans="1:8" ht="12.75" customHeight="1"/>
    <row r="156" spans="1:8" ht="12.75" customHeight="1"/>
    <row r="157" spans="1:8" ht="12.75" customHeight="1"/>
    <row r="158" spans="1:8" ht="12.75" customHeight="1"/>
    <row r="159" spans="1:8" ht="12.75" customHeight="1"/>
    <row r="160" spans="1:8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0.51" bottom="0.56999999999999995" header="0" footer="0"/>
  <pageSetup scale="9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00"/>
  </sheetPr>
  <dimension ref="A1:Z10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5703125" defaultRowHeight="15" customHeight="1"/>
  <cols>
    <col min="1" max="1" width="12.140625" customWidth="1"/>
    <col min="2" max="12" width="8.28515625" customWidth="1"/>
    <col min="13" max="13" width="3.42578125" customWidth="1"/>
    <col min="14" max="26" width="8.28515625" customWidth="1"/>
  </cols>
  <sheetData>
    <row r="1" spans="1:26" ht="12.75" customHeight="1">
      <c r="A1" s="63"/>
      <c r="B1" s="62" t="s">
        <v>0</v>
      </c>
      <c r="C1" s="62" t="s">
        <v>0</v>
      </c>
      <c r="D1" s="62" t="s">
        <v>0</v>
      </c>
      <c r="E1" s="62" t="s">
        <v>0</v>
      </c>
      <c r="F1" s="62" t="s">
        <v>0</v>
      </c>
      <c r="G1" s="62" t="s">
        <v>0</v>
      </c>
      <c r="H1" s="62" t="s">
        <v>0</v>
      </c>
      <c r="I1" s="62" t="s">
        <v>14</v>
      </c>
      <c r="J1" s="62" t="s">
        <v>15</v>
      </c>
      <c r="K1" s="62" t="s">
        <v>16</v>
      </c>
      <c r="L1" s="62" t="s">
        <v>16</v>
      </c>
      <c r="N1" s="64"/>
    </row>
    <row r="2" spans="1:26" ht="12.75" customHeight="1">
      <c r="A2" s="1" t="s">
        <v>5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17</v>
      </c>
      <c r="K2" s="3">
        <v>51</v>
      </c>
      <c r="L2" s="3">
        <v>54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65">
        <v>11.99</v>
      </c>
      <c r="C3" s="65">
        <v>12.21</v>
      </c>
      <c r="D3" s="65">
        <v>13.26</v>
      </c>
      <c r="E3" s="65">
        <v>14</v>
      </c>
      <c r="F3" s="65">
        <v>14.47</v>
      </c>
      <c r="G3" s="65">
        <v>14.75</v>
      </c>
      <c r="H3" s="65">
        <v>15.01</v>
      </c>
      <c r="I3" s="66">
        <v>43.41</v>
      </c>
      <c r="J3" s="66">
        <v>43.41</v>
      </c>
      <c r="K3" s="66">
        <v>28.54</v>
      </c>
      <c r="L3" s="66">
        <v>45.36</v>
      </c>
      <c r="M3" s="4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9">
        <v>2</v>
      </c>
      <c r="B4" s="42">
        <v>12.78</v>
      </c>
      <c r="C4" s="42">
        <v>14.09</v>
      </c>
      <c r="D4" s="42">
        <v>15.33</v>
      </c>
      <c r="E4" s="42">
        <v>15.66</v>
      </c>
      <c r="F4" s="42">
        <v>16.34</v>
      </c>
      <c r="G4" s="42">
        <v>17.079999999999998</v>
      </c>
      <c r="H4" s="42">
        <v>17.37</v>
      </c>
      <c r="I4" s="67">
        <v>48.28</v>
      </c>
      <c r="J4" s="67">
        <v>48.28</v>
      </c>
      <c r="K4" s="67">
        <v>30.86</v>
      </c>
      <c r="L4" s="67">
        <v>47.71</v>
      </c>
      <c r="M4" s="4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3">
        <v>3</v>
      </c>
      <c r="B5" s="44">
        <v>13.3</v>
      </c>
      <c r="C5" s="44">
        <v>14.84</v>
      </c>
      <c r="D5" s="44">
        <v>15.99</v>
      </c>
      <c r="E5" s="44">
        <v>16.809999999999999</v>
      </c>
      <c r="F5" s="44">
        <v>17.489999999999998</v>
      </c>
      <c r="G5" s="44">
        <v>18.21</v>
      </c>
      <c r="H5" s="44">
        <v>19.11</v>
      </c>
      <c r="I5" s="68">
        <v>52.47</v>
      </c>
      <c r="J5" s="68">
        <v>52.47</v>
      </c>
      <c r="K5" s="68">
        <v>31.81</v>
      </c>
      <c r="L5" s="68">
        <v>50.03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3">
        <v>4</v>
      </c>
      <c r="B6" s="44">
        <v>13.69</v>
      </c>
      <c r="C6" s="44">
        <v>14.93</v>
      </c>
      <c r="D6" s="44">
        <v>16.649999999999999</v>
      </c>
      <c r="E6" s="44">
        <v>17.73</v>
      </c>
      <c r="F6" s="44">
        <v>18.22</v>
      </c>
      <c r="G6" s="44">
        <v>19.559999999999999</v>
      </c>
      <c r="H6" s="44">
        <v>20.48</v>
      </c>
      <c r="I6" s="68">
        <v>57.61</v>
      </c>
      <c r="J6" s="68">
        <v>57.61</v>
      </c>
      <c r="K6" s="68">
        <v>34.090000000000003</v>
      </c>
      <c r="L6" s="68">
        <v>52.72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6">
        <v>5</v>
      </c>
      <c r="B7" s="46">
        <v>14.06</v>
      </c>
      <c r="C7" s="46">
        <v>15.62</v>
      </c>
      <c r="D7" s="46">
        <v>17.059999999999999</v>
      </c>
      <c r="E7" s="46">
        <v>18.53</v>
      </c>
      <c r="F7" s="46">
        <v>19.260000000000002</v>
      </c>
      <c r="G7" s="46">
        <v>20.47</v>
      </c>
      <c r="H7" s="46">
        <v>21.69</v>
      </c>
      <c r="I7" s="69">
        <v>62.45</v>
      </c>
      <c r="J7" s="69">
        <v>62.45</v>
      </c>
      <c r="K7" s="69">
        <v>36.15</v>
      </c>
      <c r="L7" s="69">
        <v>53.35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9">
        <v>6</v>
      </c>
      <c r="B8" s="48">
        <v>14.17</v>
      </c>
      <c r="C8" s="48">
        <v>15.67</v>
      </c>
      <c r="D8" s="49">
        <v>17.23</v>
      </c>
      <c r="E8" s="49">
        <v>18.600000000000001</v>
      </c>
      <c r="F8" s="49">
        <v>19.29</v>
      </c>
      <c r="G8" s="49">
        <v>20.48</v>
      </c>
      <c r="H8" s="49">
        <v>21.7</v>
      </c>
      <c r="I8" s="70">
        <v>67.39</v>
      </c>
      <c r="J8" s="70">
        <v>67.39</v>
      </c>
      <c r="K8" s="71">
        <v>38</v>
      </c>
      <c r="L8" s="71">
        <v>56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23">
        <v>7</v>
      </c>
      <c r="B9" s="51">
        <v>14.97</v>
      </c>
      <c r="C9" s="51">
        <v>16.03</v>
      </c>
      <c r="D9" s="52">
        <v>17.68</v>
      </c>
      <c r="E9" s="52">
        <v>19.190000000000001</v>
      </c>
      <c r="F9" s="52">
        <v>19.63</v>
      </c>
      <c r="G9" s="52">
        <v>21.03</v>
      </c>
      <c r="H9" s="52">
        <v>22.51</v>
      </c>
      <c r="I9" s="72">
        <v>71.95</v>
      </c>
      <c r="J9" s="72">
        <v>71.95</v>
      </c>
      <c r="K9" s="73">
        <v>39.72</v>
      </c>
      <c r="L9" s="73">
        <v>56.89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9">
        <v>8</v>
      </c>
      <c r="B10" s="51">
        <v>15.4</v>
      </c>
      <c r="C10" s="51">
        <v>16.61</v>
      </c>
      <c r="D10" s="52">
        <v>18.29</v>
      </c>
      <c r="E10" s="52">
        <v>19.739999999999998</v>
      </c>
      <c r="F10" s="52">
        <v>20.420000000000002</v>
      </c>
      <c r="G10" s="52">
        <v>21.88</v>
      </c>
      <c r="H10" s="52">
        <v>23.5</v>
      </c>
      <c r="I10" s="72">
        <v>74.77</v>
      </c>
      <c r="J10" s="72">
        <v>74.77</v>
      </c>
      <c r="K10" s="73">
        <v>41.56</v>
      </c>
      <c r="L10" s="73">
        <v>58.92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9">
        <v>9</v>
      </c>
      <c r="B11" s="51">
        <v>15.64</v>
      </c>
      <c r="C11" s="51">
        <v>16.84</v>
      </c>
      <c r="D11" s="52">
        <v>18.38</v>
      </c>
      <c r="E11" s="52">
        <v>19.91</v>
      </c>
      <c r="F11" s="52">
        <v>20.86</v>
      </c>
      <c r="G11" s="52">
        <v>22.79</v>
      </c>
      <c r="H11" s="52">
        <v>24.75</v>
      </c>
      <c r="I11" s="72">
        <v>80.03</v>
      </c>
      <c r="J11" s="72">
        <v>80.03</v>
      </c>
      <c r="K11" s="73">
        <v>43.27</v>
      </c>
      <c r="L11" s="73">
        <v>59.71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27">
        <v>10</v>
      </c>
      <c r="B12" s="54">
        <v>15.85</v>
      </c>
      <c r="C12" s="54">
        <v>17.02</v>
      </c>
      <c r="D12" s="55">
        <v>18.559999999999999</v>
      </c>
      <c r="E12" s="55">
        <v>20.46</v>
      </c>
      <c r="F12" s="55">
        <v>21.1</v>
      </c>
      <c r="G12" s="55">
        <v>23.87</v>
      </c>
      <c r="H12" s="55">
        <v>26.38</v>
      </c>
      <c r="I12" s="74">
        <v>85.04</v>
      </c>
      <c r="J12" s="74">
        <v>85.04</v>
      </c>
      <c r="K12" s="75">
        <v>45.07</v>
      </c>
      <c r="L12" s="75">
        <v>61.63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3">
        <v>11</v>
      </c>
      <c r="B13" s="42">
        <v>16.920000000000002</v>
      </c>
      <c r="C13" s="42">
        <v>17.600000000000001</v>
      </c>
      <c r="D13" s="42">
        <v>19.350000000000001</v>
      </c>
      <c r="E13" s="42">
        <v>20.99</v>
      </c>
      <c r="F13" s="42">
        <v>22.27</v>
      </c>
      <c r="G13" s="42">
        <v>26.31</v>
      </c>
      <c r="H13" s="42">
        <v>28.58</v>
      </c>
      <c r="I13" s="67">
        <v>90.57</v>
      </c>
      <c r="J13" s="67">
        <v>90.57</v>
      </c>
      <c r="K13" s="67">
        <v>47.87</v>
      </c>
      <c r="L13" s="67">
        <v>66.58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3">
        <v>12</v>
      </c>
      <c r="B14" s="44">
        <v>17.2</v>
      </c>
      <c r="C14" s="44">
        <v>18.350000000000001</v>
      </c>
      <c r="D14" s="44">
        <v>19.54</v>
      </c>
      <c r="E14" s="44">
        <v>21.29</v>
      </c>
      <c r="F14" s="44">
        <v>23.05</v>
      </c>
      <c r="G14" s="44">
        <v>27.37</v>
      </c>
      <c r="H14" s="44">
        <v>29.92</v>
      </c>
      <c r="I14" s="68">
        <v>94.45</v>
      </c>
      <c r="J14" s="68">
        <v>94.45</v>
      </c>
      <c r="K14" s="68">
        <v>49.5</v>
      </c>
      <c r="L14" s="68">
        <v>68.41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3">
        <v>13</v>
      </c>
      <c r="B15" s="44">
        <v>17.21</v>
      </c>
      <c r="C15" s="44">
        <v>18.43</v>
      </c>
      <c r="D15" s="44">
        <v>19.77</v>
      </c>
      <c r="E15" s="44">
        <v>21.69</v>
      </c>
      <c r="F15" s="44">
        <v>23.76</v>
      </c>
      <c r="G15" s="44">
        <v>29.04</v>
      </c>
      <c r="H15" s="44">
        <v>31.27</v>
      </c>
      <c r="I15" s="68">
        <v>98.37</v>
      </c>
      <c r="J15" s="68">
        <v>98.37</v>
      </c>
      <c r="K15" s="68">
        <v>51.5</v>
      </c>
      <c r="L15" s="68">
        <v>70.62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3">
        <v>14</v>
      </c>
      <c r="B16" s="44">
        <v>17.920000000000002</v>
      </c>
      <c r="C16" s="44">
        <v>18.93</v>
      </c>
      <c r="D16" s="44">
        <v>19.97</v>
      </c>
      <c r="E16" s="44">
        <v>22.23</v>
      </c>
      <c r="F16" s="44">
        <v>25.16</v>
      </c>
      <c r="G16" s="44">
        <v>31.11</v>
      </c>
      <c r="H16" s="44">
        <v>34.01</v>
      </c>
      <c r="I16" s="68">
        <v>102.44</v>
      </c>
      <c r="J16" s="68">
        <v>102.44</v>
      </c>
      <c r="K16" s="68">
        <v>51.51</v>
      </c>
      <c r="L16" s="68">
        <v>70.650000000000006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3">
        <v>15</v>
      </c>
      <c r="B17" s="46">
        <v>17.93</v>
      </c>
      <c r="C17" s="46">
        <v>19.350000000000001</v>
      </c>
      <c r="D17" s="46">
        <v>20.25</v>
      </c>
      <c r="E17" s="46">
        <v>23.01</v>
      </c>
      <c r="F17" s="46">
        <v>26.54</v>
      </c>
      <c r="G17" s="46">
        <v>32.08</v>
      </c>
      <c r="H17" s="46">
        <v>35.4</v>
      </c>
      <c r="I17" s="69">
        <v>106.21</v>
      </c>
      <c r="J17" s="69">
        <v>106.21</v>
      </c>
      <c r="K17" s="69">
        <v>52.97</v>
      </c>
      <c r="L17" s="69">
        <v>71.95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31">
        <v>16</v>
      </c>
      <c r="B18" s="48">
        <v>18.39</v>
      </c>
      <c r="C18" s="48">
        <v>19.91</v>
      </c>
      <c r="D18" s="49">
        <v>20.62</v>
      </c>
      <c r="E18" s="49">
        <v>23.41</v>
      </c>
      <c r="F18" s="49">
        <v>27.39</v>
      </c>
      <c r="G18" s="49">
        <v>33.78</v>
      </c>
      <c r="H18" s="49">
        <v>37.159999999999997</v>
      </c>
      <c r="I18" s="70">
        <v>110.96</v>
      </c>
      <c r="J18" s="70">
        <v>110.96</v>
      </c>
      <c r="K18" s="71">
        <v>54.75</v>
      </c>
      <c r="L18" s="71">
        <v>74.430000000000007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9">
        <v>17</v>
      </c>
      <c r="B19" s="51">
        <v>18.52</v>
      </c>
      <c r="C19" s="51">
        <v>20.32</v>
      </c>
      <c r="D19" s="52">
        <v>20.84</v>
      </c>
      <c r="E19" s="52">
        <v>24.07</v>
      </c>
      <c r="F19" s="52">
        <v>28.56</v>
      </c>
      <c r="G19" s="52">
        <v>35.51</v>
      </c>
      <c r="H19" s="52">
        <v>37.17</v>
      </c>
      <c r="I19" s="72">
        <v>115.69</v>
      </c>
      <c r="J19" s="72">
        <v>115.69</v>
      </c>
      <c r="K19" s="73">
        <v>56.21</v>
      </c>
      <c r="L19" s="73">
        <v>76.52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9">
        <v>18</v>
      </c>
      <c r="B20" s="51">
        <v>18.71</v>
      </c>
      <c r="C20" s="51">
        <v>20.59</v>
      </c>
      <c r="D20" s="52">
        <v>21.07</v>
      </c>
      <c r="E20" s="52">
        <v>25.23</v>
      </c>
      <c r="F20" s="52">
        <v>30.05</v>
      </c>
      <c r="G20" s="52">
        <v>36.57</v>
      </c>
      <c r="H20" s="52">
        <v>40.08</v>
      </c>
      <c r="I20" s="72">
        <v>120.47</v>
      </c>
      <c r="J20" s="72">
        <v>120.47</v>
      </c>
      <c r="K20" s="73">
        <v>58.2</v>
      </c>
      <c r="L20" s="73">
        <v>78.81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9">
        <v>19</v>
      </c>
      <c r="B21" s="51">
        <v>19.22</v>
      </c>
      <c r="C21" s="51">
        <v>21.59</v>
      </c>
      <c r="D21" s="52">
        <v>22.21</v>
      </c>
      <c r="E21" s="52">
        <v>26.42</v>
      </c>
      <c r="F21" s="52">
        <v>30.94</v>
      </c>
      <c r="G21" s="52">
        <v>37.68</v>
      </c>
      <c r="H21" s="52">
        <v>42</v>
      </c>
      <c r="I21" s="72">
        <v>125.23</v>
      </c>
      <c r="J21" s="72">
        <v>125.23</v>
      </c>
      <c r="K21" s="73">
        <v>60.02</v>
      </c>
      <c r="L21" s="73">
        <v>81.11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9">
        <v>20</v>
      </c>
      <c r="B22" s="54">
        <v>19.36</v>
      </c>
      <c r="C22" s="54">
        <v>21.77</v>
      </c>
      <c r="D22" s="55">
        <v>22.32</v>
      </c>
      <c r="E22" s="55">
        <v>27.47</v>
      </c>
      <c r="F22" s="55">
        <v>31.99</v>
      </c>
      <c r="G22" s="55">
        <v>39.07</v>
      </c>
      <c r="H22" s="55">
        <v>43.52</v>
      </c>
      <c r="I22" s="74">
        <v>129.41999999999999</v>
      </c>
      <c r="J22" s="74">
        <v>129.41999999999999</v>
      </c>
      <c r="K22" s="75">
        <v>61.52</v>
      </c>
      <c r="L22" s="75">
        <v>83.3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32">
        <v>21</v>
      </c>
      <c r="B23" s="42">
        <v>19.88</v>
      </c>
      <c r="C23" s="42">
        <v>22.41</v>
      </c>
      <c r="D23" s="42">
        <v>23.29</v>
      </c>
      <c r="E23" s="42">
        <v>27.52</v>
      </c>
      <c r="F23" s="42">
        <v>32.99</v>
      </c>
      <c r="G23" s="42">
        <v>40.159999999999997</v>
      </c>
      <c r="H23" s="42">
        <v>44.86</v>
      </c>
      <c r="I23" s="67">
        <v>132.38</v>
      </c>
      <c r="J23" s="67">
        <v>132.38</v>
      </c>
      <c r="K23" s="67">
        <v>62.87</v>
      </c>
      <c r="L23" s="67">
        <v>85.43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3">
        <v>22</v>
      </c>
      <c r="B24" s="44">
        <v>19.93</v>
      </c>
      <c r="C24" s="44">
        <v>22.63</v>
      </c>
      <c r="D24" s="44">
        <v>23.92</v>
      </c>
      <c r="E24" s="44">
        <v>28.28</v>
      </c>
      <c r="F24" s="44">
        <v>34.340000000000003</v>
      </c>
      <c r="G24" s="44">
        <v>41.25</v>
      </c>
      <c r="H24" s="44">
        <v>46.39</v>
      </c>
      <c r="I24" s="68">
        <v>136.52000000000001</v>
      </c>
      <c r="J24" s="68">
        <v>136.52000000000001</v>
      </c>
      <c r="K24" s="68">
        <v>64.78</v>
      </c>
      <c r="L24" s="68">
        <v>87.91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3">
        <v>23</v>
      </c>
      <c r="B25" s="44">
        <v>20.2</v>
      </c>
      <c r="C25" s="44">
        <v>23.07</v>
      </c>
      <c r="D25" s="44">
        <v>24.68</v>
      </c>
      <c r="E25" s="44">
        <v>29.09</v>
      </c>
      <c r="F25" s="44">
        <v>35.630000000000003</v>
      </c>
      <c r="G25" s="44">
        <v>42.65</v>
      </c>
      <c r="H25" s="44">
        <v>48.68</v>
      </c>
      <c r="I25" s="68">
        <v>140.63999999999999</v>
      </c>
      <c r="J25" s="68">
        <v>140.63999999999999</v>
      </c>
      <c r="K25" s="68">
        <v>66.38</v>
      </c>
      <c r="L25" s="68">
        <v>90.1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3">
        <v>24</v>
      </c>
      <c r="B26" s="44">
        <v>20.75</v>
      </c>
      <c r="C26" s="44">
        <v>24</v>
      </c>
      <c r="D26" s="44">
        <v>25.71</v>
      </c>
      <c r="E26" s="44">
        <v>30.64</v>
      </c>
      <c r="F26" s="44">
        <v>37.33</v>
      </c>
      <c r="G26" s="44">
        <v>44.08</v>
      </c>
      <c r="H26" s="44">
        <v>51.47</v>
      </c>
      <c r="I26" s="68">
        <v>145.26</v>
      </c>
      <c r="J26" s="68">
        <v>145.26</v>
      </c>
      <c r="K26" s="68">
        <v>68.08</v>
      </c>
      <c r="L26" s="68">
        <v>92.29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6">
        <v>25</v>
      </c>
      <c r="B27" s="46">
        <v>20.82</v>
      </c>
      <c r="C27" s="46">
        <v>24.09</v>
      </c>
      <c r="D27" s="46">
        <v>25.83</v>
      </c>
      <c r="E27" s="46">
        <v>31.23</v>
      </c>
      <c r="F27" s="46">
        <v>38.409999999999997</v>
      </c>
      <c r="G27" s="46">
        <v>46.51</v>
      </c>
      <c r="H27" s="46">
        <v>53.05</v>
      </c>
      <c r="I27" s="69">
        <v>149.75</v>
      </c>
      <c r="J27" s="69">
        <v>149.75</v>
      </c>
      <c r="K27" s="69">
        <v>69.41</v>
      </c>
      <c r="L27" s="69">
        <v>94.51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9">
        <v>26</v>
      </c>
      <c r="B28" s="48">
        <v>21.62</v>
      </c>
      <c r="C28" s="48">
        <v>24.91</v>
      </c>
      <c r="D28" s="49">
        <v>26.91</v>
      </c>
      <c r="E28" s="49">
        <v>32.5</v>
      </c>
      <c r="F28" s="49">
        <v>39.81</v>
      </c>
      <c r="G28" s="49">
        <v>48.41</v>
      </c>
      <c r="H28" s="49">
        <v>55.25</v>
      </c>
      <c r="I28" s="70">
        <v>154.49</v>
      </c>
      <c r="J28" s="70">
        <v>154.49</v>
      </c>
      <c r="K28" s="71">
        <v>71.05</v>
      </c>
      <c r="L28" s="71">
        <v>97.11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23">
        <v>27</v>
      </c>
      <c r="B29" s="51">
        <v>22.22</v>
      </c>
      <c r="C29" s="51">
        <v>25.51</v>
      </c>
      <c r="D29" s="52">
        <v>27.45</v>
      </c>
      <c r="E29" s="52">
        <v>32.729999999999997</v>
      </c>
      <c r="F29" s="52">
        <v>41.42</v>
      </c>
      <c r="G29" s="52">
        <v>49.31</v>
      </c>
      <c r="H29" s="52">
        <v>55.65</v>
      </c>
      <c r="I29" s="72">
        <v>158.78</v>
      </c>
      <c r="J29" s="72">
        <v>158.78</v>
      </c>
      <c r="K29" s="73">
        <v>73.040000000000006</v>
      </c>
      <c r="L29" s="73">
        <v>99.49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23">
        <v>28</v>
      </c>
      <c r="B30" s="51">
        <v>22.74</v>
      </c>
      <c r="C30" s="51">
        <v>26.12</v>
      </c>
      <c r="D30" s="52">
        <v>28.72</v>
      </c>
      <c r="E30" s="52">
        <v>34.65</v>
      </c>
      <c r="F30" s="52">
        <v>43.44</v>
      </c>
      <c r="G30" s="52">
        <v>51.51</v>
      </c>
      <c r="H30" s="52">
        <v>58.32</v>
      </c>
      <c r="I30" s="72">
        <v>163.05000000000001</v>
      </c>
      <c r="J30" s="72">
        <v>163.05000000000001</v>
      </c>
      <c r="K30" s="73">
        <v>74.8</v>
      </c>
      <c r="L30" s="73">
        <v>101.95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23">
        <v>29</v>
      </c>
      <c r="B31" s="51">
        <v>22.79</v>
      </c>
      <c r="C31" s="51">
        <v>26.62</v>
      </c>
      <c r="D31" s="52">
        <v>28.98</v>
      </c>
      <c r="E31" s="52">
        <v>34.92</v>
      </c>
      <c r="F31" s="52">
        <v>44.68</v>
      </c>
      <c r="G31" s="52">
        <v>52.69</v>
      </c>
      <c r="H31" s="52">
        <v>59.88</v>
      </c>
      <c r="I31" s="72">
        <v>167.06</v>
      </c>
      <c r="J31" s="72">
        <v>167.06</v>
      </c>
      <c r="K31" s="73">
        <v>76.53</v>
      </c>
      <c r="L31" s="73">
        <v>104.31</v>
      </c>
    </row>
    <row r="32" spans="1:26" ht="12.75" customHeight="1">
      <c r="A32" s="23">
        <v>30</v>
      </c>
      <c r="B32" s="54">
        <v>23.02</v>
      </c>
      <c r="C32" s="54">
        <v>27.25</v>
      </c>
      <c r="D32" s="55">
        <v>30.08</v>
      </c>
      <c r="E32" s="55">
        <v>36.03</v>
      </c>
      <c r="F32" s="55">
        <v>45.4</v>
      </c>
      <c r="G32" s="55">
        <v>52.96</v>
      </c>
      <c r="H32" s="55">
        <v>61.78</v>
      </c>
      <c r="I32" s="74">
        <v>171.06</v>
      </c>
      <c r="J32" s="74">
        <v>171.06</v>
      </c>
      <c r="K32" s="75">
        <v>78.27</v>
      </c>
      <c r="L32" s="75">
        <v>106.72</v>
      </c>
    </row>
    <row r="33" spans="1:26" ht="12.75" customHeight="1">
      <c r="A33" s="9">
        <v>31</v>
      </c>
      <c r="B33" s="42">
        <v>24.01</v>
      </c>
      <c r="C33" s="42">
        <v>27.86</v>
      </c>
      <c r="D33" s="42">
        <v>30.69</v>
      </c>
      <c r="E33" s="42">
        <v>36.49</v>
      </c>
      <c r="F33" s="42">
        <v>46.28</v>
      </c>
      <c r="G33" s="42">
        <v>54.4</v>
      </c>
      <c r="H33" s="42">
        <v>63.76</v>
      </c>
      <c r="I33" s="67">
        <v>171.07</v>
      </c>
      <c r="J33" s="67">
        <v>171.07</v>
      </c>
      <c r="K33" s="67">
        <v>79.73</v>
      </c>
      <c r="L33" s="67">
        <v>109.27</v>
      </c>
    </row>
    <row r="34" spans="1:26" ht="12.75" customHeight="1">
      <c r="A34" s="33">
        <v>32</v>
      </c>
      <c r="B34" s="44">
        <v>24.02</v>
      </c>
      <c r="C34" s="44">
        <v>27.87</v>
      </c>
      <c r="D34" s="44">
        <v>30.7</v>
      </c>
      <c r="E34" s="44">
        <v>36.5</v>
      </c>
      <c r="F34" s="44">
        <v>46.29</v>
      </c>
      <c r="G34" s="44">
        <v>54.41</v>
      </c>
      <c r="H34" s="44">
        <v>64.459999999999994</v>
      </c>
      <c r="I34" s="68">
        <v>171.66</v>
      </c>
      <c r="J34" s="68">
        <v>171.66</v>
      </c>
      <c r="K34" s="68">
        <v>81.45</v>
      </c>
      <c r="L34" s="68">
        <v>111.7</v>
      </c>
    </row>
    <row r="35" spans="1:26" ht="12.75" customHeight="1">
      <c r="A35" s="33">
        <v>33</v>
      </c>
      <c r="B35" s="44">
        <v>24.16</v>
      </c>
      <c r="C35" s="44">
        <v>28.28</v>
      </c>
      <c r="D35" s="44">
        <v>32.08</v>
      </c>
      <c r="E35" s="44">
        <v>38.21</v>
      </c>
      <c r="F35" s="44">
        <v>49.21</v>
      </c>
      <c r="G35" s="44">
        <v>56.21</v>
      </c>
      <c r="H35" s="44">
        <v>66.2</v>
      </c>
      <c r="I35" s="68">
        <v>175.25</v>
      </c>
      <c r="J35" s="68">
        <v>175.25</v>
      </c>
      <c r="K35" s="68">
        <v>83.48</v>
      </c>
      <c r="L35" s="68">
        <v>114.11</v>
      </c>
    </row>
    <row r="36" spans="1:26" ht="12.75" customHeight="1">
      <c r="A36" s="33">
        <v>34</v>
      </c>
      <c r="B36" s="44">
        <v>24.3</v>
      </c>
      <c r="C36" s="44">
        <v>28.92</v>
      </c>
      <c r="D36" s="44">
        <v>33.1</v>
      </c>
      <c r="E36" s="44">
        <v>39.549999999999997</v>
      </c>
      <c r="F36" s="44">
        <v>49.22</v>
      </c>
      <c r="G36" s="44">
        <v>57.89</v>
      </c>
      <c r="H36" s="44">
        <v>69.37</v>
      </c>
      <c r="I36" s="68">
        <v>179.19</v>
      </c>
      <c r="J36" s="68">
        <v>179.19</v>
      </c>
      <c r="K36" s="68">
        <v>85.06</v>
      </c>
      <c r="L36" s="68">
        <v>116.48</v>
      </c>
    </row>
    <row r="37" spans="1:26" ht="12.75" customHeight="1">
      <c r="A37" s="16">
        <v>35</v>
      </c>
      <c r="B37" s="46">
        <v>24.76</v>
      </c>
      <c r="C37" s="46">
        <v>30.45</v>
      </c>
      <c r="D37" s="46">
        <v>34.19</v>
      </c>
      <c r="E37" s="46">
        <v>40.5</v>
      </c>
      <c r="F37" s="46">
        <v>50.06</v>
      </c>
      <c r="G37" s="46">
        <v>59.38</v>
      </c>
      <c r="H37" s="46">
        <v>69.87</v>
      </c>
      <c r="I37" s="69">
        <v>183.63</v>
      </c>
      <c r="J37" s="69">
        <v>183.63</v>
      </c>
      <c r="K37" s="69">
        <v>86.69</v>
      </c>
      <c r="L37" s="69">
        <v>118.03</v>
      </c>
    </row>
    <row r="38" spans="1:26" ht="12.75" customHeight="1">
      <c r="A38" s="5">
        <v>36</v>
      </c>
      <c r="B38" s="57">
        <v>25.12</v>
      </c>
      <c r="C38" s="57">
        <v>30.46</v>
      </c>
      <c r="D38" s="57">
        <v>34.46</v>
      </c>
      <c r="E38" s="57">
        <v>41.5</v>
      </c>
      <c r="F38" s="57">
        <v>52.16</v>
      </c>
      <c r="G38" s="57">
        <v>61.4</v>
      </c>
      <c r="H38" s="57">
        <v>72.61</v>
      </c>
      <c r="I38" s="57">
        <v>187.55</v>
      </c>
      <c r="J38" s="57">
        <v>187.55</v>
      </c>
      <c r="K38" s="57">
        <v>88.28</v>
      </c>
      <c r="L38" s="57">
        <v>120.77</v>
      </c>
    </row>
    <row r="39" spans="1:26" ht="12.75" customHeight="1">
      <c r="A39" s="9">
        <v>37</v>
      </c>
      <c r="B39" s="42">
        <v>25.5</v>
      </c>
      <c r="C39" s="42">
        <v>30.87</v>
      </c>
      <c r="D39" s="42">
        <v>34.82</v>
      </c>
      <c r="E39" s="42">
        <v>42.42</v>
      </c>
      <c r="F39" s="42">
        <v>52.39</v>
      </c>
      <c r="G39" s="42">
        <v>63.39</v>
      </c>
      <c r="H39" s="42">
        <v>73.319999999999993</v>
      </c>
      <c r="I39" s="10">
        <v>191.85</v>
      </c>
      <c r="J39" s="10">
        <v>191.85</v>
      </c>
      <c r="K39" s="10">
        <v>90.27</v>
      </c>
      <c r="L39" s="10">
        <v>123.23</v>
      </c>
    </row>
    <row r="40" spans="1:26" ht="12.75" customHeight="1">
      <c r="A40" s="13">
        <v>38</v>
      </c>
      <c r="B40" s="44">
        <v>25.9</v>
      </c>
      <c r="C40" s="44">
        <v>31.34</v>
      </c>
      <c r="D40" s="44">
        <v>35.93</v>
      </c>
      <c r="E40" s="44">
        <v>43.44</v>
      </c>
      <c r="F40" s="44">
        <v>53.57</v>
      </c>
      <c r="G40" s="44">
        <v>63.63</v>
      </c>
      <c r="H40" s="44">
        <v>74.69</v>
      </c>
      <c r="I40" s="14">
        <v>196.43</v>
      </c>
      <c r="J40" s="14">
        <v>196.43</v>
      </c>
      <c r="K40" s="14">
        <v>91.91</v>
      </c>
      <c r="L40" s="14">
        <v>125.34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>
      <c r="A41" s="13">
        <v>39</v>
      </c>
      <c r="B41" s="44">
        <v>26.77</v>
      </c>
      <c r="C41" s="44">
        <v>32.56</v>
      </c>
      <c r="D41" s="44">
        <v>37.47</v>
      </c>
      <c r="E41" s="44">
        <v>44.78</v>
      </c>
      <c r="F41" s="44">
        <v>56.01</v>
      </c>
      <c r="G41" s="44">
        <v>66.14</v>
      </c>
      <c r="H41" s="44">
        <v>76.22</v>
      </c>
      <c r="I41" s="14">
        <v>200.67</v>
      </c>
      <c r="J41" s="14">
        <v>200.67</v>
      </c>
      <c r="K41" s="14">
        <v>94.01</v>
      </c>
      <c r="L41" s="14">
        <v>127.36</v>
      </c>
    </row>
    <row r="42" spans="1:26" ht="12.75" customHeight="1">
      <c r="A42" s="16">
        <v>40</v>
      </c>
      <c r="B42" s="46">
        <v>26.79</v>
      </c>
      <c r="C42" s="46">
        <v>32.69</v>
      </c>
      <c r="D42" s="46">
        <v>37.479999999999997</v>
      </c>
      <c r="E42" s="46">
        <v>44.8</v>
      </c>
      <c r="F42" s="46">
        <v>56.08</v>
      </c>
      <c r="G42" s="46">
        <v>66.150000000000006</v>
      </c>
      <c r="H42" s="46">
        <v>76.239999999999995</v>
      </c>
      <c r="I42" s="17">
        <v>204.96</v>
      </c>
      <c r="J42" s="17">
        <v>204.96</v>
      </c>
      <c r="K42" s="17">
        <v>95.59</v>
      </c>
      <c r="L42" s="17">
        <v>129.80000000000001</v>
      </c>
    </row>
    <row r="43" spans="1:26" ht="12.75" customHeight="1">
      <c r="A43" s="19">
        <v>41</v>
      </c>
      <c r="B43" s="48">
        <v>27.39</v>
      </c>
      <c r="C43" s="48">
        <v>34.1</v>
      </c>
      <c r="D43" s="49">
        <v>38.57</v>
      </c>
      <c r="E43" s="49">
        <v>46.39</v>
      </c>
      <c r="F43" s="49">
        <v>58.42</v>
      </c>
      <c r="G43" s="49">
        <v>68.19</v>
      </c>
      <c r="H43" s="49">
        <v>79.12</v>
      </c>
      <c r="I43" s="20">
        <v>208.5</v>
      </c>
      <c r="J43" s="20">
        <v>208.5</v>
      </c>
      <c r="K43" s="21">
        <v>97.24</v>
      </c>
      <c r="L43" s="21">
        <v>132</v>
      </c>
    </row>
    <row r="44" spans="1:26" ht="12.75" customHeight="1">
      <c r="A44" s="23">
        <v>42</v>
      </c>
      <c r="B44" s="51">
        <v>27.4</v>
      </c>
      <c r="C44" s="51">
        <v>34.22</v>
      </c>
      <c r="D44" s="52">
        <v>40.07</v>
      </c>
      <c r="E44" s="52">
        <v>46.54</v>
      </c>
      <c r="F44" s="52">
        <v>58.68</v>
      </c>
      <c r="G44" s="52">
        <v>69.349999999999994</v>
      </c>
      <c r="H44" s="52">
        <v>79.52</v>
      </c>
      <c r="I44" s="24">
        <v>212.44</v>
      </c>
      <c r="J44" s="24">
        <v>212.44</v>
      </c>
      <c r="K44" s="25">
        <v>98.78</v>
      </c>
      <c r="L44" s="25">
        <v>133.96</v>
      </c>
    </row>
    <row r="45" spans="1:26" ht="12.75" customHeight="1">
      <c r="A45" s="19">
        <v>43</v>
      </c>
      <c r="B45" s="51">
        <v>27.93</v>
      </c>
      <c r="C45" s="51">
        <v>34.71</v>
      </c>
      <c r="D45" s="52">
        <v>40.130000000000003</v>
      </c>
      <c r="E45" s="52">
        <v>48.91</v>
      </c>
      <c r="F45" s="52">
        <v>61.87</v>
      </c>
      <c r="G45" s="52">
        <v>71.87</v>
      </c>
      <c r="H45" s="52">
        <v>81.680000000000007</v>
      </c>
      <c r="I45" s="24">
        <v>216.77</v>
      </c>
      <c r="J45" s="24">
        <v>216.77</v>
      </c>
      <c r="K45" s="25">
        <v>100.62</v>
      </c>
      <c r="L45" s="25">
        <v>136.24</v>
      </c>
    </row>
    <row r="46" spans="1:26" ht="12.75" customHeight="1">
      <c r="A46" s="19">
        <v>44</v>
      </c>
      <c r="B46" s="51">
        <v>28.3</v>
      </c>
      <c r="C46" s="51">
        <v>35.229999999999997</v>
      </c>
      <c r="D46" s="52">
        <v>41.17</v>
      </c>
      <c r="E46" s="52">
        <v>49.79</v>
      </c>
      <c r="F46" s="52">
        <v>62.22</v>
      </c>
      <c r="G46" s="52">
        <v>74.099999999999994</v>
      </c>
      <c r="H46" s="52">
        <v>82.53</v>
      </c>
      <c r="I46" s="24">
        <v>219.88</v>
      </c>
      <c r="J46" s="24">
        <v>219.88</v>
      </c>
      <c r="K46" s="25">
        <v>101.91</v>
      </c>
      <c r="L46" s="25">
        <v>137.97999999999999</v>
      </c>
    </row>
    <row r="47" spans="1:26" ht="12.75" customHeight="1">
      <c r="A47" s="27">
        <v>45</v>
      </c>
      <c r="B47" s="54">
        <v>28.36</v>
      </c>
      <c r="C47" s="54">
        <v>35.24</v>
      </c>
      <c r="D47" s="55">
        <v>41.18</v>
      </c>
      <c r="E47" s="55">
        <v>49.8</v>
      </c>
      <c r="F47" s="55">
        <v>62.25</v>
      </c>
      <c r="G47" s="55">
        <v>75.540000000000006</v>
      </c>
      <c r="H47" s="55">
        <v>83.11</v>
      </c>
      <c r="I47" s="28">
        <v>224.11</v>
      </c>
      <c r="J47" s="28">
        <v>224.11</v>
      </c>
      <c r="K47" s="29">
        <v>103.82</v>
      </c>
      <c r="L47" s="29">
        <v>140.56</v>
      </c>
    </row>
    <row r="48" spans="1:26" ht="12.75" customHeight="1">
      <c r="A48" s="13">
        <v>46</v>
      </c>
      <c r="B48" s="42">
        <v>29.09</v>
      </c>
      <c r="C48" s="42">
        <v>35.61</v>
      </c>
      <c r="D48" s="42">
        <v>42.48</v>
      </c>
      <c r="E48" s="42">
        <v>50.75</v>
      </c>
      <c r="F48" s="42">
        <v>63.89</v>
      </c>
      <c r="G48" s="42">
        <v>76.36</v>
      </c>
      <c r="H48" s="42">
        <v>85.32</v>
      </c>
      <c r="I48" s="10">
        <v>228.42</v>
      </c>
      <c r="J48" s="10">
        <v>228.42</v>
      </c>
      <c r="K48" s="10">
        <v>105.51</v>
      </c>
      <c r="L48" s="10">
        <v>142.55000000000001</v>
      </c>
    </row>
    <row r="49" spans="1:12" ht="12.75" customHeight="1">
      <c r="A49" s="13">
        <v>47</v>
      </c>
      <c r="B49" s="44">
        <v>29.1</v>
      </c>
      <c r="C49" s="44">
        <v>36.409999999999997</v>
      </c>
      <c r="D49" s="44">
        <v>43.17</v>
      </c>
      <c r="E49" s="44">
        <v>51.1</v>
      </c>
      <c r="F49" s="44">
        <v>64.760000000000005</v>
      </c>
      <c r="G49" s="44">
        <v>77.84</v>
      </c>
      <c r="H49" s="44">
        <v>86.7</v>
      </c>
      <c r="I49" s="14">
        <v>232.8</v>
      </c>
      <c r="J49" s="14">
        <v>232.8</v>
      </c>
      <c r="K49" s="14">
        <v>107.14</v>
      </c>
      <c r="L49" s="14">
        <v>144.78</v>
      </c>
    </row>
    <row r="50" spans="1:12" ht="12.75" customHeight="1">
      <c r="A50" s="13">
        <v>48</v>
      </c>
      <c r="B50" s="44">
        <v>29.12</v>
      </c>
      <c r="C50" s="44">
        <v>36.42</v>
      </c>
      <c r="D50" s="44">
        <v>43.67</v>
      </c>
      <c r="E50" s="44">
        <v>52.95</v>
      </c>
      <c r="F50" s="44">
        <v>65.72</v>
      </c>
      <c r="G50" s="44">
        <v>78.56</v>
      </c>
      <c r="H50" s="44">
        <v>88.07</v>
      </c>
      <c r="I50" s="14">
        <v>236.8</v>
      </c>
      <c r="J50" s="14">
        <v>236.8</v>
      </c>
      <c r="K50" s="14">
        <v>108.54</v>
      </c>
      <c r="L50" s="14">
        <v>146.94</v>
      </c>
    </row>
    <row r="51" spans="1:12" ht="12.75" customHeight="1">
      <c r="A51" s="13">
        <v>49</v>
      </c>
      <c r="B51" s="44">
        <v>29.13</v>
      </c>
      <c r="C51" s="44">
        <v>36.43</v>
      </c>
      <c r="D51" s="44">
        <v>43.68</v>
      </c>
      <c r="E51" s="44">
        <v>52.96</v>
      </c>
      <c r="F51" s="44">
        <v>66.209999999999994</v>
      </c>
      <c r="G51" s="44">
        <v>80.13</v>
      </c>
      <c r="H51" s="44">
        <v>88.59</v>
      </c>
      <c r="I51" s="14">
        <v>240.84</v>
      </c>
      <c r="J51" s="14">
        <v>240.84</v>
      </c>
      <c r="K51" s="14">
        <v>110.35</v>
      </c>
      <c r="L51" s="14">
        <v>148.97</v>
      </c>
    </row>
    <row r="52" spans="1:12" ht="12.75" customHeight="1">
      <c r="A52" s="13">
        <v>50</v>
      </c>
      <c r="B52" s="46">
        <v>29.14</v>
      </c>
      <c r="C52" s="46">
        <v>36.44</v>
      </c>
      <c r="D52" s="46">
        <v>43.7</v>
      </c>
      <c r="E52" s="46">
        <v>53</v>
      </c>
      <c r="F52" s="46">
        <v>66.78</v>
      </c>
      <c r="G52" s="46">
        <v>80.83</v>
      </c>
      <c r="H52" s="46">
        <v>89.83</v>
      </c>
      <c r="I52" s="17">
        <v>244.89</v>
      </c>
      <c r="J52" s="17">
        <v>244.89</v>
      </c>
      <c r="K52" s="17">
        <v>112.17</v>
      </c>
      <c r="L52" s="17">
        <v>151.34</v>
      </c>
    </row>
    <row r="53" spans="1:12" ht="12.75" customHeight="1">
      <c r="A53" s="31">
        <v>51</v>
      </c>
      <c r="B53" s="48">
        <v>29.34</v>
      </c>
      <c r="C53" s="48">
        <v>36.700000000000003</v>
      </c>
      <c r="D53" s="49">
        <v>44.12</v>
      </c>
      <c r="E53" s="49">
        <v>53.51</v>
      </c>
      <c r="F53" s="49">
        <v>67.94</v>
      </c>
      <c r="G53" s="49">
        <v>82.22</v>
      </c>
      <c r="H53" s="49">
        <v>92.34</v>
      </c>
      <c r="I53" s="49">
        <v>252.46</v>
      </c>
      <c r="J53" s="49">
        <v>252.46</v>
      </c>
      <c r="K53" s="50">
        <v>115.59</v>
      </c>
      <c r="L53" s="76">
        <v>154.51</v>
      </c>
    </row>
    <row r="54" spans="1:12" ht="12.75" customHeight="1">
      <c r="A54" s="19">
        <v>52</v>
      </c>
      <c r="B54" s="51">
        <v>29.35</v>
      </c>
      <c r="C54" s="51">
        <v>36.71</v>
      </c>
      <c r="D54" s="52">
        <v>44.14</v>
      </c>
      <c r="E54" s="52">
        <v>53.54</v>
      </c>
      <c r="F54" s="52">
        <v>67.95</v>
      </c>
      <c r="G54" s="52">
        <v>82.24</v>
      </c>
      <c r="H54" s="52">
        <v>92.35</v>
      </c>
      <c r="I54" s="52">
        <v>252.97</v>
      </c>
      <c r="J54" s="52">
        <v>252.97</v>
      </c>
      <c r="K54" s="53">
        <v>115.6</v>
      </c>
      <c r="L54" s="76">
        <v>154.54</v>
      </c>
    </row>
    <row r="55" spans="1:12" ht="12.75" customHeight="1">
      <c r="A55" s="19">
        <v>53</v>
      </c>
      <c r="B55" s="51">
        <v>29.36</v>
      </c>
      <c r="C55" s="51">
        <v>36.72</v>
      </c>
      <c r="D55" s="52">
        <v>44.16</v>
      </c>
      <c r="E55" s="52">
        <v>54.07</v>
      </c>
      <c r="F55" s="52">
        <v>67.959999999999994</v>
      </c>
      <c r="G55" s="52">
        <v>82.25</v>
      </c>
      <c r="H55" s="52">
        <v>93.25</v>
      </c>
      <c r="I55" s="52">
        <v>256.8</v>
      </c>
      <c r="J55" s="52">
        <v>256.8</v>
      </c>
      <c r="K55" s="53">
        <v>118.8</v>
      </c>
      <c r="L55" s="76">
        <v>157.47999999999999</v>
      </c>
    </row>
    <row r="56" spans="1:12" ht="12.75" customHeight="1">
      <c r="A56" s="19">
        <v>54</v>
      </c>
      <c r="B56" s="51">
        <v>29.37</v>
      </c>
      <c r="C56" s="51">
        <v>36.729999999999997</v>
      </c>
      <c r="D56" s="52">
        <v>44.22</v>
      </c>
      <c r="E56" s="52">
        <v>54.17</v>
      </c>
      <c r="F56" s="52">
        <v>67.98</v>
      </c>
      <c r="G56" s="52">
        <v>82.26</v>
      </c>
      <c r="H56" s="52">
        <v>93.26</v>
      </c>
      <c r="I56" s="52">
        <v>260.43</v>
      </c>
      <c r="J56" s="52">
        <v>260.43</v>
      </c>
      <c r="K56" s="53">
        <v>118.82</v>
      </c>
      <c r="L56" s="76">
        <v>157.52000000000001</v>
      </c>
    </row>
    <row r="57" spans="1:12" ht="12.75" customHeight="1">
      <c r="A57" s="19">
        <v>55</v>
      </c>
      <c r="B57" s="54">
        <v>29.38</v>
      </c>
      <c r="C57" s="54">
        <v>36.74</v>
      </c>
      <c r="D57" s="55">
        <v>44.23</v>
      </c>
      <c r="E57" s="55">
        <v>54.18</v>
      </c>
      <c r="F57" s="55">
        <v>67.989999999999995</v>
      </c>
      <c r="G57" s="55">
        <v>82.27</v>
      </c>
      <c r="H57" s="55">
        <v>93.28</v>
      </c>
      <c r="I57" s="55">
        <v>263.94</v>
      </c>
      <c r="J57" s="55">
        <v>263.94</v>
      </c>
      <c r="K57" s="56">
        <v>121.58</v>
      </c>
      <c r="L57" s="77">
        <v>160.75</v>
      </c>
    </row>
    <row r="58" spans="1:12" ht="12.75" customHeight="1">
      <c r="A58" s="32">
        <v>56</v>
      </c>
      <c r="B58" s="42">
        <v>29.4</v>
      </c>
      <c r="C58" s="42">
        <v>36.76</v>
      </c>
      <c r="D58" s="42">
        <v>44.24</v>
      </c>
      <c r="E58" s="42">
        <v>54.19</v>
      </c>
      <c r="F58" s="42">
        <v>68.010000000000005</v>
      </c>
      <c r="G58" s="42">
        <v>82.29</v>
      </c>
      <c r="H58" s="42">
        <v>94.44</v>
      </c>
      <c r="I58" s="42">
        <v>267.5</v>
      </c>
      <c r="J58" s="42">
        <v>267.5</v>
      </c>
      <c r="K58" s="43">
        <v>121.59</v>
      </c>
      <c r="L58" s="78">
        <v>160.76</v>
      </c>
    </row>
    <row r="59" spans="1:12" ht="12.75" customHeight="1">
      <c r="A59" s="13">
        <v>57</v>
      </c>
      <c r="B59" s="44">
        <v>29.93</v>
      </c>
      <c r="C59" s="44">
        <v>36.950000000000003</v>
      </c>
      <c r="D59" s="44">
        <v>44.26</v>
      </c>
      <c r="E59" s="44">
        <v>55.81</v>
      </c>
      <c r="F59" s="44">
        <v>68.03</v>
      </c>
      <c r="G59" s="44">
        <v>82.32</v>
      </c>
      <c r="H59" s="44">
        <v>95.4</v>
      </c>
      <c r="I59" s="44">
        <v>271.18</v>
      </c>
      <c r="J59" s="44">
        <v>271.18</v>
      </c>
      <c r="K59" s="45">
        <v>123.84</v>
      </c>
      <c r="L59" s="78">
        <v>164.01</v>
      </c>
    </row>
    <row r="60" spans="1:12" ht="12.75" customHeight="1">
      <c r="A60" s="13">
        <v>58</v>
      </c>
      <c r="B60" s="44">
        <v>29.95</v>
      </c>
      <c r="C60" s="44">
        <v>36.96</v>
      </c>
      <c r="D60" s="44">
        <v>44.28</v>
      </c>
      <c r="E60" s="44">
        <v>55.83</v>
      </c>
      <c r="F60" s="44">
        <v>68.040000000000006</v>
      </c>
      <c r="G60" s="44">
        <v>82.33</v>
      </c>
      <c r="H60" s="44">
        <v>96.24</v>
      </c>
      <c r="I60" s="44">
        <v>272.17</v>
      </c>
      <c r="J60" s="44">
        <v>272.17</v>
      </c>
      <c r="K60" s="45">
        <v>134.04</v>
      </c>
      <c r="L60" s="78">
        <v>164.02</v>
      </c>
    </row>
    <row r="61" spans="1:12" ht="12.75" customHeight="1">
      <c r="A61" s="13">
        <v>59</v>
      </c>
      <c r="B61" s="44">
        <v>29.97</v>
      </c>
      <c r="C61" s="44">
        <v>36.99</v>
      </c>
      <c r="D61" s="44">
        <v>44.58</v>
      </c>
      <c r="E61" s="44">
        <v>55.86</v>
      </c>
      <c r="F61" s="44">
        <v>68.52</v>
      </c>
      <c r="G61" s="44">
        <v>82.34</v>
      </c>
      <c r="H61" s="44">
        <v>97.84</v>
      </c>
      <c r="I61" s="44">
        <v>278.89999999999998</v>
      </c>
      <c r="J61" s="44">
        <v>278.89999999999998</v>
      </c>
      <c r="K61" s="45">
        <v>134.05000000000001</v>
      </c>
      <c r="L61" s="78">
        <v>166.9</v>
      </c>
    </row>
    <row r="62" spans="1:12" ht="12.75" customHeight="1">
      <c r="A62" s="16">
        <v>60</v>
      </c>
      <c r="B62" s="46">
        <v>30.79</v>
      </c>
      <c r="C62" s="46">
        <v>38.43</v>
      </c>
      <c r="D62" s="46">
        <v>45.35</v>
      </c>
      <c r="E62" s="46">
        <v>57.83</v>
      </c>
      <c r="F62" s="46">
        <v>69.790000000000006</v>
      </c>
      <c r="G62" s="46">
        <v>82.63</v>
      </c>
      <c r="H62" s="46">
        <v>98.44</v>
      </c>
      <c r="I62" s="46">
        <v>283.25</v>
      </c>
      <c r="J62" s="46">
        <v>283.25</v>
      </c>
      <c r="K62" s="47">
        <v>134.06</v>
      </c>
      <c r="L62" s="79">
        <v>166.92</v>
      </c>
    </row>
    <row r="63" spans="1:12" ht="12.75" customHeight="1">
      <c r="A63" s="19">
        <v>61</v>
      </c>
      <c r="B63" s="48">
        <v>30.8</v>
      </c>
      <c r="C63" s="48">
        <v>38.53</v>
      </c>
      <c r="D63" s="49">
        <v>45.79</v>
      </c>
      <c r="E63" s="49">
        <v>57.97</v>
      </c>
      <c r="F63" s="49">
        <v>69.8</v>
      </c>
      <c r="G63" s="49">
        <v>82.64</v>
      </c>
      <c r="H63" s="49">
        <v>98.45</v>
      </c>
      <c r="I63" s="49">
        <v>286.75</v>
      </c>
      <c r="J63" s="49">
        <v>286.75</v>
      </c>
      <c r="K63" s="50">
        <v>134.07</v>
      </c>
      <c r="L63" s="76">
        <v>170.5</v>
      </c>
    </row>
    <row r="64" spans="1:12" ht="12.75" customHeight="1">
      <c r="A64" s="23">
        <v>62</v>
      </c>
      <c r="B64" s="51">
        <v>32.07</v>
      </c>
      <c r="C64" s="51">
        <v>41.28</v>
      </c>
      <c r="D64" s="52">
        <v>46.53</v>
      </c>
      <c r="E64" s="52">
        <v>59.6</v>
      </c>
      <c r="F64" s="52">
        <v>70.87</v>
      </c>
      <c r="G64" s="52">
        <v>83.91</v>
      </c>
      <c r="H64" s="52">
        <v>99.65</v>
      </c>
      <c r="I64" s="52">
        <v>291.45999999999998</v>
      </c>
      <c r="J64" s="52">
        <v>291.45999999999998</v>
      </c>
      <c r="K64" s="53">
        <v>134.09</v>
      </c>
      <c r="L64" s="76">
        <v>170.51</v>
      </c>
    </row>
    <row r="65" spans="1:26" ht="12.75" customHeight="1">
      <c r="A65" s="23">
        <v>63</v>
      </c>
      <c r="B65" s="51">
        <v>32.08</v>
      </c>
      <c r="C65" s="51">
        <v>41.29</v>
      </c>
      <c r="D65" s="52">
        <v>46.98</v>
      </c>
      <c r="E65" s="52">
        <v>59.64</v>
      </c>
      <c r="F65" s="52">
        <v>71.36</v>
      </c>
      <c r="G65" s="52">
        <v>84.6</v>
      </c>
      <c r="H65" s="52">
        <v>100.25</v>
      </c>
      <c r="I65" s="52">
        <v>296.24</v>
      </c>
      <c r="J65" s="52">
        <v>296.24</v>
      </c>
      <c r="K65" s="53">
        <v>134.11000000000001</v>
      </c>
      <c r="L65" s="76">
        <v>173.69</v>
      </c>
    </row>
    <row r="66" spans="1:26" ht="12.75" customHeight="1">
      <c r="A66" s="23">
        <v>64</v>
      </c>
      <c r="B66" s="51">
        <v>32.93</v>
      </c>
      <c r="C66" s="51">
        <v>41.31</v>
      </c>
      <c r="D66" s="52">
        <v>47.75</v>
      </c>
      <c r="E66" s="52">
        <v>59.65</v>
      </c>
      <c r="F66" s="52">
        <v>71.87</v>
      </c>
      <c r="G66" s="52">
        <v>84.61</v>
      </c>
      <c r="H66" s="52">
        <v>100.87</v>
      </c>
      <c r="I66" s="52">
        <v>301.17</v>
      </c>
      <c r="J66" s="52">
        <v>301.17</v>
      </c>
      <c r="K66" s="53">
        <v>134.12</v>
      </c>
      <c r="L66" s="76">
        <v>173.7</v>
      </c>
    </row>
    <row r="67" spans="1:26" ht="12.75" customHeight="1">
      <c r="A67" s="23">
        <v>65</v>
      </c>
      <c r="B67" s="54">
        <v>33.29</v>
      </c>
      <c r="C67" s="54">
        <v>42.41</v>
      </c>
      <c r="D67" s="55">
        <v>47.76</v>
      </c>
      <c r="E67" s="55">
        <v>59.66</v>
      </c>
      <c r="F67" s="55">
        <v>72.489999999999995</v>
      </c>
      <c r="G67" s="55">
        <v>84.81</v>
      </c>
      <c r="H67" s="55">
        <v>101.03</v>
      </c>
      <c r="I67" s="55">
        <v>306.08999999999997</v>
      </c>
      <c r="J67" s="55">
        <v>306.08999999999997</v>
      </c>
      <c r="K67" s="56">
        <v>134.13</v>
      </c>
      <c r="L67" s="77">
        <v>176.49</v>
      </c>
    </row>
    <row r="68" spans="1:26" ht="12.75" customHeight="1">
      <c r="A68" s="9">
        <v>66</v>
      </c>
      <c r="B68" s="42">
        <v>33.46</v>
      </c>
      <c r="C68" s="42">
        <v>42.82</v>
      </c>
      <c r="D68" s="42">
        <v>47.77</v>
      </c>
      <c r="E68" s="42">
        <v>59.67</v>
      </c>
      <c r="F68" s="42">
        <v>72.55</v>
      </c>
      <c r="G68" s="42">
        <v>85.08</v>
      </c>
      <c r="H68" s="42">
        <v>101.46</v>
      </c>
      <c r="I68" s="42">
        <v>310.82</v>
      </c>
      <c r="J68" s="42">
        <v>310.82</v>
      </c>
      <c r="K68" s="43">
        <v>134.15</v>
      </c>
      <c r="L68" s="78">
        <v>176.5</v>
      </c>
    </row>
    <row r="69" spans="1:26" ht="12.75" customHeight="1">
      <c r="A69" s="33">
        <v>67</v>
      </c>
      <c r="B69" s="44">
        <v>33.47</v>
      </c>
      <c r="C69" s="44">
        <v>42.85</v>
      </c>
      <c r="D69" s="44">
        <v>47.78</v>
      </c>
      <c r="E69" s="44">
        <v>59.78</v>
      </c>
      <c r="F69" s="44">
        <v>73.11</v>
      </c>
      <c r="G69" s="44">
        <v>85.49</v>
      </c>
      <c r="H69" s="44">
        <v>102.42</v>
      </c>
      <c r="I69" s="44">
        <v>315.54000000000002</v>
      </c>
      <c r="J69" s="44">
        <v>315.54000000000002</v>
      </c>
      <c r="K69" s="45">
        <v>134.18</v>
      </c>
      <c r="L69" s="78">
        <v>179.66</v>
      </c>
    </row>
    <row r="70" spans="1:26" ht="12.75" customHeight="1">
      <c r="A70" s="33">
        <v>68</v>
      </c>
      <c r="B70" s="44">
        <v>33.86</v>
      </c>
      <c r="C70" s="44">
        <v>43.63</v>
      </c>
      <c r="D70" s="44">
        <v>50.68</v>
      </c>
      <c r="E70" s="44">
        <v>61.14</v>
      </c>
      <c r="F70" s="44">
        <v>74.19</v>
      </c>
      <c r="G70" s="44">
        <v>86.79</v>
      </c>
      <c r="H70" s="44">
        <v>102.43</v>
      </c>
      <c r="I70" s="44">
        <v>320.08</v>
      </c>
      <c r="J70" s="44">
        <v>320.08</v>
      </c>
      <c r="K70" s="45">
        <v>134.19999999999999</v>
      </c>
      <c r="L70" s="78">
        <v>179.67</v>
      </c>
    </row>
    <row r="71" spans="1:26" ht="12.75" customHeight="1">
      <c r="A71" s="33">
        <v>69</v>
      </c>
      <c r="B71" s="44">
        <v>34.56</v>
      </c>
      <c r="C71" s="44">
        <v>44.05</v>
      </c>
      <c r="D71" s="44">
        <v>51.18</v>
      </c>
      <c r="E71" s="44">
        <v>61.58</v>
      </c>
      <c r="F71" s="44">
        <v>74.58</v>
      </c>
      <c r="G71" s="44">
        <v>86.8</v>
      </c>
      <c r="H71" s="44">
        <v>102.97</v>
      </c>
      <c r="I71" s="44">
        <v>324.73</v>
      </c>
      <c r="J71" s="44">
        <v>324.73</v>
      </c>
      <c r="K71" s="45">
        <v>136.16999999999999</v>
      </c>
      <c r="L71" s="78">
        <v>183.27</v>
      </c>
    </row>
    <row r="72" spans="1:26" ht="12.75" customHeight="1">
      <c r="A72" s="16">
        <v>70</v>
      </c>
      <c r="B72" s="46">
        <v>34.72</v>
      </c>
      <c r="C72" s="46">
        <v>44.67</v>
      </c>
      <c r="D72" s="46">
        <v>52.29</v>
      </c>
      <c r="E72" s="46">
        <v>64.540000000000006</v>
      </c>
      <c r="F72" s="46">
        <v>76.069999999999993</v>
      </c>
      <c r="G72" s="46">
        <v>86.81</v>
      </c>
      <c r="H72" s="46">
        <v>103.85</v>
      </c>
      <c r="I72" s="46">
        <v>331.56</v>
      </c>
      <c r="J72" s="46">
        <v>331.56</v>
      </c>
      <c r="K72" s="47">
        <v>136.18</v>
      </c>
      <c r="L72" s="79">
        <v>183.28</v>
      </c>
    </row>
    <row r="73" spans="1:26" ht="12.75" customHeight="1">
      <c r="A73" s="35">
        <v>71</v>
      </c>
      <c r="B73" s="48">
        <v>34.74</v>
      </c>
      <c r="C73" s="48">
        <v>44.68</v>
      </c>
      <c r="D73" s="49">
        <v>53.1</v>
      </c>
      <c r="E73" s="49">
        <v>64.55</v>
      </c>
      <c r="F73" s="49">
        <v>76.569999999999993</v>
      </c>
      <c r="G73" s="49">
        <v>88.22</v>
      </c>
      <c r="H73" s="49">
        <v>103.88</v>
      </c>
      <c r="I73" s="49">
        <v>336.66</v>
      </c>
      <c r="J73" s="49">
        <v>336.66</v>
      </c>
      <c r="K73" s="50">
        <v>139.41999999999999</v>
      </c>
      <c r="L73" s="76">
        <v>186.26</v>
      </c>
    </row>
    <row r="74" spans="1:26" ht="12.75" customHeight="1">
      <c r="A74" s="23">
        <v>72</v>
      </c>
      <c r="B74" s="51">
        <v>35.729999999999997</v>
      </c>
      <c r="C74" s="51">
        <v>44.69</v>
      </c>
      <c r="D74" s="52">
        <v>54.22</v>
      </c>
      <c r="E74" s="52">
        <v>64.58</v>
      </c>
      <c r="F74" s="52">
        <v>77.84</v>
      </c>
      <c r="G74" s="52">
        <v>91.98</v>
      </c>
      <c r="H74" s="52">
        <v>104.04</v>
      </c>
      <c r="I74" s="52">
        <v>341.67</v>
      </c>
      <c r="J74" s="52">
        <v>341.67</v>
      </c>
      <c r="K74" s="53">
        <v>139.43</v>
      </c>
      <c r="L74" s="76">
        <v>186.28</v>
      </c>
    </row>
    <row r="75" spans="1:26" ht="12.75" customHeight="1">
      <c r="A75" s="23">
        <v>73</v>
      </c>
      <c r="B75" s="51">
        <v>35.96</v>
      </c>
      <c r="C75" s="51">
        <v>45.11</v>
      </c>
      <c r="D75" s="52">
        <v>54.23</v>
      </c>
      <c r="E75" s="52">
        <v>65.53</v>
      </c>
      <c r="F75" s="52">
        <v>78.67</v>
      </c>
      <c r="G75" s="52">
        <v>92.14</v>
      </c>
      <c r="H75" s="52">
        <v>104.05</v>
      </c>
      <c r="I75" s="52">
        <v>346.67</v>
      </c>
      <c r="J75" s="52">
        <v>346.67</v>
      </c>
      <c r="K75" s="53">
        <v>141.59</v>
      </c>
      <c r="L75" s="76">
        <v>189.78</v>
      </c>
    </row>
    <row r="76" spans="1:26" ht="12.75" customHeight="1">
      <c r="A76" s="23">
        <v>74</v>
      </c>
      <c r="B76" s="51">
        <v>36.909999999999997</v>
      </c>
      <c r="C76" s="51">
        <v>45.12</v>
      </c>
      <c r="D76" s="52">
        <v>54.24</v>
      </c>
      <c r="E76" s="52">
        <v>65.55</v>
      </c>
      <c r="F76" s="52">
        <v>79.88</v>
      </c>
      <c r="G76" s="52">
        <v>92.15</v>
      </c>
      <c r="H76" s="52">
        <v>104.07</v>
      </c>
      <c r="I76" s="52">
        <v>350.02</v>
      </c>
      <c r="J76" s="52">
        <v>350.02</v>
      </c>
      <c r="K76" s="53">
        <v>141.6</v>
      </c>
      <c r="L76" s="76">
        <v>189.79</v>
      </c>
    </row>
    <row r="77" spans="1:26" ht="12.75" customHeight="1">
      <c r="A77" s="27">
        <v>75</v>
      </c>
      <c r="B77" s="54">
        <v>38.28</v>
      </c>
      <c r="C77" s="54">
        <v>45.15</v>
      </c>
      <c r="D77" s="55">
        <v>54.25</v>
      </c>
      <c r="E77" s="55">
        <v>66.06</v>
      </c>
      <c r="F77" s="55">
        <v>79.89</v>
      </c>
      <c r="G77" s="55">
        <v>93.08</v>
      </c>
      <c r="H77" s="55">
        <v>104.08</v>
      </c>
      <c r="I77" s="55">
        <v>353.97</v>
      </c>
      <c r="J77" s="55">
        <v>353.97</v>
      </c>
      <c r="K77" s="56">
        <v>143.59</v>
      </c>
      <c r="L77" s="77">
        <v>194.16</v>
      </c>
    </row>
    <row r="78" spans="1:26" ht="12.75" customHeight="1">
      <c r="A78" s="5">
        <v>76</v>
      </c>
      <c r="B78" s="57">
        <v>41.23</v>
      </c>
      <c r="C78" s="57">
        <v>47.68</v>
      </c>
      <c r="D78" s="57">
        <v>54.6</v>
      </c>
      <c r="E78" s="57">
        <v>67.069999999999993</v>
      </c>
      <c r="F78" s="57">
        <v>81.66</v>
      </c>
      <c r="G78" s="57">
        <v>94.59</v>
      </c>
      <c r="H78" s="57">
        <v>105.05</v>
      </c>
      <c r="I78" s="57">
        <v>358.34</v>
      </c>
      <c r="J78" s="57">
        <v>358.34</v>
      </c>
      <c r="K78" s="58">
        <v>143.6</v>
      </c>
      <c r="L78" s="80">
        <v>194.19</v>
      </c>
    </row>
    <row r="79" spans="1:26" ht="12.75" customHeight="1">
      <c r="A79" s="9">
        <v>77</v>
      </c>
      <c r="B79" s="42">
        <v>42.85</v>
      </c>
      <c r="C79" s="42">
        <v>48.37</v>
      </c>
      <c r="D79" s="42">
        <v>55.23</v>
      </c>
      <c r="E79" s="42">
        <v>67.37</v>
      </c>
      <c r="F79" s="42">
        <v>82.13</v>
      </c>
      <c r="G79" s="42">
        <v>97.29</v>
      </c>
      <c r="H79" s="42">
        <v>105.06</v>
      </c>
      <c r="I79" s="42">
        <v>361.3</v>
      </c>
      <c r="J79" s="42">
        <v>361.3</v>
      </c>
      <c r="K79" s="43">
        <v>143.94</v>
      </c>
      <c r="L79" s="81">
        <v>195.29</v>
      </c>
    </row>
    <row r="80" spans="1:26" ht="12.75" customHeight="1">
      <c r="A80" s="13">
        <v>78</v>
      </c>
      <c r="B80" s="44">
        <v>42.89</v>
      </c>
      <c r="C80" s="44">
        <v>50.19</v>
      </c>
      <c r="D80" s="44">
        <v>56.85</v>
      </c>
      <c r="E80" s="44">
        <v>68.09</v>
      </c>
      <c r="F80" s="44">
        <v>82.65</v>
      </c>
      <c r="G80" s="44">
        <v>98.01</v>
      </c>
      <c r="H80" s="44">
        <v>105.08</v>
      </c>
      <c r="I80" s="44">
        <v>363.24</v>
      </c>
      <c r="J80" s="44">
        <v>363.24</v>
      </c>
      <c r="K80" s="45">
        <v>143.94999999999999</v>
      </c>
      <c r="L80" s="82">
        <v>195.3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12" ht="12.75" customHeight="1">
      <c r="A81" s="13">
        <v>79</v>
      </c>
      <c r="B81" s="44">
        <v>44.82</v>
      </c>
      <c r="C81" s="44">
        <v>52.27</v>
      </c>
      <c r="D81" s="44">
        <v>58.27</v>
      </c>
      <c r="E81" s="44">
        <v>69.17</v>
      </c>
      <c r="F81" s="44">
        <v>84.38</v>
      </c>
      <c r="G81" s="44">
        <v>99.53</v>
      </c>
      <c r="H81" s="44">
        <v>106.79</v>
      </c>
      <c r="I81" s="44">
        <v>363.3</v>
      </c>
      <c r="J81" s="44">
        <v>363.3</v>
      </c>
      <c r="K81" s="45">
        <v>145.75</v>
      </c>
      <c r="L81" s="78">
        <v>199.94</v>
      </c>
    </row>
    <row r="82" spans="1:12" ht="12.75" customHeight="1">
      <c r="A82" s="16">
        <v>80</v>
      </c>
      <c r="B82" s="46">
        <v>46.04</v>
      </c>
      <c r="C82" s="46">
        <v>53.28</v>
      </c>
      <c r="D82" s="46">
        <v>58.52</v>
      </c>
      <c r="E82" s="46">
        <v>70.81</v>
      </c>
      <c r="F82" s="46">
        <v>85.78</v>
      </c>
      <c r="G82" s="46">
        <v>100.9</v>
      </c>
      <c r="H82" s="46">
        <v>107.62</v>
      </c>
      <c r="I82" s="46">
        <v>367.1</v>
      </c>
      <c r="J82" s="46">
        <v>367.1</v>
      </c>
      <c r="K82" s="47">
        <v>145.77000000000001</v>
      </c>
      <c r="L82" s="79">
        <v>199.96</v>
      </c>
    </row>
    <row r="83" spans="1:12" ht="12.75" customHeight="1">
      <c r="A83" s="19">
        <v>81</v>
      </c>
      <c r="B83" s="48">
        <v>47.17</v>
      </c>
      <c r="C83" s="48">
        <v>53.7</v>
      </c>
      <c r="D83" s="49">
        <v>59.94</v>
      </c>
      <c r="E83" s="49">
        <v>71.290000000000006</v>
      </c>
      <c r="F83" s="49">
        <v>86.89</v>
      </c>
      <c r="G83" s="49">
        <v>101.51</v>
      </c>
      <c r="H83" s="49">
        <v>107.98</v>
      </c>
      <c r="I83" s="49">
        <v>370.16</v>
      </c>
      <c r="J83" s="49">
        <v>370.16</v>
      </c>
      <c r="K83" s="50">
        <v>146.46</v>
      </c>
      <c r="L83" s="83">
        <v>203.66</v>
      </c>
    </row>
    <row r="84" spans="1:12" ht="12.75" customHeight="1">
      <c r="A84" s="23">
        <v>82</v>
      </c>
      <c r="B84" s="51">
        <v>48.7</v>
      </c>
      <c r="C84" s="51">
        <v>55.01</v>
      </c>
      <c r="D84" s="52">
        <v>62.66</v>
      </c>
      <c r="E84" s="52">
        <v>73.11</v>
      </c>
      <c r="F84" s="52">
        <v>87.12</v>
      </c>
      <c r="G84" s="52">
        <v>104.14</v>
      </c>
      <c r="H84" s="52">
        <v>107.99</v>
      </c>
      <c r="I84" s="52">
        <v>372.02</v>
      </c>
      <c r="J84" s="52">
        <v>372.02</v>
      </c>
      <c r="K84" s="53">
        <v>146.47</v>
      </c>
      <c r="L84" s="76">
        <v>203.67</v>
      </c>
    </row>
    <row r="85" spans="1:12" ht="12.75" customHeight="1">
      <c r="A85" s="19">
        <v>83</v>
      </c>
      <c r="B85" s="51">
        <v>48.71</v>
      </c>
      <c r="C85" s="51">
        <v>55.02</v>
      </c>
      <c r="D85" s="52">
        <v>62.67</v>
      </c>
      <c r="E85" s="52">
        <v>73.12</v>
      </c>
      <c r="F85" s="52">
        <v>87.38</v>
      </c>
      <c r="G85" s="52">
        <v>104.15</v>
      </c>
      <c r="H85" s="52">
        <v>108.01</v>
      </c>
      <c r="I85" s="52">
        <v>376.07</v>
      </c>
      <c r="J85" s="52">
        <v>376.07</v>
      </c>
      <c r="K85" s="53">
        <v>147.75</v>
      </c>
      <c r="L85" s="76">
        <v>207.28</v>
      </c>
    </row>
    <row r="86" spans="1:12" ht="12.75" customHeight="1">
      <c r="A86" s="19">
        <v>84</v>
      </c>
      <c r="B86" s="51">
        <v>50.65</v>
      </c>
      <c r="C86" s="51">
        <v>57.21</v>
      </c>
      <c r="D86" s="52">
        <v>64.489999999999995</v>
      </c>
      <c r="E86" s="52">
        <v>73.83</v>
      </c>
      <c r="F86" s="52">
        <v>89.53</v>
      </c>
      <c r="G86" s="52">
        <v>105.39</v>
      </c>
      <c r="H86" s="52">
        <v>108.83</v>
      </c>
      <c r="I86" s="52">
        <v>380.41</v>
      </c>
      <c r="J86" s="52">
        <v>380.41</v>
      </c>
      <c r="K86" s="53">
        <v>147.80000000000001</v>
      </c>
      <c r="L86" s="76">
        <v>207.29</v>
      </c>
    </row>
    <row r="87" spans="1:12" ht="12.75" customHeight="1">
      <c r="A87" s="27">
        <v>85</v>
      </c>
      <c r="B87" s="54">
        <v>52</v>
      </c>
      <c r="C87" s="54">
        <v>57.22</v>
      </c>
      <c r="D87" s="55">
        <v>64.53</v>
      </c>
      <c r="E87" s="55">
        <v>75.02</v>
      </c>
      <c r="F87" s="55">
        <v>90.07</v>
      </c>
      <c r="G87" s="55">
        <v>106.53</v>
      </c>
      <c r="H87" s="55">
        <v>110.01</v>
      </c>
      <c r="I87" s="55">
        <v>384.84</v>
      </c>
      <c r="J87" s="55">
        <v>384.84</v>
      </c>
      <c r="K87" s="56">
        <v>148.28</v>
      </c>
      <c r="L87" s="77">
        <v>211.93</v>
      </c>
    </row>
    <row r="88" spans="1:12" ht="12.75" customHeight="1">
      <c r="A88" s="13">
        <v>86</v>
      </c>
      <c r="B88" s="42">
        <v>53.9</v>
      </c>
      <c r="C88" s="42">
        <v>60.39</v>
      </c>
      <c r="D88" s="42">
        <v>67.06</v>
      </c>
      <c r="E88" s="42">
        <v>76.430000000000007</v>
      </c>
      <c r="F88" s="42">
        <v>92</v>
      </c>
      <c r="G88" s="42">
        <v>109.53</v>
      </c>
      <c r="H88" s="42">
        <v>113.38</v>
      </c>
      <c r="I88" s="42">
        <v>388.88</v>
      </c>
      <c r="J88" s="42">
        <v>388.88</v>
      </c>
      <c r="K88" s="43">
        <v>148.29</v>
      </c>
      <c r="L88" s="78">
        <v>211.94</v>
      </c>
    </row>
    <row r="89" spans="1:12" ht="12.75" customHeight="1">
      <c r="A89" s="13">
        <v>87</v>
      </c>
      <c r="B89" s="44">
        <v>55.01</v>
      </c>
      <c r="C89" s="44">
        <v>60.42</v>
      </c>
      <c r="D89" s="44">
        <v>67.069999999999993</v>
      </c>
      <c r="E89" s="44">
        <v>76.44</v>
      </c>
      <c r="F89" s="44">
        <v>93.21</v>
      </c>
      <c r="G89" s="44">
        <v>109.62</v>
      </c>
      <c r="H89" s="44">
        <v>113.56</v>
      </c>
      <c r="I89" s="44">
        <v>393.26</v>
      </c>
      <c r="J89" s="44">
        <v>393.26</v>
      </c>
      <c r="K89" s="45">
        <v>150.05000000000001</v>
      </c>
      <c r="L89" s="78">
        <v>215.41</v>
      </c>
    </row>
    <row r="90" spans="1:12" ht="12.75" customHeight="1">
      <c r="A90" s="13">
        <v>88</v>
      </c>
      <c r="B90" s="44">
        <v>57.29</v>
      </c>
      <c r="C90" s="44">
        <v>61.77</v>
      </c>
      <c r="D90" s="44">
        <v>69.180000000000007</v>
      </c>
      <c r="E90" s="44">
        <v>78.91</v>
      </c>
      <c r="F90" s="44">
        <v>93.55</v>
      </c>
      <c r="G90" s="44">
        <v>109.74</v>
      </c>
      <c r="H90" s="44">
        <v>114.81</v>
      </c>
      <c r="I90" s="44">
        <v>397.6</v>
      </c>
      <c r="J90" s="44">
        <v>397.6</v>
      </c>
      <c r="K90" s="45">
        <v>150.06</v>
      </c>
      <c r="L90" s="78">
        <v>215.44</v>
      </c>
    </row>
    <row r="91" spans="1:12" ht="12.75" customHeight="1">
      <c r="A91" s="13">
        <v>89</v>
      </c>
      <c r="B91" s="44">
        <v>59.86</v>
      </c>
      <c r="C91" s="44">
        <v>63.49</v>
      </c>
      <c r="D91" s="44">
        <v>70.53</v>
      </c>
      <c r="E91" s="44">
        <v>79.16</v>
      </c>
      <c r="F91" s="44">
        <v>95.58</v>
      </c>
      <c r="G91" s="44">
        <v>110.86</v>
      </c>
      <c r="H91" s="44">
        <v>117.21</v>
      </c>
      <c r="I91" s="44">
        <v>401.76</v>
      </c>
      <c r="J91" s="44">
        <v>401.76</v>
      </c>
      <c r="K91" s="45">
        <v>151.07</v>
      </c>
      <c r="L91" s="78">
        <v>218.86</v>
      </c>
    </row>
    <row r="92" spans="1:12" ht="12.75" customHeight="1">
      <c r="A92" s="13">
        <v>90</v>
      </c>
      <c r="B92" s="46">
        <v>63.52</v>
      </c>
      <c r="C92" s="46">
        <v>66.239999999999995</v>
      </c>
      <c r="D92" s="46">
        <v>73.59</v>
      </c>
      <c r="E92" s="46">
        <v>81.48</v>
      </c>
      <c r="F92" s="46">
        <v>96.94</v>
      </c>
      <c r="G92" s="46">
        <v>113.43</v>
      </c>
      <c r="H92" s="46">
        <v>119.53</v>
      </c>
      <c r="I92" s="46">
        <v>405.82</v>
      </c>
      <c r="J92" s="46">
        <v>405.82</v>
      </c>
      <c r="K92" s="47">
        <v>151.08000000000001</v>
      </c>
      <c r="L92" s="79">
        <v>218.87</v>
      </c>
    </row>
    <row r="93" spans="1:12" ht="12.75" customHeight="1">
      <c r="A93" s="31">
        <v>91</v>
      </c>
      <c r="B93" s="48">
        <v>63.53</v>
      </c>
      <c r="C93" s="48">
        <v>66.25</v>
      </c>
      <c r="D93" s="49">
        <v>73.599999999999994</v>
      </c>
      <c r="E93" s="49">
        <v>81.489999999999995</v>
      </c>
      <c r="F93" s="49">
        <v>96.95</v>
      </c>
      <c r="G93" s="49">
        <v>113.44</v>
      </c>
      <c r="H93" s="49">
        <v>119.54</v>
      </c>
      <c r="I93" s="49">
        <v>410.16</v>
      </c>
      <c r="J93" s="49">
        <v>410.16</v>
      </c>
      <c r="K93" s="50">
        <v>152.02000000000001</v>
      </c>
      <c r="L93" s="76">
        <v>222.97</v>
      </c>
    </row>
    <row r="94" spans="1:12" ht="12.75" customHeight="1">
      <c r="A94" s="19">
        <v>92</v>
      </c>
      <c r="B94" s="51">
        <v>64.95</v>
      </c>
      <c r="C94" s="51">
        <v>66.88</v>
      </c>
      <c r="D94" s="52">
        <v>73.989999999999995</v>
      </c>
      <c r="E94" s="52">
        <v>82.28</v>
      </c>
      <c r="F94" s="52">
        <v>98.13</v>
      </c>
      <c r="G94" s="52">
        <v>113.46</v>
      </c>
      <c r="H94" s="52">
        <v>119.89</v>
      </c>
      <c r="I94" s="52">
        <v>414.07</v>
      </c>
      <c r="J94" s="52">
        <v>414.07</v>
      </c>
      <c r="K94" s="53">
        <v>152.05000000000001</v>
      </c>
      <c r="L94" s="76">
        <v>222.98</v>
      </c>
    </row>
    <row r="95" spans="1:12" ht="12.75" customHeight="1">
      <c r="A95" s="19">
        <v>93</v>
      </c>
      <c r="B95" s="51">
        <v>65.78</v>
      </c>
      <c r="C95" s="51">
        <v>67.510000000000005</v>
      </c>
      <c r="D95" s="52">
        <v>75.39</v>
      </c>
      <c r="E95" s="52">
        <v>82.29</v>
      </c>
      <c r="F95" s="52">
        <v>98.15</v>
      </c>
      <c r="G95" s="52">
        <v>113.47</v>
      </c>
      <c r="H95" s="52">
        <v>119.9</v>
      </c>
      <c r="I95" s="52">
        <v>414.2</v>
      </c>
      <c r="J95" s="52">
        <v>414.2</v>
      </c>
      <c r="K95" s="53">
        <v>153.07</v>
      </c>
      <c r="L95" s="76">
        <v>226.49</v>
      </c>
    </row>
    <row r="96" spans="1:12" ht="12.75" customHeight="1">
      <c r="A96" s="19">
        <v>94</v>
      </c>
      <c r="B96" s="51">
        <v>66.12</v>
      </c>
      <c r="C96" s="51">
        <v>69.290000000000006</v>
      </c>
      <c r="D96" s="52">
        <v>75.760000000000005</v>
      </c>
      <c r="E96" s="52">
        <v>83.35</v>
      </c>
      <c r="F96" s="52">
        <v>100.22</v>
      </c>
      <c r="G96" s="52">
        <v>113.5</v>
      </c>
      <c r="H96" s="52">
        <v>122.28</v>
      </c>
      <c r="I96" s="52">
        <v>422.05</v>
      </c>
      <c r="J96" s="52">
        <v>422.05</v>
      </c>
      <c r="K96" s="53">
        <v>153.08000000000001</v>
      </c>
      <c r="L96" s="76">
        <v>226.51</v>
      </c>
    </row>
    <row r="97" spans="1:12" ht="12.75" customHeight="1">
      <c r="A97" s="19">
        <v>95</v>
      </c>
      <c r="B97" s="54">
        <v>67.02</v>
      </c>
      <c r="C97" s="54">
        <v>69.92</v>
      </c>
      <c r="D97" s="55">
        <v>76.27</v>
      </c>
      <c r="E97" s="55">
        <v>84.48</v>
      </c>
      <c r="F97" s="55">
        <v>100.52</v>
      </c>
      <c r="G97" s="55">
        <v>113.89</v>
      </c>
      <c r="H97" s="55">
        <v>123.6</v>
      </c>
      <c r="I97" s="55">
        <v>426.15</v>
      </c>
      <c r="J97" s="55">
        <v>426.15</v>
      </c>
      <c r="K97" s="56">
        <v>154.28</v>
      </c>
      <c r="L97" s="77">
        <v>230.3</v>
      </c>
    </row>
    <row r="98" spans="1:12" ht="12.75" customHeight="1">
      <c r="A98" s="32">
        <v>96</v>
      </c>
      <c r="B98" s="42">
        <v>69.17</v>
      </c>
      <c r="C98" s="42">
        <v>70.37</v>
      </c>
      <c r="D98" s="42">
        <v>79.05</v>
      </c>
      <c r="E98" s="42">
        <v>85.41</v>
      </c>
      <c r="F98" s="42">
        <v>100.53</v>
      </c>
      <c r="G98" s="42">
        <v>113.9</v>
      </c>
      <c r="H98" s="42">
        <v>124.82</v>
      </c>
      <c r="I98" s="42">
        <v>430.04</v>
      </c>
      <c r="J98" s="42">
        <v>430.04</v>
      </c>
      <c r="K98" s="43">
        <v>154.29</v>
      </c>
      <c r="L98" s="78">
        <v>230.31</v>
      </c>
    </row>
    <row r="99" spans="1:12" ht="12.75" customHeight="1">
      <c r="A99" s="13">
        <v>97</v>
      </c>
      <c r="B99" s="44">
        <v>71.430000000000007</v>
      </c>
      <c r="C99" s="44">
        <v>73.13</v>
      </c>
      <c r="D99" s="44">
        <v>80.2</v>
      </c>
      <c r="E99" s="44">
        <v>86.79</v>
      </c>
      <c r="F99" s="44">
        <v>102.69</v>
      </c>
      <c r="G99" s="44">
        <v>115.53</v>
      </c>
      <c r="H99" s="44">
        <v>127.28</v>
      </c>
      <c r="I99" s="44">
        <v>434.15</v>
      </c>
      <c r="J99" s="44">
        <v>434.15</v>
      </c>
      <c r="K99" s="45">
        <v>155.25</v>
      </c>
      <c r="L99" s="78">
        <v>234.32</v>
      </c>
    </row>
    <row r="100" spans="1:12" ht="12.75" customHeight="1">
      <c r="A100" s="13">
        <v>98</v>
      </c>
      <c r="B100" s="44">
        <v>72.39</v>
      </c>
      <c r="C100" s="44">
        <v>73.61</v>
      </c>
      <c r="D100" s="44">
        <v>80.209999999999994</v>
      </c>
      <c r="E100" s="44">
        <v>87.8</v>
      </c>
      <c r="F100" s="44">
        <v>103.85</v>
      </c>
      <c r="G100" s="44">
        <v>115.55</v>
      </c>
      <c r="H100" s="44">
        <v>127.29</v>
      </c>
      <c r="I100" s="44">
        <v>438</v>
      </c>
      <c r="J100" s="44">
        <v>438</v>
      </c>
      <c r="K100" s="45">
        <v>155.26</v>
      </c>
      <c r="L100" s="78">
        <v>234.34</v>
      </c>
    </row>
    <row r="101" spans="1:12" ht="12.75" customHeight="1">
      <c r="A101" s="13">
        <v>99</v>
      </c>
      <c r="B101" s="44">
        <v>73.38</v>
      </c>
      <c r="C101" s="44">
        <v>74.040000000000006</v>
      </c>
      <c r="D101" s="44">
        <v>81.69</v>
      </c>
      <c r="E101" s="44">
        <v>88.91</v>
      </c>
      <c r="F101" s="44">
        <v>104.08</v>
      </c>
      <c r="G101" s="44">
        <v>116.7</v>
      </c>
      <c r="H101" s="44">
        <v>128.58000000000001</v>
      </c>
      <c r="I101" s="44">
        <v>442.1</v>
      </c>
      <c r="J101" s="44">
        <v>442.1</v>
      </c>
      <c r="K101" s="45">
        <v>156.02000000000001</v>
      </c>
      <c r="L101" s="78">
        <v>237.67</v>
      </c>
    </row>
    <row r="102" spans="1:12" ht="12.75" customHeight="1">
      <c r="A102" s="16">
        <v>100</v>
      </c>
      <c r="B102" s="46">
        <v>74.61</v>
      </c>
      <c r="C102" s="46">
        <v>75.290000000000006</v>
      </c>
      <c r="D102" s="46">
        <v>82.48</v>
      </c>
      <c r="E102" s="46">
        <v>89.39</v>
      </c>
      <c r="F102" s="46">
        <v>105.22</v>
      </c>
      <c r="G102" s="46">
        <v>116.79</v>
      </c>
      <c r="H102" s="46">
        <v>128.66</v>
      </c>
      <c r="I102" s="46">
        <v>446.21</v>
      </c>
      <c r="J102" s="46">
        <v>446.21</v>
      </c>
      <c r="K102" s="47">
        <v>156.04</v>
      </c>
      <c r="L102" s="79">
        <v>237.68</v>
      </c>
    </row>
    <row r="103" spans="1:12" ht="12.75" customHeight="1">
      <c r="A103" s="19">
        <v>101</v>
      </c>
      <c r="B103" s="48">
        <v>75.13</v>
      </c>
      <c r="C103" s="48">
        <v>76.02</v>
      </c>
      <c r="D103" s="49">
        <v>82.5</v>
      </c>
      <c r="E103" s="49">
        <v>90.24</v>
      </c>
      <c r="F103" s="49">
        <v>106.22</v>
      </c>
      <c r="G103" s="49">
        <v>117.89</v>
      </c>
      <c r="H103" s="49">
        <v>129.85</v>
      </c>
      <c r="I103" s="49">
        <v>446.22</v>
      </c>
      <c r="J103" s="49">
        <v>446.22</v>
      </c>
      <c r="K103" s="50">
        <v>156.05000000000001</v>
      </c>
      <c r="L103" s="76">
        <v>237.69</v>
      </c>
    </row>
    <row r="104" spans="1:12" ht="12.75" customHeight="1">
      <c r="A104" s="23">
        <v>102</v>
      </c>
      <c r="B104" s="51">
        <v>75.849999999999994</v>
      </c>
      <c r="C104" s="51">
        <v>76.03</v>
      </c>
      <c r="D104" s="52">
        <v>83.28</v>
      </c>
      <c r="E104" s="52">
        <v>90.25</v>
      </c>
      <c r="F104" s="52">
        <v>106.23</v>
      </c>
      <c r="G104" s="52">
        <v>117.9</v>
      </c>
      <c r="H104" s="52">
        <v>129.86000000000001</v>
      </c>
      <c r="I104" s="52">
        <v>446.23</v>
      </c>
      <c r="J104" s="52">
        <v>446.23</v>
      </c>
      <c r="K104" s="53">
        <v>156.06</v>
      </c>
      <c r="L104" s="76">
        <v>237.72</v>
      </c>
    </row>
    <row r="105" spans="1:12" ht="12.75" customHeight="1">
      <c r="A105" s="23">
        <v>103</v>
      </c>
      <c r="B105" s="51">
        <v>76.849999999999994</v>
      </c>
      <c r="C105" s="51">
        <v>77.92</v>
      </c>
      <c r="D105" s="52">
        <v>85</v>
      </c>
      <c r="E105" s="52">
        <v>90.78</v>
      </c>
      <c r="F105" s="52">
        <v>106.5</v>
      </c>
      <c r="G105" s="52">
        <v>117.91</v>
      </c>
      <c r="H105" s="52">
        <v>129.87</v>
      </c>
      <c r="I105" s="52">
        <v>446.24</v>
      </c>
      <c r="J105" s="52">
        <v>446.24</v>
      </c>
      <c r="K105" s="53">
        <v>156.1</v>
      </c>
      <c r="L105" s="76">
        <v>237.73</v>
      </c>
    </row>
    <row r="106" spans="1:12" ht="12.75" customHeight="1">
      <c r="A106" s="23">
        <v>104</v>
      </c>
      <c r="B106" s="51">
        <v>76.86</v>
      </c>
      <c r="C106" s="51">
        <v>77.930000000000007</v>
      </c>
      <c r="D106" s="52">
        <v>85.21</v>
      </c>
      <c r="E106" s="52">
        <v>90.88</v>
      </c>
      <c r="F106" s="52">
        <v>106.51</v>
      </c>
      <c r="G106" s="52">
        <v>117.92</v>
      </c>
      <c r="H106" s="52">
        <v>129.88</v>
      </c>
      <c r="I106" s="52">
        <v>446.28</v>
      </c>
      <c r="J106" s="52">
        <v>446.28</v>
      </c>
      <c r="K106" s="53">
        <v>156.11000000000001</v>
      </c>
      <c r="L106" s="76">
        <v>237.76</v>
      </c>
    </row>
    <row r="107" spans="1:12" ht="12.75" customHeight="1">
      <c r="A107" s="23">
        <v>105</v>
      </c>
      <c r="B107" s="54">
        <v>79.61</v>
      </c>
      <c r="C107" s="54">
        <v>80.23</v>
      </c>
      <c r="D107" s="55">
        <v>87.02</v>
      </c>
      <c r="E107" s="55">
        <v>93.64</v>
      </c>
      <c r="F107" s="55">
        <v>109.15</v>
      </c>
      <c r="G107" s="55">
        <v>120.66</v>
      </c>
      <c r="H107" s="55">
        <v>133.08000000000001</v>
      </c>
      <c r="I107" s="55">
        <v>446.29</v>
      </c>
      <c r="J107" s="55">
        <v>446.29</v>
      </c>
      <c r="K107" s="56">
        <v>157.59</v>
      </c>
      <c r="L107" s="77">
        <v>237.77</v>
      </c>
    </row>
    <row r="108" spans="1:12" ht="12.75" customHeight="1">
      <c r="A108" s="9">
        <v>106</v>
      </c>
      <c r="B108" s="42">
        <v>80.16</v>
      </c>
      <c r="C108" s="42">
        <v>80.239999999999995</v>
      </c>
      <c r="D108" s="42">
        <v>87.03</v>
      </c>
      <c r="E108" s="42">
        <v>93.65</v>
      </c>
      <c r="F108" s="42">
        <v>109.16</v>
      </c>
      <c r="G108" s="42">
        <v>120.68</v>
      </c>
      <c r="H108" s="42">
        <v>133.09</v>
      </c>
      <c r="I108" s="42">
        <v>454.33</v>
      </c>
      <c r="J108" s="42">
        <v>454.33</v>
      </c>
      <c r="K108" s="43">
        <v>158.94999999999999</v>
      </c>
      <c r="L108" s="78">
        <v>243.36</v>
      </c>
    </row>
    <row r="109" spans="1:12" ht="12.75" customHeight="1">
      <c r="A109" s="33">
        <v>107</v>
      </c>
      <c r="B109" s="44">
        <v>80.58</v>
      </c>
      <c r="C109" s="44">
        <v>81.36</v>
      </c>
      <c r="D109" s="44">
        <v>88.19</v>
      </c>
      <c r="E109" s="44">
        <v>94.66</v>
      </c>
      <c r="F109" s="44">
        <v>109.17</v>
      </c>
      <c r="G109" s="44">
        <v>121.58</v>
      </c>
      <c r="H109" s="44">
        <v>134.13</v>
      </c>
      <c r="I109" s="44">
        <v>454.34</v>
      </c>
      <c r="J109" s="44">
        <v>454.34</v>
      </c>
      <c r="K109" s="45">
        <v>158.96</v>
      </c>
      <c r="L109" s="78">
        <v>243.37</v>
      </c>
    </row>
    <row r="110" spans="1:12" ht="12.75" customHeight="1">
      <c r="A110" s="33">
        <v>108</v>
      </c>
      <c r="B110" s="44">
        <v>81.73</v>
      </c>
      <c r="C110" s="44">
        <v>82.25</v>
      </c>
      <c r="D110" s="44">
        <v>89.04</v>
      </c>
      <c r="E110" s="44">
        <v>94.67</v>
      </c>
      <c r="F110" s="44">
        <v>110.14</v>
      </c>
      <c r="G110" s="44">
        <v>121.59</v>
      </c>
      <c r="H110" s="44">
        <v>134.15</v>
      </c>
      <c r="I110" s="44">
        <v>458.5</v>
      </c>
      <c r="J110" s="44">
        <v>458.5</v>
      </c>
      <c r="K110" s="45">
        <v>158.99</v>
      </c>
      <c r="L110" s="78">
        <v>243.39</v>
      </c>
    </row>
    <row r="111" spans="1:12" ht="12.75" customHeight="1">
      <c r="A111" s="33">
        <v>109</v>
      </c>
      <c r="B111" s="44">
        <v>84.2</v>
      </c>
      <c r="C111" s="44">
        <v>84.22</v>
      </c>
      <c r="D111" s="44">
        <v>90.14</v>
      </c>
      <c r="E111" s="44">
        <v>96.5</v>
      </c>
      <c r="F111" s="44">
        <v>111.1</v>
      </c>
      <c r="G111" s="44">
        <v>123.77</v>
      </c>
      <c r="H111" s="44">
        <v>136.59</v>
      </c>
      <c r="I111" s="44">
        <v>466.77</v>
      </c>
      <c r="J111" s="44">
        <v>466.77</v>
      </c>
      <c r="K111" s="45">
        <v>159</v>
      </c>
      <c r="L111" s="78">
        <v>243.4</v>
      </c>
    </row>
    <row r="112" spans="1:12" ht="12.75" customHeight="1">
      <c r="A112" s="16">
        <v>110</v>
      </c>
      <c r="B112" s="46">
        <v>85.65</v>
      </c>
      <c r="C112" s="46">
        <v>86.24</v>
      </c>
      <c r="D112" s="46">
        <v>92.05</v>
      </c>
      <c r="E112" s="46">
        <v>98.36</v>
      </c>
      <c r="F112" s="46">
        <v>114.18</v>
      </c>
      <c r="G112" s="46">
        <v>126.08</v>
      </c>
      <c r="H112" s="46">
        <v>139.12</v>
      </c>
      <c r="I112" s="46">
        <v>470.7</v>
      </c>
      <c r="J112" s="46">
        <v>470.7</v>
      </c>
      <c r="K112" s="47">
        <v>159.02000000000001</v>
      </c>
      <c r="L112" s="79">
        <v>243.42</v>
      </c>
    </row>
    <row r="113" spans="1:26" ht="12.75" customHeight="1">
      <c r="A113" s="35">
        <v>111</v>
      </c>
      <c r="B113" s="48">
        <v>85.66</v>
      </c>
      <c r="C113" s="48">
        <v>86.37</v>
      </c>
      <c r="D113" s="49">
        <v>94.08</v>
      </c>
      <c r="E113" s="49">
        <v>99.31</v>
      </c>
      <c r="F113" s="49">
        <v>114.19</v>
      </c>
      <c r="G113" s="49">
        <v>126.98</v>
      </c>
      <c r="H113" s="49">
        <v>140.77000000000001</v>
      </c>
      <c r="I113" s="49">
        <v>476.08</v>
      </c>
      <c r="J113" s="49">
        <v>476.08</v>
      </c>
      <c r="K113" s="50">
        <v>163.75</v>
      </c>
      <c r="L113" s="76">
        <v>252.94</v>
      </c>
    </row>
    <row r="114" spans="1:26" ht="12.75" customHeight="1">
      <c r="A114" s="23">
        <v>112</v>
      </c>
      <c r="B114" s="51">
        <v>86.67</v>
      </c>
      <c r="C114" s="51">
        <v>88.15</v>
      </c>
      <c r="D114" s="52">
        <v>94.09</v>
      </c>
      <c r="E114" s="52">
        <v>99.32</v>
      </c>
      <c r="F114" s="52">
        <v>115.09</v>
      </c>
      <c r="G114" s="52">
        <v>126.99</v>
      </c>
      <c r="H114" s="52">
        <v>140.78</v>
      </c>
      <c r="I114" s="52">
        <v>481.45</v>
      </c>
      <c r="J114" s="52">
        <v>481.45</v>
      </c>
      <c r="K114" s="53">
        <v>163.76</v>
      </c>
      <c r="L114" s="76">
        <v>252.95</v>
      </c>
    </row>
    <row r="115" spans="1:26" ht="12.75" customHeight="1">
      <c r="A115" s="23">
        <v>113</v>
      </c>
      <c r="B115" s="51">
        <v>86.68</v>
      </c>
      <c r="C115" s="51">
        <v>88.16</v>
      </c>
      <c r="D115" s="52">
        <v>95.12</v>
      </c>
      <c r="E115" s="52">
        <v>100.24</v>
      </c>
      <c r="F115" s="52">
        <v>115.11</v>
      </c>
      <c r="G115" s="52">
        <v>127</v>
      </c>
      <c r="H115" s="52">
        <v>142</v>
      </c>
      <c r="I115" s="52">
        <v>485.62</v>
      </c>
      <c r="J115" s="52">
        <v>485.62</v>
      </c>
      <c r="K115" s="53">
        <v>163.77000000000001</v>
      </c>
      <c r="L115" s="76">
        <v>253</v>
      </c>
    </row>
    <row r="116" spans="1:26" ht="12.75" customHeight="1">
      <c r="A116" s="23">
        <v>114</v>
      </c>
      <c r="B116" s="51">
        <v>87.59</v>
      </c>
      <c r="C116" s="51">
        <v>90.05</v>
      </c>
      <c r="D116" s="52">
        <v>97.11</v>
      </c>
      <c r="E116" s="52">
        <v>102.19</v>
      </c>
      <c r="F116" s="52">
        <v>118.16</v>
      </c>
      <c r="G116" s="52">
        <v>130.18</v>
      </c>
      <c r="H116" s="52">
        <v>144.26</v>
      </c>
      <c r="I116" s="52">
        <v>489.84</v>
      </c>
      <c r="J116" s="52">
        <v>489.84</v>
      </c>
      <c r="K116" s="53">
        <v>163.78</v>
      </c>
      <c r="L116" s="76">
        <v>253.01</v>
      </c>
    </row>
    <row r="117" spans="1:26" ht="12.75" customHeight="1">
      <c r="A117" s="27">
        <v>115</v>
      </c>
      <c r="B117" s="54">
        <v>90.25</v>
      </c>
      <c r="C117" s="54">
        <v>91.4</v>
      </c>
      <c r="D117" s="55">
        <v>97.14</v>
      </c>
      <c r="E117" s="55">
        <v>103.43</v>
      </c>
      <c r="F117" s="55">
        <v>118.18</v>
      </c>
      <c r="G117" s="55">
        <v>131.41999999999999</v>
      </c>
      <c r="H117" s="55">
        <v>144.32</v>
      </c>
      <c r="I117" s="55">
        <v>494.01</v>
      </c>
      <c r="J117" s="55">
        <v>494.01</v>
      </c>
      <c r="K117" s="56">
        <v>163.82</v>
      </c>
      <c r="L117" s="77">
        <v>253.03</v>
      </c>
    </row>
    <row r="118" spans="1:26" ht="12.75" customHeight="1">
      <c r="A118" s="5">
        <v>116</v>
      </c>
      <c r="B118" s="57">
        <v>90.26</v>
      </c>
      <c r="C118" s="57">
        <v>91.41</v>
      </c>
      <c r="D118" s="57">
        <v>98.33</v>
      </c>
      <c r="E118" s="57">
        <v>103.45</v>
      </c>
      <c r="F118" s="57">
        <v>119.91</v>
      </c>
      <c r="G118" s="57">
        <v>133.07</v>
      </c>
      <c r="H118" s="57">
        <v>146.56</v>
      </c>
      <c r="I118" s="57">
        <v>494.02</v>
      </c>
      <c r="J118" s="57">
        <v>494.02</v>
      </c>
      <c r="K118" s="58">
        <v>168.1</v>
      </c>
      <c r="L118" s="80">
        <v>262.54000000000002</v>
      </c>
    </row>
    <row r="119" spans="1:26" ht="12.75" customHeight="1">
      <c r="A119" s="9">
        <v>117</v>
      </c>
      <c r="B119" s="42">
        <v>90.35</v>
      </c>
      <c r="C119" s="42">
        <v>92.29</v>
      </c>
      <c r="D119" s="42">
        <v>99.27</v>
      </c>
      <c r="E119" s="42">
        <v>104.83</v>
      </c>
      <c r="F119" s="42">
        <v>119.92</v>
      </c>
      <c r="G119" s="42">
        <v>133.08000000000001</v>
      </c>
      <c r="H119" s="42">
        <v>147.51</v>
      </c>
      <c r="I119" s="42">
        <v>496.38</v>
      </c>
      <c r="J119" s="42">
        <v>496.38</v>
      </c>
      <c r="K119" s="43">
        <v>168.12</v>
      </c>
      <c r="L119" s="81">
        <v>262.56</v>
      </c>
    </row>
    <row r="120" spans="1:26" ht="12.75" customHeight="1">
      <c r="A120" s="13">
        <v>118</v>
      </c>
      <c r="B120" s="44">
        <v>91.32</v>
      </c>
      <c r="C120" s="44">
        <v>93.38</v>
      </c>
      <c r="D120" s="44">
        <v>99.36</v>
      </c>
      <c r="E120" s="44">
        <v>105.14</v>
      </c>
      <c r="F120" s="44">
        <v>120.8</v>
      </c>
      <c r="G120" s="44">
        <v>133.09</v>
      </c>
      <c r="H120" s="44">
        <v>150.04</v>
      </c>
      <c r="I120" s="44">
        <v>500.3</v>
      </c>
      <c r="J120" s="44">
        <v>500.3</v>
      </c>
      <c r="K120" s="45">
        <v>168.13</v>
      </c>
      <c r="L120" s="82">
        <v>262.57</v>
      </c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>
      <c r="A121" s="13">
        <v>119</v>
      </c>
      <c r="B121" s="44">
        <v>94.03</v>
      </c>
      <c r="C121" s="44">
        <v>95.29</v>
      </c>
      <c r="D121" s="44">
        <v>102.31</v>
      </c>
      <c r="E121" s="44">
        <v>106.73</v>
      </c>
      <c r="F121" s="44">
        <v>120.81</v>
      </c>
      <c r="G121" s="44">
        <v>134.13</v>
      </c>
      <c r="H121" s="44">
        <v>150.05000000000001</v>
      </c>
      <c r="I121" s="44">
        <v>512.32000000000005</v>
      </c>
      <c r="J121" s="44">
        <v>512.32000000000005</v>
      </c>
      <c r="K121" s="45">
        <v>168.15</v>
      </c>
      <c r="L121" s="78">
        <v>262.58</v>
      </c>
    </row>
    <row r="122" spans="1:26" ht="12.75" customHeight="1">
      <c r="A122" s="16">
        <v>120</v>
      </c>
      <c r="B122" s="46">
        <v>96.59</v>
      </c>
      <c r="C122" s="46">
        <v>96.66</v>
      </c>
      <c r="D122" s="46">
        <v>102.46</v>
      </c>
      <c r="E122" s="46">
        <v>107.46</v>
      </c>
      <c r="F122" s="46">
        <v>122.92</v>
      </c>
      <c r="G122" s="46">
        <v>135.88999999999999</v>
      </c>
      <c r="H122" s="46">
        <v>150.06</v>
      </c>
      <c r="I122" s="46">
        <v>516.52</v>
      </c>
      <c r="J122" s="46">
        <v>516.52</v>
      </c>
      <c r="K122" s="47">
        <v>168.16</v>
      </c>
      <c r="L122" s="79">
        <v>262.58999999999997</v>
      </c>
    </row>
    <row r="123" spans="1:26" ht="12.75" customHeight="1">
      <c r="A123" s="19">
        <v>121</v>
      </c>
      <c r="B123" s="48">
        <v>96.6</v>
      </c>
      <c r="C123" s="48">
        <v>96.68</v>
      </c>
      <c r="D123" s="49">
        <v>102.47</v>
      </c>
      <c r="E123" s="49">
        <v>107.48</v>
      </c>
      <c r="F123" s="49">
        <v>123.7</v>
      </c>
      <c r="G123" s="49">
        <v>135.91</v>
      </c>
      <c r="H123" s="49">
        <v>150.07</v>
      </c>
      <c r="I123" s="49">
        <v>519.97</v>
      </c>
      <c r="J123" s="49">
        <v>519.97</v>
      </c>
      <c r="K123" s="50">
        <v>172.03</v>
      </c>
      <c r="L123" s="83">
        <v>272.08</v>
      </c>
    </row>
    <row r="124" spans="1:26" ht="12.75" customHeight="1">
      <c r="A124" s="23">
        <v>122</v>
      </c>
      <c r="B124" s="51">
        <v>96.61</v>
      </c>
      <c r="C124" s="51">
        <v>98.54</v>
      </c>
      <c r="D124" s="52">
        <v>103.48</v>
      </c>
      <c r="E124" s="52">
        <v>108.45</v>
      </c>
      <c r="F124" s="52">
        <v>124.67</v>
      </c>
      <c r="G124" s="52">
        <v>138.05000000000001</v>
      </c>
      <c r="H124" s="52">
        <v>152.69999999999999</v>
      </c>
      <c r="I124" s="52">
        <v>524.37</v>
      </c>
      <c r="J124" s="52">
        <v>524.37</v>
      </c>
      <c r="K124" s="53">
        <v>172.05</v>
      </c>
      <c r="L124" s="76">
        <v>272.10000000000002</v>
      </c>
    </row>
    <row r="125" spans="1:26" ht="12.75" customHeight="1">
      <c r="A125" s="19">
        <v>123</v>
      </c>
      <c r="B125" s="51">
        <v>97.48</v>
      </c>
      <c r="C125" s="51">
        <v>98.63</v>
      </c>
      <c r="D125" s="52">
        <v>106.58</v>
      </c>
      <c r="E125" s="52">
        <v>111.41</v>
      </c>
      <c r="F125" s="52">
        <v>125.64</v>
      </c>
      <c r="G125" s="52">
        <v>140.59</v>
      </c>
      <c r="H125" s="52">
        <v>154.79</v>
      </c>
      <c r="I125" s="52">
        <v>524.38</v>
      </c>
      <c r="J125" s="52">
        <v>524.38</v>
      </c>
      <c r="K125" s="53">
        <v>172.06</v>
      </c>
      <c r="L125" s="76">
        <v>272.11</v>
      </c>
    </row>
    <row r="126" spans="1:26" ht="12.75" customHeight="1">
      <c r="A126" s="19">
        <v>124</v>
      </c>
      <c r="B126" s="51">
        <v>97.49</v>
      </c>
      <c r="C126" s="51">
        <v>99.61</v>
      </c>
      <c r="D126" s="52">
        <v>107.7</v>
      </c>
      <c r="E126" s="52">
        <v>111.42</v>
      </c>
      <c r="F126" s="52">
        <v>126.47</v>
      </c>
      <c r="G126" s="52">
        <v>140.6</v>
      </c>
      <c r="H126" s="52">
        <v>154.80000000000001</v>
      </c>
      <c r="I126" s="52">
        <v>533.24</v>
      </c>
      <c r="J126" s="52">
        <v>533.24</v>
      </c>
      <c r="K126" s="53">
        <v>172.07</v>
      </c>
      <c r="L126" s="76">
        <v>272.16000000000003</v>
      </c>
    </row>
    <row r="127" spans="1:26" ht="12.75" customHeight="1">
      <c r="A127" s="27">
        <v>125</v>
      </c>
      <c r="B127" s="54">
        <v>98.42</v>
      </c>
      <c r="C127" s="54">
        <v>99.62</v>
      </c>
      <c r="D127" s="55">
        <v>107.71</v>
      </c>
      <c r="E127" s="55">
        <v>111.43</v>
      </c>
      <c r="F127" s="55">
        <v>126.48</v>
      </c>
      <c r="G127" s="55">
        <v>140.61000000000001</v>
      </c>
      <c r="H127" s="55">
        <v>154.81</v>
      </c>
      <c r="I127" s="55">
        <v>537.70000000000005</v>
      </c>
      <c r="J127" s="55">
        <v>537.70000000000005</v>
      </c>
      <c r="K127" s="56">
        <v>172.08</v>
      </c>
      <c r="L127" s="77">
        <v>272.17</v>
      </c>
    </row>
    <row r="128" spans="1:26" ht="12.75" customHeight="1">
      <c r="A128" s="13">
        <v>126</v>
      </c>
      <c r="B128" s="42">
        <v>100.39</v>
      </c>
      <c r="C128" s="42">
        <v>100.59</v>
      </c>
      <c r="D128" s="42">
        <v>108.81</v>
      </c>
      <c r="E128" s="42">
        <v>111.44</v>
      </c>
      <c r="F128" s="42">
        <v>127.23</v>
      </c>
      <c r="G128" s="42">
        <v>140.62</v>
      </c>
      <c r="H128" s="42">
        <v>160.27000000000001</v>
      </c>
      <c r="I128" s="42">
        <v>541.04</v>
      </c>
      <c r="J128" s="42">
        <v>541.04</v>
      </c>
      <c r="K128" s="43">
        <v>175.55</v>
      </c>
      <c r="L128" s="78">
        <v>281.77</v>
      </c>
    </row>
    <row r="129" spans="1:12" ht="12.75" customHeight="1">
      <c r="A129" s="13">
        <v>127</v>
      </c>
      <c r="B129" s="44">
        <v>100.4</v>
      </c>
      <c r="C129" s="44">
        <v>102.33</v>
      </c>
      <c r="D129" s="44">
        <v>110.92</v>
      </c>
      <c r="E129" s="44">
        <v>113.97</v>
      </c>
      <c r="F129" s="44">
        <v>130.13</v>
      </c>
      <c r="G129" s="44">
        <v>143.16</v>
      </c>
      <c r="H129" s="44">
        <v>160.28</v>
      </c>
      <c r="I129" s="44">
        <v>545.42999999999995</v>
      </c>
      <c r="J129" s="44">
        <v>545.42999999999995</v>
      </c>
      <c r="K129" s="45">
        <v>175.56</v>
      </c>
      <c r="L129" s="78">
        <v>281.82</v>
      </c>
    </row>
    <row r="130" spans="1:12" ht="12.75" customHeight="1">
      <c r="A130" s="13">
        <v>128</v>
      </c>
      <c r="B130" s="44">
        <v>101.34</v>
      </c>
      <c r="C130" s="44">
        <v>102.34</v>
      </c>
      <c r="D130" s="44">
        <v>110.93</v>
      </c>
      <c r="E130" s="44">
        <v>113.99</v>
      </c>
      <c r="F130" s="44">
        <v>130.13999999999999</v>
      </c>
      <c r="G130" s="44">
        <v>143.16999999999999</v>
      </c>
      <c r="H130" s="44">
        <v>161.13999999999999</v>
      </c>
      <c r="I130" s="44">
        <v>549.87</v>
      </c>
      <c r="J130" s="44">
        <v>549.87</v>
      </c>
      <c r="K130" s="45">
        <v>175.58</v>
      </c>
      <c r="L130" s="78">
        <v>281.83</v>
      </c>
    </row>
    <row r="131" spans="1:12" ht="12.75" customHeight="1">
      <c r="A131" s="13">
        <v>129</v>
      </c>
      <c r="B131" s="44">
        <v>103.27</v>
      </c>
      <c r="C131" s="44">
        <v>103.66</v>
      </c>
      <c r="D131" s="44">
        <v>110.97</v>
      </c>
      <c r="E131" s="44">
        <v>114.77</v>
      </c>
      <c r="F131" s="44">
        <v>130.15</v>
      </c>
      <c r="G131" s="44">
        <v>143.19</v>
      </c>
      <c r="H131" s="44">
        <v>162.69</v>
      </c>
      <c r="I131" s="44">
        <v>549.88</v>
      </c>
      <c r="J131" s="44">
        <v>549.88</v>
      </c>
      <c r="K131" s="45">
        <v>175.59</v>
      </c>
      <c r="L131" s="78">
        <v>281.83999999999997</v>
      </c>
    </row>
    <row r="132" spans="1:12" ht="12.75" customHeight="1">
      <c r="A132" s="13">
        <v>130</v>
      </c>
      <c r="B132" s="46">
        <v>103.67</v>
      </c>
      <c r="C132" s="46">
        <v>103.69</v>
      </c>
      <c r="D132" s="46">
        <v>111.97</v>
      </c>
      <c r="E132" s="46">
        <v>114.78</v>
      </c>
      <c r="F132" s="46">
        <v>131.09</v>
      </c>
      <c r="G132" s="46">
        <v>145.05000000000001</v>
      </c>
      <c r="H132" s="46">
        <v>166.42</v>
      </c>
      <c r="I132" s="46">
        <v>569.5</v>
      </c>
      <c r="J132" s="46">
        <v>569.5</v>
      </c>
      <c r="K132" s="47">
        <v>175.61</v>
      </c>
      <c r="L132" s="79">
        <v>281.86</v>
      </c>
    </row>
    <row r="133" spans="1:12" ht="12.75" customHeight="1">
      <c r="A133" s="31">
        <v>131</v>
      </c>
      <c r="B133" s="48">
        <v>104.24</v>
      </c>
      <c r="C133" s="48">
        <v>105.31</v>
      </c>
      <c r="D133" s="49">
        <v>114.1</v>
      </c>
      <c r="E133" s="49">
        <v>116.65</v>
      </c>
      <c r="F133" s="49">
        <v>133.02000000000001</v>
      </c>
      <c r="G133" s="49">
        <v>146.41999999999999</v>
      </c>
      <c r="H133" s="49">
        <v>167.18</v>
      </c>
      <c r="I133" s="49">
        <v>569.51</v>
      </c>
      <c r="J133" s="49">
        <v>569.51</v>
      </c>
      <c r="K133" s="50">
        <v>179.37</v>
      </c>
      <c r="L133" s="76">
        <v>289.47000000000003</v>
      </c>
    </row>
    <row r="134" spans="1:12" ht="12.75" customHeight="1">
      <c r="A134" s="19">
        <v>132</v>
      </c>
      <c r="B134" s="51">
        <v>105.34</v>
      </c>
      <c r="C134" s="51">
        <v>105.35</v>
      </c>
      <c r="D134" s="52">
        <v>114.11</v>
      </c>
      <c r="E134" s="52">
        <v>117.43</v>
      </c>
      <c r="F134" s="52">
        <v>133.03</v>
      </c>
      <c r="G134" s="52">
        <v>146.43</v>
      </c>
      <c r="H134" s="52">
        <v>167.19</v>
      </c>
      <c r="I134" s="52">
        <v>574.62</v>
      </c>
      <c r="J134" s="52">
        <v>574.62</v>
      </c>
      <c r="K134" s="53">
        <v>179.38</v>
      </c>
      <c r="L134" s="76">
        <v>289.49</v>
      </c>
    </row>
    <row r="135" spans="1:12" ht="12.75" customHeight="1">
      <c r="A135" s="19">
        <v>133</v>
      </c>
      <c r="B135" s="51">
        <v>106.23</v>
      </c>
      <c r="C135" s="51">
        <v>106.52</v>
      </c>
      <c r="D135" s="52">
        <v>114.12</v>
      </c>
      <c r="E135" s="52">
        <v>117.44</v>
      </c>
      <c r="F135" s="52">
        <v>133.72</v>
      </c>
      <c r="G135" s="52">
        <v>146.44</v>
      </c>
      <c r="H135" s="52">
        <v>167.2</v>
      </c>
      <c r="I135" s="52">
        <v>578.08000000000004</v>
      </c>
      <c r="J135" s="52">
        <v>578.08000000000004</v>
      </c>
      <c r="K135" s="53">
        <v>179.39</v>
      </c>
      <c r="L135" s="76">
        <v>289.5</v>
      </c>
    </row>
    <row r="136" spans="1:12" ht="12.75" customHeight="1">
      <c r="A136" s="19">
        <v>134</v>
      </c>
      <c r="B136" s="51">
        <v>108.22</v>
      </c>
      <c r="C136" s="51">
        <v>108.34</v>
      </c>
      <c r="D136" s="52">
        <v>116.37</v>
      </c>
      <c r="E136" s="52">
        <v>119.55</v>
      </c>
      <c r="F136" s="52">
        <v>136.03</v>
      </c>
      <c r="G136" s="52">
        <v>148.84</v>
      </c>
      <c r="H136" s="52">
        <v>167.22</v>
      </c>
      <c r="I136" s="52">
        <v>578.1</v>
      </c>
      <c r="J136" s="52">
        <v>578.1</v>
      </c>
      <c r="K136" s="53">
        <v>179.41</v>
      </c>
      <c r="L136" s="76">
        <v>289.51</v>
      </c>
    </row>
    <row r="137" spans="1:12" ht="12.75" customHeight="1">
      <c r="A137" s="19">
        <v>135</v>
      </c>
      <c r="B137" s="54">
        <v>109.04</v>
      </c>
      <c r="C137" s="54">
        <v>110.48</v>
      </c>
      <c r="D137" s="55">
        <v>118.49</v>
      </c>
      <c r="E137" s="55">
        <v>121.67</v>
      </c>
      <c r="F137" s="55">
        <v>137.69999999999999</v>
      </c>
      <c r="G137" s="55">
        <v>149.63</v>
      </c>
      <c r="H137" s="55">
        <v>168.04</v>
      </c>
      <c r="I137" s="55">
        <v>582.47</v>
      </c>
      <c r="J137" s="55">
        <v>582.47</v>
      </c>
      <c r="K137" s="56">
        <v>179.42</v>
      </c>
      <c r="L137" s="77">
        <v>289.52</v>
      </c>
    </row>
    <row r="138" spans="1:12" ht="12.75" customHeight="1">
      <c r="A138" s="32">
        <v>136</v>
      </c>
      <c r="B138" s="42">
        <v>109.84</v>
      </c>
      <c r="C138" s="42">
        <v>110.49</v>
      </c>
      <c r="D138" s="42">
        <v>119.29</v>
      </c>
      <c r="E138" s="42">
        <v>122.73</v>
      </c>
      <c r="F138" s="42">
        <v>137.72</v>
      </c>
      <c r="G138" s="42">
        <v>151.94999999999999</v>
      </c>
      <c r="H138" s="42">
        <v>169.19</v>
      </c>
      <c r="I138" s="42">
        <v>586.9</v>
      </c>
      <c r="J138" s="42">
        <v>586.9</v>
      </c>
      <c r="K138" s="43">
        <v>183.07</v>
      </c>
      <c r="L138" s="78">
        <v>298.77999999999997</v>
      </c>
    </row>
    <row r="139" spans="1:12" ht="12.75" customHeight="1">
      <c r="A139" s="13">
        <v>137</v>
      </c>
      <c r="B139" s="44">
        <v>109.86</v>
      </c>
      <c r="C139" s="44">
        <v>110.76</v>
      </c>
      <c r="D139" s="44">
        <v>122.45</v>
      </c>
      <c r="E139" s="44">
        <v>123.63</v>
      </c>
      <c r="F139" s="44">
        <v>137.72999999999999</v>
      </c>
      <c r="G139" s="44">
        <v>151.96</v>
      </c>
      <c r="H139" s="44">
        <v>169.2</v>
      </c>
      <c r="I139" s="44">
        <v>602.66</v>
      </c>
      <c r="J139" s="44">
        <v>602.66</v>
      </c>
      <c r="K139" s="45">
        <v>183.08</v>
      </c>
      <c r="L139" s="78">
        <v>298.79000000000002</v>
      </c>
    </row>
    <row r="140" spans="1:12" ht="12.75" customHeight="1">
      <c r="A140" s="13">
        <v>138</v>
      </c>
      <c r="B140" s="44">
        <v>111.9</v>
      </c>
      <c r="C140" s="44">
        <v>113.58</v>
      </c>
      <c r="D140" s="44">
        <v>123.04</v>
      </c>
      <c r="E140" s="44">
        <v>124.65</v>
      </c>
      <c r="F140" s="44">
        <v>140.55000000000001</v>
      </c>
      <c r="G140" s="44">
        <v>153.25</v>
      </c>
      <c r="H140" s="44">
        <v>173.84</v>
      </c>
      <c r="I140" s="44">
        <v>605.86</v>
      </c>
      <c r="J140" s="44">
        <v>605.86</v>
      </c>
      <c r="K140" s="45">
        <v>183.1</v>
      </c>
      <c r="L140" s="78">
        <v>298.8</v>
      </c>
    </row>
    <row r="141" spans="1:12" ht="12.75" customHeight="1">
      <c r="A141" s="13">
        <v>139</v>
      </c>
      <c r="B141" s="44">
        <v>113.98</v>
      </c>
      <c r="C141" s="44">
        <v>113.99</v>
      </c>
      <c r="D141" s="44">
        <v>123.08</v>
      </c>
      <c r="E141" s="44">
        <v>124.67</v>
      </c>
      <c r="F141" s="44">
        <v>140.57</v>
      </c>
      <c r="G141" s="44">
        <v>156.1</v>
      </c>
      <c r="H141" s="44">
        <v>173.88</v>
      </c>
      <c r="I141" s="44">
        <v>605.87</v>
      </c>
      <c r="J141" s="44">
        <v>605.87</v>
      </c>
      <c r="K141" s="45">
        <v>183.11</v>
      </c>
      <c r="L141" s="78">
        <v>298.81</v>
      </c>
    </row>
    <row r="142" spans="1:12" ht="12.75" customHeight="1">
      <c r="A142" s="16">
        <v>140</v>
      </c>
      <c r="B142" s="46">
        <v>114.93</v>
      </c>
      <c r="C142" s="46">
        <v>115.82</v>
      </c>
      <c r="D142" s="46">
        <v>124.29</v>
      </c>
      <c r="E142" s="46">
        <v>126.62</v>
      </c>
      <c r="F142" s="46">
        <v>142.07</v>
      </c>
      <c r="G142" s="46">
        <v>156.11000000000001</v>
      </c>
      <c r="H142" s="46">
        <v>173.89</v>
      </c>
      <c r="I142" s="46">
        <v>605.88</v>
      </c>
      <c r="J142" s="46">
        <v>605.88</v>
      </c>
      <c r="K142" s="47">
        <v>183.12</v>
      </c>
      <c r="L142" s="79">
        <v>298.83</v>
      </c>
    </row>
    <row r="143" spans="1:12" ht="12.75" customHeight="1">
      <c r="A143" s="19">
        <v>141</v>
      </c>
      <c r="B143" s="48">
        <v>114.94</v>
      </c>
      <c r="C143" s="48">
        <v>115.83</v>
      </c>
      <c r="D143" s="49">
        <v>125.38</v>
      </c>
      <c r="E143" s="49">
        <v>126.64</v>
      </c>
      <c r="F143" s="49">
        <v>142.08000000000001</v>
      </c>
      <c r="G143" s="49">
        <v>156.12</v>
      </c>
      <c r="H143" s="49">
        <v>175.54</v>
      </c>
      <c r="I143" s="49">
        <v>605.89</v>
      </c>
      <c r="J143" s="49">
        <v>605.89</v>
      </c>
      <c r="K143" s="50">
        <v>186.55</v>
      </c>
      <c r="L143" s="76">
        <v>308.83999999999997</v>
      </c>
    </row>
    <row r="144" spans="1:12" ht="12.75" customHeight="1">
      <c r="A144" s="23">
        <v>142</v>
      </c>
      <c r="B144" s="51">
        <v>116.41</v>
      </c>
      <c r="C144" s="51">
        <v>116.42</v>
      </c>
      <c r="D144" s="52">
        <v>126.49</v>
      </c>
      <c r="E144" s="52">
        <v>128.66</v>
      </c>
      <c r="F144" s="52">
        <v>144.19999999999999</v>
      </c>
      <c r="G144" s="52">
        <v>156.83000000000001</v>
      </c>
      <c r="H144" s="52">
        <v>175.55</v>
      </c>
      <c r="I144" s="52">
        <v>611.80999999999995</v>
      </c>
      <c r="J144" s="52">
        <v>611.80999999999995</v>
      </c>
      <c r="K144" s="53">
        <v>186.56</v>
      </c>
      <c r="L144" s="76">
        <v>308.85000000000002</v>
      </c>
    </row>
    <row r="145" spans="1:12" ht="12.75" customHeight="1">
      <c r="A145" s="23">
        <v>143</v>
      </c>
      <c r="B145" s="51">
        <v>116.42</v>
      </c>
      <c r="C145" s="51">
        <v>116.43</v>
      </c>
      <c r="D145" s="52">
        <v>126.5</v>
      </c>
      <c r="E145" s="52">
        <v>128.66999999999999</v>
      </c>
      <c r="F145" s="52">
        <v>144.21</v>
      </c>
      <c r="G145" s="52">
        <v>156.84</v>
      </c>
      <c r="H145" s="52">
        <v>175.56</v>
      </c>
      <c r="I145" s="52">
        <v>621.75</v>
      </c>
      <c r="J145" s="52">
        <v>621.75</v>
      </c>
      <c r="K145" s="53">
        <v>186.57</v>
      </c>
      <c r="L145" s="76">
        <v>308.87</v>
      </c>
    </row>
    <row r="146" spans="1:12" ht="12.75" customHeight="1">
      <c r="A146" s="23">
        <v>144</v>
      </c>
      <c r="B146" s="51">
        <v>119.71</v>
      </c>
      <c r="C146" s="51">
        <v>121.32</v>
      </c>
      <c r="D146" s="52">
        <v>130.19999999999999</v>
      </c>
      <c r="E146" s="52">
        <v>132.69999999999999</v>
      </c>
      <c r="F146" s="52">
        <v>148.05000000000001</v>
      </c>
      <c r="G146" s="52">
        <v>162.41</v>
      </c>
      <c r="H146" s="52">
        <v>181.69</v>
      </c>
      <c r="I146" s="52">
        <v>626.02</v>
      </c>
      <c r="J146" s="52">
        <v>626.02</v>
      </c>
      <c r="K146" s="53">
        <v>186.6</v>
      </c>
      <c r="L146" s="76">
        <v>308.88</v>
      </c>
    </row>
    <row r="147" spans="1:12" ht="12.75" customHeight="1">
      <c r="A147" s="23">
        <v>145</v>
      </c>
      <c r="B147" s="54">
        <v>119.72</v>
      </c>
      <c r="C147" s="54">
        <v>122.54</v>
      </c>
      <c r="D147" s="55">
        <v>130.21</v>
      </c>
      <c r="E147" s="55">
        <v>132.71</v>
      </c>
      <c r="F147" s="55">
        <v>150.26</v>
      </c>
      <c r="G147" s="55">
        <v>162.77000000000001</v>
      </c>
      <c r="H147" s="55">
        <v>181.7</v>
      </c>
      <c r="I147" s="55">
        <v>626.03</v>
      </c>
      <c r="J147" s="55">
        <v>626.03</v>
      </c>
      <c r="K147" s="56">
        <v>186.63</v>
      </c>
      <c r="L147" s="77">
        <v>311.89</v>
      </c>
    </row>
    <row r="148" spans="1:12" ht="12.75" customHeight="1">
      <c r="A148" s="9">
        <v>146</v>
      </c>
      <c r="B148" s="42">
        <v>119.73</v>
      </c>
      <c r="C148" s="42">
        <v>122.55</v>
      </c>
      <c r="D148" s="42">
        <v>130.22</v>
      </c>
      <c r="E148" s="42">
        <v>132.72</v>
      </c>
      <c r="F148" s="42">
        <v>150.27000000000001</v>
      </c>
      <c r="G148" s="42">
        <v>162.78</v>
      </c>
      <c r="H148" s="42">
        <v>181.71</v>
      </c>
      <c r="I148" s="42">
        <v>628.92999999999995</v>
      </c>
      <c r="J148" s="42">
        <v>628.92999999999995</v>
      </c>
      <c r="K148" s="43">
        <v>190.43</v>
      </c>
      <c r="L148" s="78">
        <v>318.24</v>
      </c>
    </row>
    <row r="149" spans="1:12" ht="12.75" customHeight="1">
      <c r="A149" s="33">
        <v>147</v>
      </c>
      <c r="B149" s="44">
        <v>121.18</v>
      </c>
      <c r="C149" s="44">
        <v>123.76</v>
      </c>
      <c r="D149" s="44">
        <v>132.51</v>
      </c>
      <c r="E149" s="44">
        <v>134.06</v>
      </c>
      <c r="F149" s="44">
        <v>151.35</v>
      </c>
      <c r="G149" s="44">
        <v>162.79</v>
      </c>
      <c r="H149" s="44">
        <v>183.39</v>
      </c>
      <c r="I149" s="44">
        <v>643.91999999999996</v>
      </c>
      <c r="J149" s="44">
        <v>643.91999999999996</v>
      </c>
      <c r="K149" s="45">
        <v>190.44</v>
      </c>
      <c r="L149" s="78">
        <v>318.27999999999997</v>
      </c>
    </row>
    <row r="150" spans="1:12" ht="12.75" customHeight="1">
      <c r="A150" s="33">
        <v>148</v>
      </c>
      <c r="B150" s="44">
        <v>121.19</v>
      </c>
      <c r="C150" s="44">
        <v>124.49</v>
      </c>
      <c r="D150" s="44">
        <v>132.66999999999999</v>
      </c>
      <c r="E150" s="44">
        <v>134.07</v>
      </c>
      <c r="F150" s="44">
        <v>151.36000000000001</v>
      </c>
      <c r="G150" s="44">
        <v>162.80000000000001</v>
      </c>
      <c r="H150" s="44">
        <v>183.4</v>
      </c>
      <c r="I150" s="44">
        <v>643.92999999999995</v>
      </c>
      <c r="J150" s="44">
        <v>643.92999999999995</v>
      </c>
      <c r="K150" s="45">
        <v>190.45</v>
      </c>
      <c r="L150" s="78">
        <v>318.29000000000002</v>
      </c>
    </row>
    <row r="151" spans="1:12" ht="12.75" customHeight="1">
      <c r="A151" s="33">
        <v>149</v>
      </c>
      <c r="B151" s="44">
        <v>121.2</v>
      </c>
      <c r="C151" s="44">
        <v>124.5</v>
      </c>
      <c r="D151" s="44">
        <v>134.49</v>
      </c>
      <c r="E151" s="44">
        <v>136.16999999999999</v>
      </c>
      <c r="F151" s="44">
        <v>151.86000000000001</v>
      </c>
      <c r="G151" s="44">
        <v>164.34</v>
      </c>
      <c r="H151" s="44">
        <v>185.14</v>
      </c>
      <c r="I151" s="44">
        <v>645.29999999999995</v>
      </c>
      <c r="J151" s="44">
        <v>645.29999999999995</v>
      </c>
      <c r="K151" s="45">
        <v>190.46</v>
      </c>
      <c r="L151" s="78">
        <v>318.31</v>
      </c>
    </row>
    <row r="152" spans="1:12" ht="12.75" customHeight="1">
      <c r="A152" s="16">
        <v>150</v>
      </c>
      <c r="B152" s="46">
        <v>121.21</v>
      </c>
      <c r="C152" s="46">
        <v>124.51</v>
      </c>
      <c r="D152" s="46">
        <v>134.51</v>
      </c>
      <c r="E152" s="46">
        <v>138.11000000000001</v>
      </c>
      <c r="F152" s="46">
        <v>151.87</v>
      </c>
      <c r="G152" s="46">
        <v>164.36</v>
      </c>
      <c r="H152" s="46">
        <v>185.15</v>
      </c>
      <c r="I152" s="46">
        <v>649.73</v>
      </c>
      <c r="J152" s="46">
        <v>649.73</v>
      </c>
      <c r="K152" s="47">
        <v>190.47</v>
      </c>
      <c r="L152" s="79">
        <v>318.32</v>
      </c>
    </row>
    <row r="153" spans="1:12" ht="12.75" customHeight="1">
      <c r="A153" s="36" t="s">
        <v>13</v>
      </c>
      <c r="B153" s="84">
        <v>0.81</v>
      </c>
      <c r="C153" s="84">
        <v>0.83</v>
      </c>
      <c r="D153" s="84">
        <v>0.9</v>
      </c>
      <c r="E153" s="84">
        <v>0.92</v>
      </c>
      <c r="F153" s="84">
        <v>1.01</v>
      </c>
      <c r="G153" s="84">
        <v>1.1000000000000001</v>
      </c>
      <c r="H153" s="84">
        <v>1.23</v>
      </c>
      <c r="I153" s="84">
        <v>4.33</v>
      </c>
      <c r="J153" s="84">
        <v>4.33</v>
      </c>
      <c r="K153" s="84">
        <v>1.27</v>
      </c>
      <c r="L153" s="84">
        <v>2.12</v>
      </c>
    </row>
    <row r="154" spans="1:12" ht="12.75" customHeight="1">
      <c r="A154" s="60" t="s">
        <v>17</v>
      </c>
      <c r="B154" s="85">
        <f t="shared" ref="B154:J154" si="0">$B$3-1.25</f>
        <v>10.74</v>
      </c>
      <c r="C154" s="85">
        <f t="shared" si="0"/>
        <v>10.74</v>
      </c>
      <c r="D154" s="85">
        <f t="shared" si="0"/>
        <v>10.74</v>
      </c>
      <c r="E154" s="85">
        <f t="shared" si="0"/>
        <v>10.74</v>
      </c>
      <c r="F154" s="85">
        <f t="shared" si="0"/>
        <v>10.74</v>
      </c>
      <c r="G154" s="85">
        <f t="shared" si="0"/>
        <v>10.74</v>
      </c>
      <c r="H154" s="85">
        <f t="shared" si="0"/>
        <v>10.74</v>
      </c>
      <c r="I154" s="85">
        <f t="shared" si="0"/>
        <v>10.74</v>
      </c>
      <c r="J154" s="85">
        <f t="shared" si="0"/>
        <v>10.74</v>
      </c>
      <c r="K154" s="85">
        <f>K3-5.03</f>
        <v>23.509999999999998</v>
      </c>
      <c r="L154" s="85">
        <f>L3-15.19</f>
        <v>30.17</v>
      </c>
    </row>
    <row r="155" spans="1:12" ht="12.75" customHeight="1"/>
    <row r="156" spans="1:12" ht="12.75" customHeight="1"/>
    <row r="157" spans="1:12" ht="12.75" customHeight="1"/>
    <row r="158" spans="1:12" ht="12.75" customHeight="1"/>
    <row r="159" spans="1:12" ht="12.75" customHeight="1"/>
    <row r="160" spans="1:12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0.51" bottom="0.56999999999999995" header="0" footer="0"/>
  <pageSetup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0"/>
  <sheetViews>
    <sheetView workbookViewId="0"/>
  </sheetViews>
  <sheetFormatPr defaultColWidth="12.5703125" defaultRowHeight="15" customHeight="1"/>
  <cols>
    <col min="1" max="1" width="10" customWidth="1"/>
    <col min="2" max="21" width="7" customWidth="1"/>
    <col min="22" max="26" width="8.5703125" customWidth="1"/>
  </cols>
  <sheetData>
    <row r="1" spans="1:21" ht="12.75" customHeight="1">
      <c r="A1" s="60" t="s">
        <v>18</v>
      </c>
      <c r="B1" s="60">
        <v>1</v>
      </c>
      <c r="C1" s="60">
        <v>2</v>
      </c>
      <c r="D1" s="60">
        <v>3</v>
      </c>
      <c r="E1" s="60">
        <v>4</v>
      </c>
      <c r="F1" s="60">
        <v>5</v>
      </c>
      <c r="G1" s="60">
        <v>6</v>
      </c>
      <c r="H1" s="60">
        <v>7</v>
      </c>
      <c r="I1" s="60">
        <v>8</v>
      </c>
      <c r="J1" s="60">
        <v>9</v>
      </c>
      <c r="K1" s="60">
        <v>10</v>
      </c>
      <c r="L1" s="60">
        <v>11</v>
      </c>
      <c r="M1" s="60">
        <v>12</v>
      </c>
      <c r="N1" s="60">
        <v>13</v>
      </c>
      <c r="O1" s="60">
        <v>14</v>
      </c>
      <c r="P1" s="60">
        <v>15</v>
      </c>
      <c r="Q1" s="60">
        <v>16</v>
      </c>
      <c r="R1" s="60">
        <v>17</v>
      </c>
      <c r="S1" s="60">
        <v>18</v>
      </c>
      <c r="T1" s="60">
        <v>19</v>
      </c>
      <c r="U1" s="60">
        <v>20</v>
      </c>
    </row>
    <row r="2" spans="1:21" ht="12.75" customHeight="1">
      <c r="A2" s="60">
        <v>1</v>
      </c>
      <c r="B2" s="60">
        <v>43.55</v>
      </c>
      <c r="C2" s="60">
        <v>61.45</v>
      </c>
      <c r="D2" s="60">
        <v>69.400000000000006</v>
      </c>
      <c r="E2" s="60">
        <v>70.400000000000006</v>
      </c>
      <c r="F2" s="60">
        <v>71.7</v>
      </c>
      <c r="G2" s="60">
        <v>66.25</v>
      </c>
      <c r="H2" s="60">
        <v>67.05</v>
      </c>
      <c r="I2" s="60">
        <v>65.75</v>
      </c>
      <c r="J2" s="60">
        <v>68.349999999999994</v>
      </c>
      <c r="K2" s="60">
        <v>63.05</v>
      </c>
      <c r="L2" s="60">
        <v>65.05</v>
      </c>
      <c r="M2" s="60">
        <v>70.650000000000006</v>
      </c>
      <c r="N2" s="60">
        <v>72.150000000000006</v>
      </c>
      <c r="O2" s="60">
        <v>65.2</v>
      </c>
      <c r="P2" s="60">
        <v>69.5</v>
      </c>
      <c r="Q2" s="60">
        <v>82.3</v>
      </c>
      <c r="R2" s="60">
        <v>66.05</v>
      </c>
      <c r="S2" s="60">
        <v>68.5</v>
      </c>
      <c r="T2" s="60">
        <v>83.15</v>
      </c>
      <c r="U2" s="60">
        <v>69.7</v>
      </c>
    </row>
    <row r="3" spans="1:21" ht="12.75" customHeight="1">
      <c r="A3" s="60">
        <v>2</v>
      </c>
      <c r="B3" s="60">
        <v>47.05</v>
      </c>
      <c r="C3" s="60">
        <v>64.45</v>
      </c>
      <c r="D3" s="60">
        <v>73.400000000000006</v>
      </c>
      <c r="E3" s="60">
        <v>74</v>
      </c>
      <c r="F3" s="60">
        <v>77.05</v>
      </c>
      <c r="G3" s="60">
        <v>71.95</v>
      </c>
      <c r="H3" s="60">
        <v>72.55</v>
      </c>
      <c r="I3" s="60">
        <v>73.5</v>
      </c>
      <c r="J3" s="60">
        <v>75</v>
      </c>
      <c r="K3" s="60">
        <v>68.55</v>
      </c>
      <c r="L3" s="60">
        <v>69.5</v>
      </c>
      <c r="M3" s="60">
        <v>77.95</v>
      </c>
      <c r="N3" s="60">
        <v>76.25</v>
      </c>
      <c r="O3" s="60">
        <v>70.3</v>
      </c>
      <c r="P3" s="60">
        <v>73.650000000000006</v>
      </c>
      <c r="Q3" s="60">
        <v>85.5</v>
      </c>
      <c r="R3" s="60">
        <v>69.45</v>
      </c>
      <c r="S3" s="60">
        <v>71.900000000000006</v>
      </c>
      <c r="T3" s="60">
        <v>91.65</v>
      </c>
      <c r="U3" s="60">
        <v>76.900000000000006</v>
      </c>
    </row>
    <row r="4" spans="1:21" ht="12.75" customHeight="1">
      <c r="A4" s="60">
        <v>3</v>
      </c>
      <c r="B4" s="60">
        <v>50.45</v>
      </c>
      <c r="C4" s="60">
        <v>68.400000000000006</v>
      </c>
      <c r="D4" s="60">
        <v>79.099999999999994</v>
      </c>
      <c r="E4" s="60">
        <v>77.849999999999994</v>
      </c>
      <c r="F4" s="60">
        <v>83.15</v>
      </c>
      <c r="G4" s="60">
        <v>77.55</v>
      </c>
      <c r="H4" s="60">
        <v>78.599999999999994</v>
      </c>
      <c r="I4" s="60">
        <v>81.3</v>
      </c>
      <c r="J4" s="60">
        <v>83</v>
      </c>
      <c r="K4" s="60">
        <v>74.2</v>
      </c>
      <c r="L4" s="60">
        <v>74.900000000000006</v>
      </c>
      <c r="M4" s="60">
        <v>86.8</v>
      </c>
      <c r="N4" s="60">
        <v>81.650000000000006</v>
      </c>
      <c r="O4" s="60">
        <v>75.25</v>
      </c>
      <c r="P4" s="60">
        <v>78.55</v>
      </c>
      <c r="Q4" s="60">
        <v>89.25</v>
      </c>
      <c r="R4" s="60">
        <v>73.95</v>
      </c>
      <c r="S4" s="60">
        <v>76.5</v>
      </c>
      <c r="T4" s="60">
        <v>104.2</v>
      </c>
      <c r="U4" s="60">
        <v>82.15</v>
      </c>
    </row>
    <row r="5" spans="1:21" ht="12.75" customHeight="1">
      <c r="A5" s="60">
        <v>4</v>
      </c>
      <c r="B5" s="60">
        <v>53.85</v>
      </c>
      <c r="C5" s="60">
        <v>73.45</v>
      </c>
      <c r="D5" s="60">
        <v>85.65</v>
      </c>
      <c r="E5" s="60">
        <v>83.75</v>
      </c>
      <c r="F5" s="60">
        <v>89.15</v>
      </c>
      <c r="G5" s="60">
        <v>83.2</v>
      </c>
      <c r="H5" s="60">
        <v>86.5</v>
      </c>
      <c r="I5" s="60">
        <v>89.15</v>
      </c>
      <c r="J5" s="60">
        <v>90.95</v>
      </c>
      <c r="K5" s="60">
        <v>79.75</v>
      </c>
      <c r="L5" s="60">
        <v>81.8</v>
      </c>
      <c r="M5" s="60">
        <v>96.8</v>
      </c>
      <c r="N5" s="60">
        <v>87.95</v>
      </c>
      <c r="O5" s="60">
        <v>80.25</v>
      </c>
      <c r="P5" s="60">
        <v>83.6</v>
      </c>
      <c r="Q5" s="60">
        <v>94.65</v>
      </c>
      <c r="R5" s="60">
        <v>78.5</v>
      </c>
      <c r="S5" s="60">
        <v>82.25</v>
      </c>
      <c r="T5" s="60">
        <v>116.6</v>
      </c>
      <c r="U5" s="60">
        <v>88.45</v>
      </c>
    </row>
    <row r="6" spans="1:21" ht="12.75" customHeight="1">
      <c r="A6" s="60">
        <v>5</v>
      </c>
      <c r="B6" s="60">
        <v>59.05</v>
      </c>
      <c r="C6" s="60">
        <v>78.55</v>
      </c>
      <c r="D6" s="60">
        <v>92.3</v>
      </c>
      <c r="E6" s="60">
        <v>89.7</v>
      </c>
      <c r="F6" s="60">
        <v>95.05</v>
      </c>
      <c r="G6" s="60">
        <v>89.45</v>
      </c>
      <c r="H6" s="60">
        <v>94.15</v>
      </c>
      <c r="I6" s="60">
        <v>96.95</v>
      </c>
      <c r="J6" s="60">
        <v>98.85</v>
      </c>
      <c r="K6" s="60">
        <v>85.65</v>
      </c>
      <c r="L6" s="60">
        <v>88.6</v>
      </c>
      <c r="M6" s="60">
        <v>106.65</v>
      </c>
      <c r="N6" s="60">
        <v>95.15</v>
      </c>
      <c r="O6" s="60">
        <v>85.7</v>
      </c>
      <c r="P6" s="60">
        <v>88.35</v>
      </c>
      <c r="Q6" s="60">
        <v>99.85</v>
      </c>
      <c r="R6" s="60">
        <v>83.6</v>
      </c>
      <c r="S6" s="60">
        <v>87.9</v>
      </c>
      <c r="T6" s="60">
        <v>127.6</v>
      </c>
      <c r="U6" s="60">
        <v>94.45</v>
      </c>
    </row>
    <row r="7" spans="1:21" ht="12.75" customHeight="1">
      <c r="A7" s="60">
        <v>6</v>
      </c>
      <c r="B7" s="60">
        <v>64.349999999999994</v>
      </c>
      <c r="C7" s="60">
        <v>83.9</v>
      </c>
      <c r="D7" s="60">
        <v>98.85</v>
      </c>
      <c r="E7" s="60">
        <v>95.75</v>
      </c>
      <c r="F7" s="60">
        <v>101.2</v>
      </c>
      <c r="G7" s="60">
        <v>96.7</v>
      </c>
      <c r="H7" s="60">
        <v>102</v>
      </c>
      <c r="I7" s="60">
        <v>104.75</v>
      </c>
      <c r="J7" s="60">
        <v>107.45</v>
      </c>
      <c r="K7" s="60">
        <v>92.45</v>
      </c>
      <c r="L7" s="60">
        <v>100.6</v>
      </c>
      <c r="M7" s="60">
        <v>130.85</v>
      </c>
      <c r="N7" s="60">
        <v>103</v>
      </c>
      <c r="O7" s="60">
        <v>92</v>
      </c>
      <c r="P7" s="60">
        <v>93.35</v>
      </c>
      <c r="Q7" s="60">
        <v>105.3</v>
      </c>
      <c r="R7" s="60">
        <v>89.2</v>
      </c>
      <c r="S7" s="60">
        <v>93.75</v>
      </c>
      <c r="T7" s="60">
        <v>138.55000000000001</v>
      </c>
      <c r="U7" s="60">
        <v>97.45</v>
      </c>
    </row>
    <row r="8" spans="1:21" ht="12.75" customHeight="1">
      <c r="A8" s="60">
        <v>7</v>
      </c>
      <c r="B8" s="60">
        <v>69.7</v>
      </c>
      <c r="C8" s="60">
        <v>89.4</v>
      </c>
      <c r="D8" s="60">
        <v>105.45</v>
      </c>
      <c r="E8" s="60">
        <v>101.8</v>
      </c>
      <c r="F8" s="60">
        <v>107.35</v>
      </c>
      <c r="G8" s="60">
        <v>104.1</v>
      </c>
      <c r="H8" s="60">
        <v>109.85</v>
      </c>
      <c r="I8" s="60">
        <v>112.6</v>
      </c>
      <c r="J8" s="60">
        <v>116.45</v>
      </c>
      <c r="K8" s="60">
        <v>99.05</v>
      </c>
      <c r="L8" s="60">
        <v>108.05</v>
      </c>
      <c r="M8" s="60">
        <v>139.55000000000001</v>
      </c>
      <c r="N8" s="60">
        <v>110.4</v>
      </c>
      <c r="O8" s="60">
        <v>98.55</v>
      </c>
      <c r="P8" s="60">
        <v>98.35</v>
      </c>
      <c r="Q8" s="60">
        <v>110.7</v>
      </c>
      <c r="R8" s="60">
        <v>94.8</v>
      </c>
      <c r="S8" s="60">
        <v>99.6</v>
      </c>
      <c r="T8" s="60">
        <v>149.5</v>
      </c>
      <c r="U8" s="60">
        <v>100.45</v>
      </c>
    </row>
    <row r="9" spans="1:21" ht="12.75" customHeight="1">
      <c r="A9" s="60">
        <v>8</v>
      </c>
      <c r="B9" s="60">
        <v>75.3</v>
      </c>
      <c r="C9" s="60">
        <v>94.65</v>
      </c>
      <c r="D9" s="60">
        <v>112.05</v>
      </c>
      <c r="E9" s="60">
        <v>107.95</v>
      </c>
      <c r="F9" s="60">
        <v>113.55</v>
      </c>
      <c r="G9" s="60">
        <v>111.35</v>
      </c>
      <c r="H9" s="60">
        <v>117.85</v>
      </c>
      <c r="I9" s="60">
        <v>120.4</v>
      </c>
      <c r="J9" s="60">
        <v>125.3</v>
      </c>
      <c r="K9" s="60">
        <v>105.9</v>
      </c>
      <c r="L9" s="60">
        <v>115.5</v>
      </c>
      <c r="M9" s="60">
        <v>148.5</v>
      </c>
      <c r="N9" s="60">
        <v>118</v>
      </c>
      <c r="O9" s="60">
        <v>105.05</v>
      </c>
      <c r="P9" s="60">
        <v>103.4</v>
      </c>
      <c r="Q9" s="60">
        <v>116.2</v>
      </c>
      <c r="R9" s="60">
        <v>100.35</v>
      </c>
      <c r="S9" s="60">
        <v>105.45</v>
      </c>
      <c r="T9" s="60">
        <v>160.44999999999999</v>
      </c>
      <c r="U9" s="60">
        <v>106.45</v>
      </c>
    </row>
    <row r="10" spans="1:21" ht="12.75" customHeight="1">
      <c r="A10" s="60">
        <v>9</v>
      </c>
      <c r="B10" s="60">
        <v>80.599999999999994</v>
      </c>
      <c r="C10" s="60">
        <v>100.05</v>
      </c>
      <c r="D10" s="60">
        <v>118.65</v>
      </c>
      <c r="E10" s="60">
        <v>113.95</v>
      </c>
      <c r="F10" s="60">
        <v>119.55</v>
      </c>
      <c r="G10" s="60">
        <v>118.7</v>
      </c>
      <c r="H10" s="60">
        <v>125.8</v>
      </c>
      <c r="I10" s="60">
        <v>128.19999999999999</v>
      </c>
      <c r="J10" s="60">
        <v>134.15</v>
      </c>
      <c r="K10" s="60">
        <v>112.65</v>
      </c>
      <c r="L10" s="60">
        <v>122.9</v>
      </c>
      <c r="M10" s="60">
        <v>157.30000000000001</v>
      </c>
      <c r="N10" s="60">
        <v>125.65</v>
      </c>
      <c r="O10" s="60">
        <v>111.25</v>
      </c>
      <c r="P10" s="60">
        <v>108.35</v>
      </c>
      <c r="Q10" s="60">
        <v>121.6</v>
      </c>
      <c r="R10" s="60">
        <v>105.9</v>
      </c>
      <c r="S10" s="60">
        <v>111.25</v>
      </c>
      <c r="T10" s="60">
        <v>169.05</v>
      </c>
      <c r="U10" s="60">
        <v>112.3</v>
      </c>
    </row>
    <row r="11" spans="1:21" ht="12.75" customHeight="1">
      <c r="A11" s="60">
        <v>10</v>
      </c>
      <c r="B11" s="60">
        <v>86.25</v>
      </c>
      <c r="C11" s="60">
        <v>105.45</v>
      </c>
      <c r="D11" s="60">
        <v>125.2</v>
      </c>
      <c r="E11" s="60">
        <v>120.1</v>
      </c>
      <c r="F11" s="60">
        <v>125.8</v>
      </c>
      <c r="G11" s="60">
        <v>126.1</v>
      </c>
      <c r="H11" s="60">
        <v>133.69999999999999</v>
      </c>
      <c r="I11" s="60">
        <v>136</v>
      </c>
      <c r="J11" s="60">
        <v>143.05000000000001</v>
      </c>
      <c r="K11" s="60">
        <v>119.35</v>
      </c>
      <c r="L11" s="60">
        <v>130.4</v>
      </c>
      <c r="M11" s="60">
        <v>166.15</v>
      </c>
      <c r="N11" s="60">
        <v>133</v>
      </c>
      <c r="O11" s="60">
        <v>117.9</v>
      </c>
      <c r="P11" s="60">
        <v>113.5</v>
      </c>
      <c r="Q11" s="60">
        <v>127.15</v>
      </c>
      <c r="R11" s="60">
        <v>111.55</v>
      </c>
      <c r="S11" s="60">
        <v>117.15</v>
      </c>
      <c r="T11" s="60">
        <v>176.9</v>
      </c>
      <c r="U11" s="60">
        <v>118.4</v>
      </c>
    </row>
    <row r="12" spans="1:21" ht="12.75" customHeight="1">
      <c r="A12" s="60">
        <v>11</v>
      </c>
      <c r="B12" s="60">
        <v>91.6</v>
      </c>
      <c r="C12" s="60">
        <v>110.75</v>
      </c>
      <c r="D12" s="60">
        <v>131.85</v>
      </c>
      <c r="E12" s="60">
        <v>126.15</v>
      </c>
      <c r="F12" s="60">
        <v>131.85</v>
      </c>
      <c r="G12" s="60">
        <v>133.30000000000001</v>
      </c>
      <c r="H12" s="60">
        <v>141.55000000000001</v>
      </c>
      <c r="I12" s="60">
        <v>143.80000000000001</v>
      </c>
      <c r="J12" s="60">
        <v>151.9</v>
      </c>
      <c r="K12" s="60">
        <v>126</v>
      </c>
      <c r="L12" s="60">
        <v>137.75</v>
      </c>
      <c r="M12" s="60">
        <v>175.05</v>
      </c>
      <c r="N12" s="60">
        <v>140.85</v>
      </c>
      <c r="O12" s="60">
        <v>124.25</v>
      </c>
      <c r="P12" s="60">
        <v>118.35</v>
      </c>
      <c r="Q12" s="60">
        <v>132.55000000000001</v>
      </c>
      <c r="R12" s="60">
        <v>117</v>
      </c>
      <c r="S12" s="60">
        <v>122.85</v>
      </c>
      <c r="T12" s="60">
        <v>193.35</v>
      </c>
      <c r="U12" s="60">
        <v>124.1</v>
      </c>
    </row>
    <row r="13" spans="1:21" ht="12.75" customHeight="1">
      <c r="A13" s="60">
        <v>12</v>
      </c>
      <c r="B13" s="60">
        <v>97.1</v>
      </c>
      <c r="C13" s="60">
        <v>116.15</v>
      </c>
      <c r="D13" s="60">
        <v>138.35</v>
      </c>
      <c r="E13" s="60">
        <v>132.25</v>
      </c>
      <c r="F13" s="60">
        <v>138.05000000000001</v>
      </c>
      <c r="G13" s="60">
        <v>140.55000000000001</v>
      </c>
      <c r="H13" s="60">
        <v>149.5</v>
      </c>
      <c r="I13" s="60">
        <v>151.6</v>
      </c>
      <c r="J13" s="60">
        <v>160.69999999999999</v>
      </c>
      <c r="K13" s="60">
        <v>132.75</v>
      </c>
      <c r="L13" s="60">
        <v>145.1</v>
      </c>
      <c r="M13" s="60">
        <v>183.8</v>
      </c>
      <c r="N13" s="60">
        <v>148.19999999999999</v>
      </c>
      <c r="O13" s="60">
        <v>130.80000000000001</v>
      </c>
      <c r="P13" s="60">
        <v>123.4</v>
      </c>
      <c r="Q13" s="60">
        <v>138</v>
      </c>
      <c r="R13" s="60">
        <v>122.6</v>
      </c>
      <c r="S13" s="60">
        <v>128.80000000000001</v>
      </c>
      <c r="T13" s="60">
        <v>204.25</v>
      </c>
      <c r="U13" s="60">
        <v>130.15</v>
      </c>
    </row>
    <row r="14" spans="1:21" ht="12.75" customHeight="1">
      <c r="A14" s="60">
        <v>13</v>
      </c>
      <c r="B14" s="60">
        <v>102.45</v>
      </c>
      <c r="C14" s="60">
        <v>121.5</v>
      </c>
      <c r="D14" s="60">
        <v>144.94999999999999</v>
      </c>
      <c r="E14" s="60">
        <v>138.30000000000001</v>
      </c>
      <c r="F14" s="60">
        <v>144.15</v>
      </c>
      <c r="G14" s="60">
        <v>147.80000000000001</v>
      </c>
      <c r="H14" s="60">
        <v>157.15</v>
      </c>
      <c r="I14" s="60">
        <v>159.4</v>
      </c>
      <c r="J14" s="60">
        <v>170.45</v>
      </c>
      <c r="K14" s="60">
        <v>139.44999999999999</v>
      </c>
      <c r="L14" s="60">
        <v>152.65</v>
      </c>
      <c r="M14" s="60">
        <v>192.65</v>
      </c>
      <c r="N14" s="60">
        <v>155.5</v>
      </c>
      <c r="O14" s="60">
        <v>137.1</v>
      </c>
      <c r="P14" s="60">
        <v>128.44999999999999</v>
      </c>
      <c r="Q14" s="60">
        <v>143.44999999999999</v>
      </c>
      <c r="R14" s="60">
        <v>128.15</v>
      </c>
      <c r="S14" s="60">
        <v>134.65</v>
      </c>
      <c r="T14" s="60">
        <v>215.25</v>
      </c>
      <c r="U14" s="60">
        <v>136.05000000000001</v>
      </c>
    </row>
    <row r="15" spans="1:21" ht="12.75" customHeight="1">
      <c r="A15" s="60">
        <v>14</v>
      </c>
      <c r="B15" s="60">
        <v>108</v>
      </c>
      <c r="C15" s="60">
        <v>126.85</v>
      </c>
      <c r="D15" s="60">
        <v>151.5</v>
      </c>
      <c r="E15" s="60">
        <v>144.35</v>
      </c>
      <c r="F15" s="60">
        <v>150.35</v>
      </c>
      <c r="G15" s="60">
        <v>155.19999999999999</v>
      </c>
      <c r="H15" s="60">
        <v>165.2</v>
      </c>
      <c r="I15" s="60">
        <v>167.25</v>
      </c>
      <c r="J15" s="60">
        <v>178.4</v>
      </c>
      <c r="K15" s="60">
        <v>146.15</v>
      </c>
      <c r="L15" s="60">
        <v>160.1</v>
      </c>
      <c r="M15" s="60">
        <v>201.5</v>
      </c>
      <c r="N15" s="60">
        <v>163.15</v>
      </c>
      <c r="O15" s="60">
        <v>143.55000000000001</v>
      </c>
      <c r="P15" s="60">
        <v>133.4</v>
      </c>
      <c r="Q15" s="60">
        <v>148.85</v>
      </c>
      <c r="R15" s="60">
        <v>133.65</v>
      </c>
      <c r="S15" s="60">
        <v>140.5</v>
      </c>
      <c r="T15" s="60">
        <v>226.2</v>
      </c>
      <c r="U15" s="60">
        <v>141.94999999999999</v>
      </c>
    </row>
    <row r="16" spans="1:21" ht="12.75" customHeight="1">
      <c r="A16" s="60">
        <v>15</v>
      </c>
      <c r="B16" s="60">
        <v>113.5</v>
      </c>
      <c r="C16" s="60">
        <v>132.30000000000001</v>
      </c>
      <c r="D16" s="60">
        <v>158.15</v>
      </c>
      <c r="E16" s="60">
        <v>150.55000000000001</v>
      </c>
      <c r="F16" s="60">
        <v>156.69999999999999</v>
      </c>
      <c r="G16" s="60">
        <v>162.6</v>
      </c>
      <c r="H16" s="60">
        <v>173.25</v>
      </c>
      <c r="I16" s="60">
        <v>175.05</v>
      </c>
      <c r="J16" s="60">
        <v>187.45</v>
      </c>
      <c r="K16" s="60">
        <v>153.05000000000001</v>
      </c>
      <c r="L16" s="60">
        <v>167.5</v>
      </c>
      <c r="M16" s="60">
        <v>210.4</v>
      </c>
      <c r="N16" s="60">
        <v>171</v>
      </c>
      <c r="O16" s="60">
        <v>150.05000000000001</v>
      </c>
      <c r="P16" s="60">
        <v>138.5</v>
      </c>
      <c r="Q16" s="60">
        <v>154.44999999999999</v>
      </c>
      <c r="R16" s="60">
        <v>139.4</v>
      </c>
      <c r="S16" s="60">
        <v>146.35</v>
      </c>
      <c r="T16" s="60">
        <v>237.15</v>
      </c>
      <c r="U16" s="60">
        <v>148.05000000000001</v>
      </c>
    </row>
    <row r="17" spans="1:21" ht="12.75" customHeight="1">
      <c r="A17" s="60">
        <v>16</v>
      </c>
      <c r="B17" s="60">
        <v>118.8</v>
      </c>
      <c r="C17" s="60">
        <v>137.65</v>
      </c>
      <c r="D17" s="60">
        <v>164.7</v>
      </c>
      <c r="E17" s="60">
        <v>156.44999999999999</v>
      </c>
      <c r="F17" s="60">
        <v>162.69999999999999</v>
      </c>
      <c r="G17" s="60">
        <v>169.8</v>
      </c>
      <c r="H17" s="60">
        <v>181.05</v>
      </c>
      <c r="I17" s="60">
        <v>183.5</v>
      </c>
      <c r="J17" s="60">
        <v>196.25</v>
      </c>
      <c r="K17" s="60">
        <v>159.65</v>
      </c>
      <c r="L17" s="60">
        <v>174.9</v>
      </c>
      <c r="M17" s="60">
        <v>219.2</v>
      </c>
      <c r="N17" s="60">
        <v>178.3</v>
      </c>
      <c r="O17" s="60">
        <v>156.35</v>
      </c>
      <c r="P17" s="60">
        <v>143.5</v>
      </c>
      <c r="Q17" s="60">
        <v>159.4</v>
      </c>
      <c r="R17" s="60">
        <v>144.75</v>
      </c>
      <c r="S17" s="60">
        <v>152.05000000000001</v>
      </c>
      <c r="T17" s="60">
        <v>248.1</v>
      </c>
      <c r="U17" s="60">
        <v>153.9</v>
      </c>
    </row>
    <row r="18" spans="1:21" ht="12.75" customHeight="1">
      <c r="A18" s="60">
        <v>17</v>
      </c>
      <c r="B18" s="60">
        <v>124.35</v>
      </c>
      <c r="C18" s="60">
        <v>143</v>
      </c>
      <c r="D18" s="60">
        <v>171.3</v>
      </c>
      <c r="E18" s="60">
        <v>162.55000000000001</v>
      </c>
      <c r="F18" s="60">
        <v>168.8</v>
      </c>
      <c r="G18" s="60">
        <v>177.1</v>
      </c>
      <c r="H18" s="60">
        <v>188.95</v>
      </c>
      <c r="I18" s="60">
        <v>191.45</v>
      </c>
      <c r="J18" s="60">
        <v>205.2</v>
      </c>
      <c r="K18" s="60">
        <v>166.35</v>
      </c>
      <c r="L18" s="60">
        <v>182.35</v>
      </c>
      <c r="M18" s="60">
        <v>227.95</v>
      </c>
      <c r="N18" s="60">
        <v>185.75</v>
      </c>
      <c r="O18" s="60">
        <v>162.6</v>
      </c>
      <c r="P18" s="60">
        <v>148.4</v>
      </c>
      <c r="Q18" s="60">
        <v>165.2</v>
      </c>
      <c r="R18" s="60">
        <v>150.4</v>
      </c>
      <c r="S18" s="60">
        <v>158</v>
      </c>
      <c r="T18" s="60">
        <v>259.05</v>
      </c>
      <c r="U18" s="60">
        <v>159.6</v>
      </c>
    </row>
    <row r="19" spans="1:21" ht="12.75" customHeight="1">
      <c r="A19" s="60">
        <v>18</v>
      </c>
      <c r="B19" s="60">
        <v>130</v>
      </c>
      <c r="C19" s="60">
        <v>148.35</v>
      </c>
      <c r="D19" s="60">
        <v>177.9</v>
      </c>
      <c r="E19" s="60">
        <v>168.65</v>
      </c>
      <c r="F19" s="60">
        <v>175</v>
      </c>
      <c r="G19" s="60">
        <v>184.45</v>
      </c>
      <c r="H19" s="60">
        <v>196.9</v>
      </c>
      <c r="I19" s="60">
        <v>199.55</v>
      </c>
      <c r="J19" s="60">
        <v>214.05</v>
      </c>
      <c r="K19" s="60">
        <v>173.15</v>
      </c>
      <c r="L19" s="60">
        <v>189.9</v>
      </c>
      <c r="M19" s="60">
        <v>238.25</v>
      </c>
      <c r="N19" s="60">
        <v>193.35</v>
      </c>
      <c r="O19" s="60">
        <v>169.05</v>
      </c>
      <c r="P19" s="60">
        <v>153.55000000000001</v>
      </c>
      <c r="Q19" s="60">
        <v>170.65</v>
      </c>
      <c r="R19" s="60">
        <v>155.9</v>
      </c>
      <c r="S19" s="60">
        <v>163.80000000000001</v>
      </c>
      <c r="T19" s="60">
        <v>270</v>
      </c>
      <c r="U19" s="60">
        <v>165.7</v>
      </c>
    </row>
    <row r="20" spans="1:21" ht="12.75" customHeight="1">
      <c r="A20" s="60">
        <v>19</v>
      </c>
      <c r="B20" s="60">
        <v>135.1</v>
      </c>
      <c r="C20" s="60">
        <v>153.80000000000001</v>
      </c>
      <c r="D20" s="60">
        <v>184.5</v>
      </c>
      <c r="E20" s="60">
        <v>174.55</v>
      </c>
      <c r="F20" s="60">
        <v>180.95</v>
      </c>
      <c r="G20" s="60">
        <v>191.75</v>
      </c>
      <c r="H20" s="60">
        <v>204.5</v>
      </c>
      <c r="I20" s="60">
        <v>207.45</v>
      </c>
      <c r="J20" s="60">
        <v>222.85</v>
      </c>
      <c r="K20" s="60">
        <v>179.85</v>
      </c>
      <c r="L20" s="60">
        <v>197.1</v>
      </c>
      <c r="M20" s="60">
        <v>247.95</v>
      </c>
      <c r="N20" s="60">
        <v>200.4</v>
      </c>
      <c r="O20" s="60">
        <v>175.45</v>
      </c>
      <c r="P20" s="60">
        <v>158.44999999999999</v>
      </c>
      <c r="Q20" s="60">
        <v>176.05</v>
      </c>
      <c r="R20" s="60">
        <v>161.55000000000001</v>
      </c>
      <c r="S20" s="60">
        <v>169.65</v>
      </c>
      <c r="T20" s="60">
        <v>281</v>
      </c>
      <c r="U20" s="60">
        <v>171.35</v>
      </c>
    </row>
    <row r="21" spans="1:21" ht="12.75" customHeight="1">
      <c r="A21" s="60">
        <v>20</v>
      </c>
      <c r="B21" s="60">
        <v>140.65</v>
      </c>
      <c r="C21" s="60">
        <v>159.15</v>
      </c>
      <c r="D21" s="60">
        <v>191.05</v>
      </c>
      <c r="E21" s="60">
        <v>180.95</v>
      </c>
      <c r="F21" s="60">
        <v>187.4</v>
      </c>
      <c r="G21" s="60">
        <v>199.15</v>
      </c>
      <c r="H21" s="60">
        <v>212.7</v>
      </c>
      <c r="I21" s="60">
        <v>216.2</v>
      </c>
      <c r="J21" s="60">
        <v>231.95</v>
      </c>
      <c r="K21" s="60">
        <v>186.6</v>
      </c>
      <c r="L21" s="60">
        <v>204.75</v>
      </c>
      <c r="M21" s="60">
        <v>258.8</v>
      </c>
      <c r="N21" s="60">
        <v>208.75</v>
      </c>
      <c r="O21" s="60">
        <v>182.15</v>
      </c>
      <c r="P21" s="60">
        <v>163.6</v>
      </c>
      <c r="Q21" s="60">
        <v>181.5</v>
      </c>
      <c r="R21" s="60">
        <v>167.1</v>
      </c>
      <c r="S21" s="60">
        <v>175.65</v>
      </c>
      <c r="T21" s="60">
        <v>291.95</v>
      </c>
      <c r="U21" s="60">
        <v>177.5</v>
      </c>
    </row>
    <row r="22" spans="1:21" ht="12.75" customHeight="1">
      <c r="A22" s="60">
        <v>21</v>
      </c>
      <c r="B22" s="60">
        <v>141.94999999999999</v>
      </c>
      <c r="C22" s="60">
        <v>161</v>
      </c>
      <c r="D22" s="60">
        <v>191.4</v>
      </c>
      <c r="E22" s="60">
        <v>181.75</v>
      </c>
      <c r="F22" s="60">
        <v>188.1</v>
      </c>
      <c r="G22" s="60">
        <v>205</v>
      </c>
      <c r="H22" s="60">
        <v>219.1</v>
      </c>
      <c r="I22" s="60">
        <v>218.5</v>
      </c>
      <c r="J22" s="60">
        <v>239.1</v>
      </c>
      <c r="K22" s="60">
        <v>189.1</v>
      </c>
      <c r="L22" s="60">
        <v>210.9</v>
      </c>
      <c r="M22" s="60">
        <v>267.89999999999998</v>
      </c>
      <c r="N22" s="60">
        <v>214.55</v>
      </c>
      <c r="O22" s="60">
        <v>183.25</v>
      </c>
      <c r="P22" s="60">
        <v>167.45</v>
      </c>
      <c r="Q22" s="60">
        <v>185.8</v>
      </c>
      <c r="R22" s="60">
        <v>168</v>
      </c>
      <c r="S22" s="60">
        <v>176.45</v>
      </c>
      <c r="T22" s="60">
        <v>299.35000000000002</v>
      </c>
      <c r="U22" s="60">
        <v>181.85</v>
      </c>
    </row>
    <row r="23" spans="1:21" ht="12.75" customHeight="1">
      <c r="A23" s="60">
        <v>22</v>
      </c>
      <c r="B23" s="60">
        <v>143.25</v>
      </c>
      <c r="C23" s="60">
        <v>162.80000000000001</v>
      </c>
      <c r="D23" s="60">
        <v>192.75</v>
      </c>
      <c r="E23" s="60">
        <v>182.55</v>
      </c>
      <c r="F23" s="60">
        <v>188.75</v>
      </c>
      <c r="G23" s="60">
        <v>211.05</v>
      </c>
      <c r="H23" s="60">
        <v>225.75</v>
      </c>
      <c r="I23" s="60">
        <v>220.8</v>
      </c>
      <c r="J23" s="60">
        <v>246.65</v>
      </c>
      <c r="K23" s="60">
        <v>191.55</v>
      </c>
      <c r="L23" s="60">
        <v>216.95</v>
      </c>
      <c r="M23" s="60">
        <v>278.2</v>
      </c>
      <c r="N23" s="60">
        <v>221.15</v>
      </c>
      <c r="O23" s="60">
        <v>184.4</v>
      </c>
      <c r="P23" s="60">
        <v>171.25</v>
      </c>
      <c r="Q23" s="60">
        <v>190.05</v>
      </c>
      <c r="R23" s="60">
        <v>168.85</v>
      </c>
      <c r="S23" s="60">
        <v>177.25</v>
      </c>
      <c r="T23" s="60">
        <v>306.45</v>
      </c>
      <c r="U23" s="60">
        <v>186.95</v>
      </c>
    </row>
    <row r="24" spans="1:21" ht="12.75" customHeight="1">
      <c r="A24" s="60">
        <v>23</v>
      </c>
      <c r="B24" s="60">
        <v>146.55000000000001</v>
      </c>
      <c r="C24" s="60">
        <v>166.9</v>
      </c>
      <c r="D24" s="60">
        <v>198.95</v>
      </c>
      <c r="E24" s="60">
        <v>183.35</v>
      </c>
      <c r="F24" s="60">
        <v>189.45</v>
      </c>
      <c r="G24" s="60">
        <v>217</v>
      </c>
      <c r="H24" s="60">
        <v>232.15</v>
      </c>
      <c r="I24" s="60">
        <v>224.2</v>
      </c>
      <c r="J24" s="60">
        <v>253.75</v>
      </c>
      <c r="K24" s="60">
        <v>196.9</v>
      </c>
      <c r="L24" s="60">
        <v>222.75</v>
      </c>
      <c r="M24" s="60">
        <v>288.5</v>
      </c>
      <c r="N24" s="60">
        <v>226.95</v>
      </c>
      <c r="O24" s="60">
        <v>185.55</v>
      </c>
      <c r="P24" s="60">
        <v>175.1</v>
      </c>
      <c r="Q24" s="60">
        <v>194.3</v>
      </c>
      <c r="R24" s="60">
        <v>169.7</v>
      </c>
      <c r="S24" s="60">
        <v>178</v>
      </c>
      <c r="T24" s="60">
        <v>313.35000000000002</v>
      </c>
      <c r="U24" s="60">
        <v>191.8</v>
      </c>
    </row>
    <row r="25" spans="1:21" ht="12.75" customHeight="1">
      <c r="A25" s="60">
        <v>24</v>
      </c>
      <c r="B25" s="60">
        <v>149.80000000000001</v>
      </c>
      <c r="C25" s="60">
        <v>171</v>
      </c>
      <c r="D25" s="60">
        <v>205.2</v>
      </c>
      <c r="E25" s="60">
        <v>187.85</v>
      </c>
      <c r="F25" s="60">
        <v>193.95</v>
      </c>
      <c r="G25" s="60">
        <v>222.75</v>
      </c>
      <c r="H25" s="60">
        <v>238.45</v>
      </c>
      <c r="I25" s="60">
        <v>231.5</v>
      </c>
      <c r="J25" s="60">
        <v>261</v>
      </c>
      <c r="K25" s="60">
        <v>202</v>
      </c>
      <c r="L25" s="60">
        <v>228.8</v>
      </c>
      <c r="M25" s="60">
        <v>298.75</v>
      </c>
      <c r="N25" s="60">
        <v>233.1</v>
      </c>
      <c r="O25" s="60">
        <v>190.3</v>
      </c>
      <c r="P25" s="60">
        <v>178.85</v>
      </c>
      <c r="Q25" s="60">
        <v>198.4</v>
      </c>
      <c r="R25" s="60">
        <v>173.45</v>
      </c>
      <c r="S25" s="60">
        <v>182.1</v>
      </c>
      <c r="T25" s="60">
        <v>319.95</v>
      </c>
      <c r="U25" s="60">
        <v>196.35</v>
      </c>
    </row>
    <row r="26" spans="1:21" ht="12.75" customHeight="1">
      <c r="A26" s="60">
        <v>25</v>
      </c>
      <c r="B26" s="60">
        <v>153</v>
      </c>
      <c r="C26" s="60">
        <v>175.05</v>
      </c>
      <c r="D26" s="60">
        <v>211.4</v>
      </c>
      <c r="E26" s="60">
        <v>192.3</v>
      </c>
      <c r="F26" s="60">
        <v>198.65</v>
      </c>
      <c r="G26" s="60">
        <v>228.8</v>
      </c>
      <c r="H26" s="60">
        <v>244.65</v>
      </c>
      <c r="I26" s="60">
        <v>238.85</v>
      </c>
      <c r="J26" s="60">
        <v>267.75</v>
      </c>
      <c r="K26" s="60">
        <v>207.3</v>
      </c>
      <c r="L26" s="60">
        <v>234.8</v>
      </c>
      <c r="M26" s="60">
        <v>309.05</v>
      </c>
      <c r="N26" s="60">
        <v>239.25</v>
      </c>
      <c r="O26" s="60">
        <v>194.95</v>
      </c>
      <c r="P26" s="60">
        <v>182.75</v>
      </c>
      <c r="Q26" s="60">
        <v>202.8</v>
      </c>
      <c r="R26" s="60">
        <v>177.5</v>
      </c>
      <c r="S26" s="60">
        <v>186.6</v>
      </c>
      <c r="T26" s="60">
        <v>326.35000000000002</v>
      </c>
      <c r="U26" s="60">
        <v>201.05</v>
      </c>
    </row>
    <row r="27" spans="1:21" ht="12.75" customHeight="1">
      <c r="A27" s="60">
        <v>26</v>
      </c>
      <c r="B27" s="60">
        <v>155.75</v>
      </c>
      <c r="C27" s="60">
        <v>179.05</v>
      </c>
      <c r="D27" s="60">
        <v>217.6</v>
      </c>
      <c r="E27" s="60">
        <v>196.55</v>
      </c>
      <c r="F27" s="60">
        <v>202.6</v>
      </c>
      <c r="G27" s="60">
        <v>234.3</v>
      </c>
      <c r="H27" s="60">
        <v>250.75</v>
      </c>
      <c r="I27" s="60">
        <v>246.3</v>
      </c>
      <c r="J27" s="60">
        <v>274.89999999999998</v>
      </c>
      <c r="K27" s="60">
        <v>212.35</v>
      </c>
      <c r="L27" s="60">
        <v>240.4</v>
      </c>
      <c r="M27" s="60">
        <v>319.35000000000002</v>
      </c>
      <c r="N27" s="60">
        <v>244.7</v>
      </c>
      <c r="O27" s="60">
        <v>199.45</v>
      </c>
      <c r="P27" s="60">
        <v>186.35</v>
      </c>
      <c r="Q27" s="60">
        <v>206.7</v>
      </c>
      <c r="R27" s="60">
        <v>181.5</v>
      </c>
      <c r="S27" s="60">
        <v>190.65</v>
      </c>
      <c r="T27" s="60">
        <v>332.45</v>
      </c>
      <c r="U27" s="60">
        <v>205.35</v>
      </c>
    </row>
    <row r="28" spans="1:21" ht="12.75" customHeight="1">
      <c r="A28" s="60">
        <v>27</v>
      </c>
      <c r="B28" s="60">
        <v>158.80000000000001</v>
      </c>
      <c r="C28" s="60">
        <v>182.95</v>
      </c>
      <c r="D28" s="60">
        <v>223.8</v>
      </c>
      <c r="E28" s="60">
        <v>200.75</v>
      </c>
      <c r="F28" s="60">
        <v>207.2</v>
      </c>
      <c r="G28" s="60">
        <v>240</v>
      </c>
      <c r="H28" s="60">
        <v>256.85000000000002</v>
      </c>
      <c r="I28" s="60">
        <v>253.65</v>
      </c>
      <c r="J28" s="60">
        <v>281.5</v>
      </c>
      <c r="K28" s="60">
        <v>217.3</v>
      </c>
      <c r="L28" s="60">
        <v>246.25</v>
      </c>
      <c r="M28" s="60">
        <v>329.65</v>
      </c>
      <c r="N28" s="60">
        <v>250.3</v>
      </c>
      <c r="O28" s="60">
        <v>204.05</v>
      </c>
      <c r="P28" s="60">
        <v>190.3</v>
      </c>
      <c r="Q28" s="60">
        <v>210.65</v>
      </c>
      <c r="R28" s="60">
        <v>185.35</v>
      </c>
      <c r="S28" s="60">
        <v>194.45</v>
      </c>
      <c r="T28" s="60">
        <v>338.3</v>
      </c>
      <c r="U28" s="60">
        <v>209.4</v>
      </c>
    </row>
    <row r="29" spans="1:21" ht="12.75" customHeight="1">
      <c r="A29" s="60">
        <v>28</v>
      </c>
      <c r="B29" s="60">
        <v>161.55000000000001</v>
      </c>
      <c r="C29" s="60">
        <v>186.75</v>
      </c>
      <c r="D29" s="60">
        <v>230.05</v>
      </c>
      <c r="E29" s="60">
        <v>205.05</v>
      </c>
      <c r="F29" s="60">
        <v>211.45</v>
      </c>
      <c r="G29" s="60">
        <v>245.35</v>
      </c>
      <c r="H29" s="60">
        <v>262.75</v>
      </c>
      <c r="I29" s="60">
        <v>261</v>
      </c>
      <c r="J29" s="60">
        <v>288.3</v>
      </c>
      <c r="K29" s="60">
        <v>221.85</v>
      </c>
      <c r="L29" s="60">
        <v>251.65</v>
      </c>
      <c r="M29" s="60">
        <v>339.95</v>
      </c>
      <c r="N29" s="60">
        <v>256.35000000000002</v>
      </c>
      <c r="O29" s="60">
        <v>208.7</v>
      </c>
      <c r="P29" s="60">
        <v>193.95</v>
      </c>
      <c r="Q29" s="60">
        <v>214.45</v>
      </c>
      <c r="R29" s="60">
        <v>189.35</v>
      </c>
      <c r="S29" s="60">
        <v>198.65</v>
      </c>
      <c r="T29" s="60">
        <v>343.85</v>
      </c>
      <c r="U29" s="60">
        <v>213.85</v>
      </c>
    </row>
    <row r="30" spans="1:21" ht="12.75" customHeight="1">
      <c r="A30" s="60">
        <v>29</v>
      </c>
      <c r="B30" s="60">
        <v>163.9</v>
      </c>
      <c r="C30" s="60">
        <v>190.45</v>
      </c>
      <c r="D30" s="60">
        <v>236.25</v>
      </c>
      <c r="E30" s="60">
        <v>209.05</v>
      </c>
      <c r="F30" s="60">
        <v>215.2</v>
      </c>
      <c r="G30" s="60">
        <v>250.55</v>
      </c>
      <c r="H30" s="60">
        <v>268.35000000000002</v>
      </c>
      <c r="I30" s="60">
        <v>268.35000000000002</v>
      </c>
      <c r="J30" s="60">
        <v>295.45</v>
      </c>
      <c r="K30" s="60">
        <v>226.95</v>
      </c>
      <c r="L30" s="60">
        <v>257.14999999999998</v>
      </c>
      <c r="M30" s="60">
        <v>350.25</v>
      </c>
      <c r="N30" s="60">
        <v>261.8</v>
      </c>
      <c r="O30" s="60">
        <v>213.05</v>
      </c>
      <c r="P30" s="60">
        <v>197.05</v>
      </c>
      <c r="Q30" s="60">
        <v>218.2</v>
      </c>
      <c r="R30" s="60">
        <v>193</v>
      </c>
      <c r="S30" s="60">
        <v>202.9</v>
      </c>
      <c r="T30" s="60">
        <v>349.2</v>
      </c>
      <c r="U30" s="60">
        <v>218.2</v>
      </c>
    </row>
    <row r="31" spans="1:21" ht="12.75" customHeight="1">
      <c r="A31" s="60">
        <v>30</v>
      </c>
      <c r="B31" s="60">
        <v>166.75</v>
      </c>
      <c r="C31" s="60">
        <v>194.4</v>
      </c>
      <c r="D31" s="60">
        <v>242.5</v>
      </c>
      <c r="E31" s="60">
        <v>213.4</v>
      </c>
      <c r="F31" s="60">
        <v>219.8</v>
      </c>
      <c r="G31" s="60">
        <v>256.2</v>
      </c>
      <c r="H31" s="60">
        <v>274.55</v>
      </c>
      <c r="I31" s="60">
        <v>275.75</v>
      </c>
      <c r="J31" s="60">
        <v>301.7</v>
      </c>
      <c r="K31" s="60">
        <v>231.55</v>
      </c>
      <c r="L31" s="60">
        <v>262.75</v>
      </c>
      <c r="M31" s="60">
        <v>360.55</v>
      </c>
      <c r="N31" s="60">
        <v>267.35000000000002</v>
      </c>
      <c r="O31" s="60">
        <v>217.7</v>
      </c>
      <c r="P31" s="60">
        <v>200.8</v>
      </c>
      <c r="Q31" s="60">
        <v>222.25</v>
      </c>
      <c r="R31" s="60">
        <v>196.75</v>
      </c>
      <c r="S31" s="60">
        <v>206.45</v>
      </c>
      <c r="T31" s="60">
        <v>354.25</v>
      </c>
      <c r="U31" s="60">
        <v>222.55</v>
      </c>
    </row>
    <row r="32" spans="1:21" ht="12.75" customHeight="1">
      <c r="A32" s="60">
        <v>31</v>
      </c>
      <c r="B32" s="60">
        <v>170</v>
      </c>
      <c r="C32" s="60">
        <v>197.95</v>
      </c>
      <c r="D32" s="60">
        <v>248.7</v>
      </c>
      <c r="E32" s="60">
        <v>217.05</v>
      </c>
      <c r="F32" s="60">
        <v>223.5</v>
      </c>
      <c r="G32" s="60">
        <v>261</v>
      </c>
      <c r="H32" s="60">
        <v>280.2</v>
      </c>
      <c r="I32" s="60">
        <v>283.10000000000002</v>
      </c>
      <c r="J32" s="60">
        <v>308.2</v>
      </c>
      <c r="K32" s="60">
        <v>236.55</v>
      </c>
      <c r="L32" s="60">
        <v>268</v>
      </c>
      <c r="M32" s="60">
        <v>362.85</v>
      </c>
      <c r="N32" s="60">
        <v>272.14999999999998</v>
      </c>
      <c r="O32" s="60">
        <v>221.45</v>
      </c>
      <c r="P32" s="60">
        <v>204.15</v>
      </c>
      <c r="Q32" s="60">
        <v>225.65</v>
      </c>
      <c r="R32" s="60">
        <v>200.2</v>
      </c>
      <c r="S32" s="60">
        <v>210.55</v>
      </c>
      <c r="T32" s="60">
        <v>361.5</v>
      </c>
      <c r="U32" s="60">
        <v>226.35</v>
      </c>
    </row>
    <row r="33" spans="1:21" ht="12.75" customHeight="1">
      <c r="A33" s="60">
        <v>32</v>
      </c>
      <c r="B33" s="60">
        <v>173.75</v>
      </c>
      <c r="C33" s="60">
        <v>201.6</v>
      </c>
      <c r="D33" s="60">
        <v>254.95</v>
      </c>
      <c r="E33" s="60">
        <v>221</v>
      </c>
      <c r="F33" s="60">
        <v>227.4</v>
      </c>
      <c r="G33" s="60">
        <v>266.5</v>
      </c>
      <c r="H33" s="60">
        <v>285.8</v>
      </c>
      <c r="I33" s="60">
        <v>290.45</v>
      </c>
      <c r="J33" s="60">
        <v>314.5</v>
      </c>
      <c r="K33" s="60">
        <v>240.6</v>
      </c>
      <c r="L33" s="60">
        <v>272.89999999999998</v>
      </c>
      <c r="M33" s="60">
        <v>365.2</v>
      </c>
      <c r="N33" s="60">
        <v>277.7</v>
      </c>
      <c r="O33" s="60">
        <v>225.9</v>
      </c>
      <c r="P33" s="60">
        <v>207.65</v>
      </c>
      <c r="Q33" s="60">
        <v>229.35</v>
      </c>
      <c r="R33" s="60">
        <v>203.85</v>
      </c>
      <c r="S33" s="60">
        <v>214.35</v>
      </c>
      <c r="T33" s="60">
        <v>368.65</v>
      </c>
      <c r="U33" s="60">
        <v>230.6</v>
      </c>
    </row>
    <row r="34" spans="1:21" ht="12.75" customHeight="1">
      <c r="A34" s="60">
        <v>33</v>
      </c>
      <c r="B34" s="60">
        <v>177.1</v>
      </c>
      <c r="C34" s="60">
        <v>205.2</v>
      </c>
      <c r="D34" s="60">
        <v>261.14999999999998</v>
      </c>
      <c r="E34" s="60">
        <v>224.9</v>
      </c>
      <c r="F34" s="60">
        <v>231.45</v>
      </c>
      <c r="G34" s="60">
        <v>271.55</v>
      </c>
      <c r="H34" s="60">
        <v>291.25</v>
      </c>
      <c r="I34" s="60">
        <v>297.89999999999998</v>
      </c>
      <c r="J34" s="60">
        <v>321.95</v>
      </c>
      <c r="K34" s="60">
        <v>245.4</v>
      </c>
      <c r="L34" s="60">
        <v>278.14999999999998</v>
      </c>
      <c r="M34" s="60">
        <v>367.55</v>
      </c>
      <c r="N34" s="60">
        <v>283.10000000000002</v>
      </c>
      <c r="O34" s="60">
        <v>230</v>
      </c>
      <c r="P34" s="60">
        <v>211.05</v>
      </c>
      <c r="Q34" s="60">
        <v>232.85</v>
      </c>
      <c r="R34" s="60">
        <v>207.55</v>
      </c>
      <c r="S34" s="60">
        <v>217.65</v>
      </c>
      <c r="T34" s="60">
        <v>375.6</v>
      </c>
      <c r="U34" s="60">
        <v>234.7</v>
      </c>
    </row>
    <row r="35" spans="1:21" ht="12.75" customHeight="1">
      <c r="A35" s="60">
        <v>34</v>
      </c>
      <c r="B35" s="60">
        <v>179.85</v>
      </c>
      <c r="C35" s="60">
        <v>208.6</v>
      </c>
      <c r="D35" s="60">
        <v>267.39999999999998</v>
      </c>
      <c r="E35" s="60">
        <v>228.6</v>
      </c>
      <c r="F35" s="60">
        <v>235.2</v>
      </c>
      <c r="G35" s="60">
        <v>276.39999999999998</v>
      </c>
      <c r="H35" s="60">
        <v>296.55</v>
      </c>
      <c r="I35" s="60">
        <v>305.2</v>
      </c>
      <c r="J35" s="60">
        <v>329.95</v>
      </c>
      <c r="K35" s="60">
        <v>249.65</v>
      </c>
      <c r="L35" s="60">
        <v>283.10000000000002</v>
      </c>
      <c r="M35" s="60">
        <v>377.2</v>
      </c>
      <c r="N35" s="60">
        <v>287.45</v>
      </c>
      <c r="O35" s="60">
        <v>234.4</v>
      </c>
      <c r="P35" s="60">
        <v>214.1</v>
      </c>
      <c r="Q35" s="60">
        <v>236.4</v>
      </c>
      <c r="R35" s="60">
        <v>210.95</v>
      </c>
      <c r="S35" s="60">
        <v>221.85</v>
      </c>
      <c r="T35" s="60">
        <v>384.7</v>
      </c>
      <c r="U35" s="60">
        <v>238.5</v>
      </c>
    </row>
    <row r="36" spans="1:21" ht="12.75" customHeight="1">
      <c r="A36" s="60">
        <v>35</v>
      </c>
      <c r="B36" s="60">
        <v>183.45</v>
      </c>
      <c r="C36" s="60">
        <v>212</v>
      </c>
      <c r="D36" s="60">
        <v>273.55</v>
      </c>
      <c r="E36" s="60">
        <v>232.6</v>
      </c>
      <c r="F36" s="60">
        <v>239.45</v>
      </c>
      <c r="G36" s="60">
        <v>281.39999999999998</v>
      </c>
      <c r="H36" s="60">
        <v>302.35000000000002</v>
      </c>
      <c r="I36" s="60">
        <v>312.55</v>
      </c>
      <c r="J36" s="60">
        <v>337.9</v>
      </c>
      <c r="K36" s="60">
        <v>254.4</v>
      </c>
      <c r="L36" s="60">
        <v>288.35000000000002</v>
      </c>
      <c r="M36" s="60">
        <v>386.85</v>
      </c>
      <c r="N36" s="60">
        <v>292.85000000000002</v>
      </c>
      <c r="O36" s="60">
        <v>238.1</v>
      </c>
      <c r="P36" s="60">
        <v>217.3</v>
      </c>
      <c r="Q36" s="60">
        <v>239.75</v>
      </c>
      <c r="R36" s="60">
        <v>214.4</v>
      </c>
      <c r="S36" s="60">
        <v>226.45</v>
      </c>
      <c r="T36" s="60">
        <v>394.1</v>
      </c>
      <c r="U36" s="60">
        <v>242.65</v>
      </c>
    </row>
    <row r="37" spans="1:21" ht="12.75" customHeight="1">
      <c r="A37" s="60">
        <v>36</v>
      </c>
      <c r="B37" s="60">
        <v>186.7</v>
      </c>
      <c r="C37" s="60">
        <v>215.55</v>
      </c>
      <c r="D37" s="60">
        <v>279.8</v>
      </c>
      <c r="E37" s="60">
        <v>236.05</v>
      </c>
      <c r="F37" s="60">
        <v>242.9</v>
      </c>
      <c r="G37" s="60">
        <v>286.05</v>
      </c>
      <c r="H37" s="60">
        <v>307.2</v>
      </c>
      <c r="I37" s="60">
        <v>319.95</v>
      </c>
      <c r="J37" s="60">
        <v>345.8</v>
      </c>
      <c r="K37" s="60">
        <v>258.3</v>
      </c>
      <c r="L37" s="60">
        <v>293.39999999999998</v>
      </c>
      <c r="M37" s="60">
        <v>396.55</v>
      </c>
      <c r="N37" s="60">
        <v>297.60000000000002</v>
      </c>
      <c r="O37" s="60">
        <v>241.85</v>
      </c>
      <c r="P37" s="60">
        <v>220.3</v>
      </c>
      <c r="Q37" s="60">
        <v>243.6</v>
      </c>
      <c r="R37" s="60">
        <v>217.5</v>
      </c>
      <c r="S37" s="60">
        <v>231</v>
      </c>
      <c r="T37" s="60">
        <v>403.55</v>
      </c>
      <c r="U37" s="60">
        <v>246.05</v>
      </c>
    </row>
    <row r="38" spans="1:21" ht="12.75" customHeight="1">
      <c r="A38" s="60">
        <v>37</v>
      </c>
      <c r="B38" s="60">
        <v>189.7</v>
      </c>
      <c r="C38" s="60">
        <v>218.75</v>
      </c>
      <c r="D38" s="60">
        <v>286</v>
      </c>
      <c r="E38" s="60">
        <v>239.5</v>
      </c>
      <c r="F38" s="60">
        <v>245.95</v>
      </c>
      <c r="G38" s="60">
        <v>290.85000000000002</v>
      </c>
      <c r="H38" s="60">
        <v>312.3</v>
      </c>
      <c r="I38" s="60">
        <v>327.35000000000002</v>
      </c>
      <c r="J38" s="60">
        <v>353.8</v>
      </c>
      <c r="K38" s="60">
        <v>262.7</v>
      </c>
      <c r="L38" s="60">
        <v>298.3</v>
      </c>
      <c r="M38" s="60">
        <v>406.2</v>
      </c>
      <c r="N38" s="60">
        <v>302.39999999999998</v>
      </c>
      <c r="O38" s="60">
        <v>245.65</v>
      </c>
      <c r="P38" s="60">
        <v>223.65</v>
      </c>
      <c r="Q38" s="60">
        <v>246.8</v>
      </c>
      <c r="R38" s="60">
        <v>220.9</v>
      </c>
      <c r="S38" s="60">
        <v>235.55</v>
      </c>
      <c r="T38" s="60">
        <v>413</v>
      </c>
      <c r="U38" s="60">
        <v>249.85</v>
      </c>
    </row>
    <row r="39" spans="1:21" ht="12.75" customHeight="1">
      <c r="A39" s="60">
        <v>38</v>
      </c>
      <c r="B39" s="60">
        <v>192.55</v>
      </c>
      <c r="C39" s="60">
        <v>221.9</v>
      </c>
      <c r="D39" s="60">
        <v>292.25</v>
      </c>
      <c r="E39" s="60">
        <v>243.25</v>
      </c>
      <c r="F39" s="60">
        <v>250</v>
      </c>
      <c r="G39" s="60">
        <v>295.5</v>
      </c>
      <c r="H39" s="60">
        <v>317.45</v>
      </c>
      <c r="I39" s="60">
        <v>334.7</v>
      </c>
      <c r="J39" s="60">
        <v>361.75</v>
      </c>
      <c r="K39" s="60">
        <v>266.14999999999998</v>
      </c>
      <c r="L39" s="60">
        <v>304.89999999999998</v>
      </c>
      <c r="M39" s="60">
        <v>415.85</v>
      </c>
      <c r="N39" s="60">
        <v>306.85000000000002</v>
      </c>
      <c r="O39" s="60">
        <v>249.5</v>
      </c>
      <c r="P39" s="60">
        <v>226.55</v>
      </c>
      <c r="Q39" s="60">
        <v>249.9</v>
      </c>
      <c r="R39" s="60">
        <v>224.05</v>
      </c>
      <c r="S39" s="60">
        <v>240.15</v>
      </c>
      <c r="T39" s="60">
        <v>422.4</v>
      </c>
      <c r="U39" s="60">
        <v>253.65</v>
      </c>
    </row>
    <row r="40" spans="1:21" ht="12.75" customHeight="1">
      <c r="A40" s="60">
        <v>39</v>
      </c>
      <c r="B40" s="60">
        <v>195.8</v>
      </c>
      <c r="C40" s="60">
        <v>225.15</v>
      </c>
      <c r="D40" s="60">
        <v>298.45</v>
      </c>
      <c r="E40" s="60">
        <v>246.6</v>
      </c>
      <c r="F40" s="60">
        <v>253.65</v>
      </c>
      <c r="G40" s="60">
        <v>300.2</v>
      </c>
      <c r="H40" s="60">
        <v>322</v>
      </c>
      <c r="I40" s="60">
        <v>342.05</v>
      </c>
      <c r="J40" s="60">
        <v>369.8</v>
      </c>
      <c r="K40" s="60">
        <v>270.85000000000002</v>
      </c>
      <c r="L40" s="60">
        <v>311.5</v>
      </c>
      <c r="M40" s="60">
        <v>425.5</v>
      </c>
      <c r="N40" s="60">
        <v>312.3</v>
      </c>
      <c r="O40" s="60">
        <v>253.3</v>
      </c>
      <c r="P40" s="60">
        <v>229.6</v>
      </c>
      <c r="Q40" s="60">
        <v>253.2</v>
      </c>
      <c r="R40" s="60">
        <v>227.4</v>
      </c>
      <c r="S40" s="60">
        <v>244.7</v>
      </c>
      <c r="T40" s="60">
        <v>431.85</v>
      </c>
      <c r="U40" s="60">
        <v>257.2</v>
      </c>
    </row>
    <row r="41" spans="1:21" ht="12.75" customHeight="1">
      <c r="A41" s="60">
        <v>40</v>
      </c>
      <c r="B41" s="60">
        <v>198.95</v>
      </c>
      <c r="C41" s="60">
        <v>228.25</v>
      </c>
      <c r="D41" s="60">
        <v>304.7</v>
      </c>
      <c r="E41" s="60">
        <v>250.25</v>
      </c>
      <c r="F41" s="60">
        <v>256.89999999999998</v>
      </c>
      <c r="G41" s="60">
        <v>304.95</v>
      </c>
      <c r="H41" s="60">
        <v>327.25</v>
      </c>
      <c r="I41" s="60">
        <v>349.45</v>
      </c>
      <c r="J41" s="60">
        <v>377.75</v>
      </c>
      <c r="K41" s="60">
        <v>275</v>
      </c>
      <c r="L41" s="60">
        <v>318.10000000000002</v>
      </c>
      <c r="M41" s="60">
        <v>435.2</v>
      </c>
      <c r="N41" s="60">
        <v>316.7</v>
      </c>
      <c r="O41" s="60">
        <v>257.10000000000002</v>
      </c>
      <c r="P41" s="60">
        <v>232.55</v>
      </c>
      <c r="Q41" s="60">
        <v>256.39999999999998</v>
      </c>
      <c r="R41" s="60">
        <v>230.5</v>
      </c>
      <c r="S41" s="60">
        <v>249.2</v>
      </c>
      <c r="T41" s="60">
        <v>441.25</v>
      </c>
      <c r="U41" s="60">
        <v>260.89999999999998</v>
      </c>
    </row>
    <row r="42" spans="1:21" ht="12.75" customHeight="1">
      <c r="A42" s="60">
        <v>41</v>
      </c>
      <c r="B42" s="60">
        <v>201.9</v>
      </c>
      <c r="C42" s="60">
        <v>231.4</v>
      </c>
      <c r="D42" s="60">
        <v>310.89999999999998</v>
      </c>
      <c r="E42" s="60">
        <v>253.35</v>
      </c>
      <c r="F42" s="60">
        <v>260.05</v>
      </c>
      <c r="G42" s="60">
        <v>308.89999999999998</v>
      </c>
      <c r="H42" s="60">
        <v>332.15</v>
      </c>
      <c r="I42" s="60">
        <v>356.8</v>
      </c>
      <c r="J42" s="60">
        <v>385.65</v>
      </c>
      <c r="K42" s="60">
        <v>287.25</v>
      </c>
      <c r="L42" s="60">
        <v>324.7</v>
      </c>
      <c r="M42" s="60">
        <v>444.85</v>
      </c>
      <c r="N42" s="60">
        <v>321.2</v>
      </c>
      <c r="O42" s="60">
        <v>269.25</v>
      </c>
      <c r="P42" s="60">
        <v>235</v>
      </c>
      <c r="Q42" s="60">
        <v>259.3</v>
      </c>
      <c r="R42" s="60">
        <v>233.45</v>
      </c>
      <c r="S42" s="60">
        <v>253.8</v>
      </c>
      <c r="T42" s="60">
        <v>450.65</v>
      </c>
      <c r="U42" s="60">
        <v>264.25</v>
      </c>
    </row>
    <row r="43" spans="1:21" ht="12.75" customHeight="1">
      <c r="A43" s="60">
        <v>42</v>
      </c>
      <c r="B43" s="60">
        <v>204.95</v>
      </c>
      <c r="C43" s="60">
        <v>234.35</v>
      </c>
      <c r="D43" s="60">
        <v>317.14999999999998</v>
      </c>
      <c r="E43" s="60">
        <v>256.64999999999998</v>
      </c>
      <c r="F43" s="60">
        <v>263.35000000000002</v>
      </c>
      <c r="G43" s="60">
        <v>313.55</v>
      </c>
      <c r="H43" s="60">
        <v>336.3</v>
      </c>
      <c r="I43" s="60">
        <v>364.2</v>
      </c>
      <c r="J43" s="60">
        <v>393.65</v>
      </c>
      <c r="K43" s="60">
        <v>291.64999999999998</v>
      </c>
      <c r="L43" s="60">
        <v>331.3</v>
      </c>
      <c r="M43" s="60">
        <v>454.5</v>
      </c>
      <c r="N43" s="60">
        <v>325.95</v>
      </c>
      <c r="O43" s="60">
        <v>281.39999999999998</v>
      </c>
      <c r="P43" s="60">
        <v>237.7</v>
      </c>
      <c r="Q43" s="60">
        <v>262.45</v>
      </c>
      <c r="R43" s="60">
        <v>236.45</v>
      </c>
      <c r="S43" s="60">
        <v>258.35000000000002</v>
      </c>
      <c r="T43" s="60">
        <v>460.1</v>
      </c>
      <c r="U43" s="60">
        <v>267.75</v>
      </c>
    </row>
    <row r="44" spans="1:21" ht="12.75" customHeight="1">
      <c r="A44" s="60">
        <v>43</v>
      </c>
      <c r="B44" s="60">
        <v>208.25</v>
      </c>
      <c r="C44" s="60">
        <v>237.25</v>
      </c>
      <c r="D44" s="60">
        <v>323.35000000000002</v>
      </c>
      <c r="E44" s="60">
        <v>259.7</v>
      </c>
      <c r="F44" s="60">
        <v>266.2</v>
      </c>
      <c r="G44" s="60">
        <v>318.5</v>
      </c>
      <c r="H44" s="60">
        <v>340.7</v>
      </c>
      <c r="I44" s="60">
        <v>371.55</v>
      </c>
      <c r="J44" s="60">
        <v>401.6</v>
      </c>
      <c r="K44" s="60">
        <v>297.3</v>
      </c>
      <c r="L44" s="60">
        <v>337.9</v>
      </c>
      <c r="M44" s="60">
        <v>464.2</v>
      </c>
      <c r="N44" s="60">
        <v>329.95</v>
      </c>
      <c r="O44" s="60">
        <v>284.5</v>
      </c>
      <c r="P44" s="60">
        <v>240.7</v>
      </c>
      <c r="Q44" s="60">
        <v>265.10000000000002</v>
      </c>
      <c r="R44" s="60">
        <v>240.75</v>
      </c>
      <c r="S44" s="60">
        <v>262.95</v>
      </c>
      <c r="T44" s="60">
        <v>469.55</v>
      </c>
      <c r="U44" s="60">
        <v>272.14999999999998</v>
      </c>
    </row>
    <row r="45" spans="1:21" ht="12.75" customHeight="1">
      <c r="A45" s="60">
        <v>44</v>
      </c>
      <c r="B45" s="60">
        <v>212.65</v>
      </c>
      <c r="C45" s="60">
        <v>240</v>
      </c>
      <c r="D45" s="60">
        <v>329.6</v>
      </c>
      <c r="E45" s="60">
        <v>263.10000000000002</v>
      </c>
      <c r="F45" s="60">
        <v>269.75</v>
      </c>
      <c r="G45" s="60">
        <v>322.05</v>
      </c>
      <c r="H45" s="60">
        <v>347.1</v>
      </c>
      <c r="I45" s="60">
        <v>378.9</v>
      </c>
      <c r="J45" s="60">
        <v>409.6</v>
      </c>
      <c r="K45" s="60">
        <v>302.8</v>
      </c>
      <c r="L45" s="60">
        <v>344.45</v>
      </c>
      <c r="M45" s="60">
        <v>473.85</v>
      </c>
      <c r="N45" s="60">
        <v>334.35</v>
      </c>
      <c r="O45" s="60">
        <v>288.2</v>
      </c>
      <c r="P45" s="60">
        <v>243.25</v>
      </c>
      <c r="Q45" s="60">
        <v>268.14999999999998</v>
      </c>
      <c r="R45" s="60">
        <v>245</v>
      </c>
      <c r="S45" s="60">
        <v>267.5</v>
      </c>
      <c r="T45" s="60">
        <v>478.95</v>
      </c>
      <c r="U45" s="60">
        <v>277.14999999999998</v>
      </c>
    </row>
    <row r="46" spans="1:21" ht="12.75" customHeight="1">
      <c r="A46" s="60">
        <v>45</v>
      </c>
      <c r="B46" s="60">
        <v>217.05</v>
      </c>
      <c r="C46" s="60">
        <v>242.7</v>
      </c>
      <c r="D46" s="60">
        <v>335.75</v>
      </c>
      <c r="E46" s="60">
        <v>265.85000000000002</v>
      </c>
      <c r="F46" s="60">
        <v>272.64999999999998</v>
      </c>
      <c r="G46" s="60">
        <v>326.25</v>
      </c>
      <c r="H46" s="60">
        <v>349.95</v>
      </c>
      <c r="I46" s="60">
        <v>386.3</v>
      </c>
      <c r="J46" s="60">
        <v>417.6</v>
      </c>
      <c r="K46" s="60">
        <v>308.45</v>
      </c>
      <c r="L46" s="60">
        <v>351.05</v>
      </c>
      <c r="M46" s="60">
        <v>483.5</v>
      </c>
      <c r="N46" s="60">
        <v>338.35</v>
      </c>
      <c r="O46" s="60">
        <v>291.45</v>
      </c>
      <c r="P46" s="60">
        <v>246.05</v>
      </c>
      <c r="Q46" s="60">
        <v>271.2</v>
      </c>
      <c r="R46" s="60">
        <v>249.25</v>
      </c>
      <c r="S46" s="60">
        <v>272.05</v>
      </c>
      <c r="T46" s="60"/>
      <c r="U46" s="60">
        <v>282.14999999999998</v>
      </c>
    </row>
    <row r="47" spans="1:21" ht="12.75" customHeight="1">
      <c r="A47" s="60">
        <v>46</v>
      </c>
      <c r="B47" s="60">
        <v>220.95</v>
      </c>
      <c r="C47" s="60">
        <v>245.6</v>
      </c>
      <c r="D47" s="60">
        <v>342</v>
      </c>
      <c r="E47" s="60">
        <v>268.8</v>
      </c>
      <c r="F47" s="60">
        <v>275.7</v>
      </c>
      <c r="G47" s="60">
        <v>329.3</v>
      </c>
      <c r="H47" s="60">
        <v>354.1</v>
      </c>
      <c r="I47" s="60">
        <v>393.65</v>
      </c>
      <c r="J47" s="60">
        <v>425.5</v>
      </c>
      <c r="K47" s="60">
        <v>314</v>
      </c>
      <c r="L47" s="60">
        <v>357.65</v>
      </c>
      <c r="M47" s="60">
        <v>493.2</v>
      </c>
      <c r="N47" s="60">
        <v>342.55</v>
      </c>
      <c r="O47" s="60">
        <v>295.35000000000002</v>
      </c>
      <c r="P47" s="60">
        <v>249.75</v>
      </c>
      <c r="Q47" s="60">
        <v>274</v>
      </c>
      <c r="R47" s="60">
        <v>253.55</v>
      </c>
      <c r="S47" s="60">
        <v>276.8</v>
      </c>
      <c r="T47" s="60"/>
      <c r="U47" s="60">
        <v>287.14999999999998</v>
      </c>
    </row>
    <row r="48" spans="1:21" ht="12.75" customHeight="1">
      <c r="A48" s="60">
        <v>47</v>
      </c>
      <c r="B48" s="60">
        <v>225.3</v>
      </c>
      <c r="C48" s="60">
        <v>248.25</v>
      </c>
      <c r="D48" s="60">
        <v>348.2</v>
      </c>
      <c r="E48" s="60">
        <v>271.7</v>
      </c>
      <c r="F48" s="60">
        <v>279.45</v>
      </c>
      <c r="G48" s="60">
        <v>335.35</v>
      </c>
      <c r="H48" s="60">
        <v>358.85</v>
      </c>
      <c r="I48" s="60">
        <v>401.05</v>
      </c>
      <c r="J48" s="60">
        <v>433.5</v>
      </c>
      <c r="K48" s="60">
        <v>319.64999999999998</v>
      </c>
      <c r="L48" s="60">
        <v>364.25</v>
      </c>
      <c r="M48" s="60">
        <v>502.85</v>
      </c>
      <c r="N48" s="60">
        <v>345.55</v>
      </c>
      <c r="O48" s="60">
        <v>298.55</v>
      </c>
      <c r="P48" s="60">
        <v>253.95</v>
      </c>
      <c r="Q48" s="60">
        <v>276.3</v>
      </c>
      <c r="R48" s="60">
        <v>257.8</v>
      </c>
      <c r="S48" s="60">
        <v>281.35000000000002</v>
      </c>
      <c r="T48" s="60"/>
      <c r="U48" s="60">
        <v>292.10000000000002</v>
      </c>
    </row>
    <row r="49" spans="1:21" ht="12.75" customHeight="1">
      <c r="A49" s="60">
        <v>48</v>
      </c>
      <c r="B49" s="60">
        <v>229.35</v>
      </c>
      <c r="C49" s="60">
        <v>251.05</v>
      </c>
      <c r="D49" s="60">
        <v>354.45</v>
      </c>
      <c r="E49" s="60">
        <v>274.89999999999998</v>
      </c>
      <c r="F49" s="60">
        <v>284.2</v>
      </c>
      <c r="G49" s="60">
        <v>341.5</v>
      </c>
      <c r="H49" s="60">
        <v>363.1</v>
      </c>
      <c r="I49" s="60">
        <v>408.45</v>
      </c>
      <c r="J49" s="60">
        <v>441.45</v>
      </c>
      <c r="K49" s="60">
        <v>325.14999999999998</v>
      </c>
      <c r="L49" s="60">
        <v>370.85</v>
      </c>
      <c r="M49" s="60">
        <v>512.5</v>
      </c>
      <c r="N49" s="60">
        <v>349.65</v>
      </c>
      <c r="O49" s="60">
        <v>301.60000000000002</v>
      </c>
      <c r="P49" s="60">
        <v>258.14999999999998</v>
      </c>
      <c r="Q49" s="60">
        <v>279</v>
      </c>
      <c r="R49" s="60">
        <v>262.05</v>
      </c>
      <c r="S49" s="60">
        <v>285.89999999999998</v>
      </c>
      <c r="T49" s="60"/>
      <c r="U49" s="60">
        <v>297.10000000000002</v>
      </c>
    </row>
    <row r="50" spans="1:21" ht="12.75" customHeight="1">
      <c r="A50" s="60">
        <v>49</v>
      </c>
      <c r="B50" s="60">
        <v>233.95</v>
      </c>
      <c r="C50" s="60">
        <v>253.45</v>
      </c>
      <c r="D50" s="60">
        <v>360.65</v>
      </c>
      <c r="E50" s="60">
        <v>277.5</v>
      </c>
      <c r="F50" s="60">
        <v>288.95</v>
      </c>
      <c r="G50" s="60">
        <v>347.65</v>
      </c>
      <c r="H50" s="60">
        <v>366.8</v>
      </c>
      <c r="I50" s="60">
        <v>415.8</v>
      </c>
      <c r="J50" s="60">
        <v>449.35</v>
      </c>
      <c r="K50" s="60">
        <v>330.8</v>
      </c>
      <c r="L50" s="60">
        <v>377.45</v>
      </c>
      <c r="M50" s="60">
        <v>522.20000000000005</v>
      </c>
      <c r="N50" s="60">
        <v>354.45</v>
      </c>
      <c r="O50" s="60">
        <v>304.89999999999998</v>
      </c>
      <c r="P50" s="60">
        <v>262.35000000000002</v>
      </c>
      <c r="Q50" s="60">
        <v>283.10000000000002</v>
      </c>
      <c r="R50" s="60">
        <v>266.35000000000002</v>
      </c>
      <c r="S50" s="60">
        <v>290.5</v>
      </c>
      <c r="T50" s="60"/>
      <c r="U50" s="60">
        <v>302.10000000000002</v>
      </c>
    </row>
    <row r="51" spans="1:21" ht="12.75" customHeight="1">
      <c r="A51" s="60">
        <v>50</v>
      </c>
      <c r="B51" s="60">
        <v>238.05</v>
      </c>
      <c r="C51" s="60">
        <v>256.35000000000002</v>
      </c>
      <c r="D51" s="60">
        <v>366.9</v>
      </c>
      <c r="E51" s="60">
        <v>280.5</v>
      </c>
      <c r="F51" s="60">
        <v>293.7</v>
      </c>
      <c r="G51" s="60">
        <v>353.8</v>
      </c>
      <c r="H51" s="60">
        <v>369.65</v>
      </c>
      <c r="I51" s="60">
        <v>423.1</v>
      </c>
      <c r="J51" s="60">
        <v>457.35</v>
      </c>
      <c r="K51" s="60">
        <v>336.3</v>
      </c>
      <c r="L51" s="60">
        <v>384.05</v>
      </c>
      <c r="M51" s="60">
        <v>531.85</v>
      </c>
      <c r="N51" s="60">
        <v>357.8</v>
      </c>
      <c r="O51" s="60">
        <v>309.60000000000002</v>
      </c>
      <c r="P51" s="60">
        <v>266.60000000000002</v>
      </c>
      <c r="Q51" s="60">
        <v>287.64999999999998</v>
      </c>
      <c r="R51" s="60">
        <v>270.60000000000002</v>
      </c>
      <c r="S51" s="60">
        <v>295.05</v>
      </c>
      <c r="T51" s="60"/>
      <c r="U51" s="60">
        <v>307.05</v>
      </c>
    </row>
    <row r="52" spans="1:21" ht="12.75" customHeight="1">
      <c r="A52" s="60">
        <v>51</v>
      </c>
      <c r="B52" s="60">
        <v>241.8</v>
      </c>
      <c r="C52" s="60">
        <v>260.3</v>
      </c>
      <c r="D52" s="60">
        <v>373.05</v>
      </c>
      <c r="E52" s="60">
        <v>284.75</v>
      </c>
      <c r="F52" s="60">
        <v>298.45</v>
      </c>
      <c r="G52" s="60">
        <v>359.95</v>
      </c>
      <c r="H52" s="60">
        <v>376.45</v>
      </c>
      <c r="I52" s="60">
        <v>430.5</v>
      </c>
      <c r="J52" s="60">
        <v>465.35</v>
      </c>
      <c r="K52" s="60">
        <v>341.85</v>
      </c>
      <c r="L52" s="60">
        <v>390.65</v>
      </c>
      <c r="M52" s="60">
        <v>541.5</v>
      </c>
      <c r="N52" s="60">
        <v>363.5</v>
      </c>
      <c r="O52" s="60">
        <v>314.55</v>
      </c>
      <c r="P52" s="60">
        <v>267.7</v>
      </c>
      <c r="Q52" s="60">
        <v>292.2</v>
      </c>
      <c r="R52" s="60">
        <v>274.89999999999998</v>
      </c>
      <c r="S52" s="60">
        <v>299.64999999999998</v>
      </c>
      <c r="T52" s="60"/>
      <c r="U52" s="60">
        <v>312.05</v>
      </c>
    </row>
    <row r="53" spans="1:21" ht="12.75" customHeight="1">
      <c r="A53" s="60">
        <v>52</v>
      </c>
      <c r="B53" s="60">
        <v>246.25</v>
      </c>
      <c r="C53" s="60">
        <v>264.8</v>
      </c>
      <c r="D53" s="60">
        <v>379.3</v>
      </c>
      <c r="E53" s="60">
        <v>289.7</v>
      </c>
      <c r="F53" s="60">
        <v>303.2</v>
      </c>
      <c r="G53" s="60">
        <v>366.1</v>
      </c>
      <c r="H53" s="60">
        <v>383.35</v>
      </c>
      <c r="I53" s="60">
        <v>437.9</v>
      </c>
      <c r="J53" s="60">
        <v>473.35</v>
      </c>
      <c r="K53" s="60">
        <v>347.45</v>
      </c>
      <c r="L53" s="60">
        <v>397.25</v>
      </c>
      <c r="M53" s="60">
        <v>551.20000000000005</v>
      </c>
      <c r="N53" s="60">
        <v>370.2</v>
      </c>
      <c r="O53" s="60">
        <v>319.55</v>
      </c>
      <c r="P53" s="60">
        <v>271.85000000000002</v>
      </c>
      <c r="Q53" s="60">
        <v>296.75</v>
      </c>
      <c r="R53" s="60">
        <v>279.14999999999998</v>
      </c>
      <c r="S53" s="60">
        <v>304.14999999999998</v>
      </c>
      <c r="T53" s="60"/>
      <c r="U53" s="60">
        <v>317.05</v>
      </c>
    </row>
    <row r="54" spans="1:21" ht="12.75" customHeight="1">
      <c r="A54" s="60">
        <v>53</v>
      </c>
      <c r="B54" s="60">
        <v>250.3</v>
      </c>
      <c r="C54" s="60">
        <v>268.95</v>
      </c>
      <c r="D54" s="60">
        <v>385.5</v>
      </c>
      <c r="E54" s="60">
        <v>294.39999999999998</v>
      </c>
      <c r="F54" s="60">
        <v>307.89999999999998</v>
      </c>
      <c r="G54" s="60">
        <v>372.2</v>
      </c>
      <c r="H54" s="60">
        <v>391.25</v>
      </c>
      <c r="I54" s="60">
        <v>445.25</v>
      </c>
      <c r="J54" s="60">
        <v>481.3</v>
      </c>
      <c r="K54" s="60">
        <v>353</v>
      </c>
      <c r="L54" s="60">
        <v>403.8</v>
      </c>
      <c r="M54" s="60">
        <v>560.85</v>
      </c>
      <c r="N54" s="60">
        <v>376.85</v>
      </c>
      <c r="O54" s="60">
        <v>324.55</v>
      </c>
      <c r="P54" s="60">
        <v>276.05</v>
      </c>
      <c r="Q54" s="60">
        <v>301.25</v>
      </c>
      <c r="R54" s="60">
        <v>283.39999999999998</v>
      </c>
      <c r="S54" s="60">
        <v>308.7</v>
      </c>
      <c r="T54" s="60"/>
      <c r="U54" s="60">
        <v>322.05</v>
      </c>
    </row>
    <row r="55" spans="1:21" ht="12.75" customHeight="1">
      <c r="A55" s="60">
        <v>54</v>
      </c>
      <c r="B55" s="60">
        <v>254.55</v>
      </c>
      <c r="C55" s="60">
        <v>273.25</v>
      </c>
      <c r="D55" s="60">
        <v>391.7</v>
      </c>
      <c r="E55" s="60">
        <v>298.85000000000002</v>
      </c>
      <c r="F55" s="60">
        <v>312.64999999999998</v>
      </c>
      <c r="G55" s="60">
        <v>378.35</v>
      </c>
      <c r="H55" s="60">
        <v>396.9</v>
      </c>
      <c r="I55" s="60">
        <v>452.65</v>
      </c>
      <c r="J55" s="60">
        <v>489.2</v>
      </c>
      <c r="K55" s="60">
        <v>358.65</v>
      </c>
      <c r="L55" s="60">
        <v>410.4</v>
      </c>
      <c r="M55" s="60">
        <v>570.5</v>
      </c>
      <c r="N55" s="60">
        <v>382.85</v>
      </c>
      <c r="O55" s="60">
        <v>329.85</v>
      </c>
      <c r="P55" s="60">
        <v>280.14999999999998</v>
      </c>
      <c r="Q55" s="60">
        <v>305.8</v>
      </c>
      <c r="R55" s="60">
        <v>287.7</v>
      </c>
      <c r="S55" s="60">
        <v>313.3</v>
      </c>
      <c r="T55" s="60"/>
      <c r="U55" s="60">
        <v>327.05</v>
      </c>
    </row>
    <row r="56" spans="1:21" ht="12.75" customHeight="1">
      <c r="A56" s="60">
        <v>55</v>
      </c>
      <c r="B56" s="60">
        <v>258.89999999999998</v>
      </c>
      <c r="C56" s="60">
        <v>277.5</v>
      </c>
      <c r="D56" s="60">
        <v>397.9</v>
      </c>
      <c r="E56" s="60">
        <v>304.05</v>
      </c>
      <c r="F56" s="60">
        <v>317.39999999999998</v>
      </c>
      <c r="G56" s="60">
        <v>384.5</v>
      </c>
      <c r="H56" s="60">
        <v>403</v>
      </c>
      <c r="I56" s="60">
        <v>460</v>
      </c>
      <c r="J56" s="60">
        <v>497.2</v>
      </c>
      <c r="K56" s="60">
        <v>364.15</v>
      </c>
      <c r="L56" s="60">
        <v>417</v>
      </c>
      <c r="M56" s="60">
        <v>580.20000000000005</v>
      </c>
      <c r="N56" s="60">
        <v>389.5</v>
      </c>
      <c r="O56" s="60">
        <v>334.9</v>
      </c>
      <c r="P56" s="60">
        <v>284.3</v>
      </c>
      <c r="Q56" s="60">
        <v>310.35000000000002</v>
      </c>
      <c r="R56" s="60">
        <v>292</v>
      </c>
      <c r="S56" s="60">
        <v>317.85000000000002</v>
      </c>
      <c r="T56" s="60"/>
      <c r="U56" s="60">
        <v>332</v>
      </c>
    </row>
    <row r="57" spans="1:21" ht="12.75" customHeight="1">
      <c r="A57" s="60">
        <v>56</v>
      </c>
      <c r="B57" s="60">
        <v>262.89999999999998</v>
      </c>
      <c r="C57" s="60">
        <v>282.05</v>
      </c>
      <c r="D57" s="60">
        <v>404.1</v>
      </c>
      <c r="E57" s="60">
        <v>308.60000000000002</v>
      </c>
      <c r="F57" s="60">
        <v>322.14999999999998</v>
      </c>
      <c r="G57" s="60">
        <v>390.65</v>
      </c>
      <c r="H57" s="60">
        <v>409.65</v>
      </c>
      <c r="I57" s="60">
        <v>467.35</v>
      </c>
      <c r="J57" s="60">
        <v>505.15</v>
      </c>
      <c r="K57" s="60">
        <v>369.8</v>
      </c>
      <c r="L57" s="60">
        <v>423.6</v>
      </c>
      <c r="M57" s="60">
        <v>589.85</v>
      </c>
      <c r="N57" s="60">
        <v>394.85</v>
      </c>
      <c r="O57" s="60">
        <v>339.55</v>
      </c>
      <c r="P57" s="60">
        <v>288.5</v>
      </c>
      <c r="Q57" s="60">
        <v>314.89999999999998</v>
      </c>
      <c r="R57" s="60">
        <v>296.25</v>
      </c>
      <c r="S57" s="60">
        <v>322.39999999999998</v>
      </c>
      <c r="T57" s="60"/>
      <c r="U57" s="60">
        <v>337</v>
      </c>
    </row>
    <row r="58" spans="1:21" ht="12.75" customHeight="1">
      <c r="A58" s="60">
        <v>57</v>
      </c>
      <c r="B58" s="60">
        <v>267.14999999999998</v>
      </c>
      <c r="C58" s="60">
        <v>286.10000000000002</v>
      </c>
      <c r="D58" s="60">
        <v>410.35</v>
      </c>
      <c r="E58" s="60">
        <v>313.25</v>
      </c>
      <c r="F58" s="60">
        <v>326.89999999999998</v>
      </c>
      <c r="G58" s="60">
        <v>396.8</v>
      </c>
      <c r="H58" s="60">
        <v>415.75</v>
      </c>
      <c r="I58" s="60">
        <v>474.7</v>
      </c>
      <c r="J58" s="60">
        <v>513.20000000000005</v>
      </c>
      <c r="K58" s="60">
        <v>375.35</v>
      </c>
      <c r="L58" s="60">
        <v>430.2</v>
      </c>
      <c r="M58" s="60">
        <v>599.5</v>
      </c>
      <c r="N58" s="60">
        <v>402.3</v>
      </c>
      <c r="O58" s="60">
        <v>345.2</v>
      </c>
      <c r="P58" s="60">
        <v>292.64999999999998</v>
      </c>
      <c r="Q58" s="60">
        <v>319.45</v>
      </c>
      <c r="R58" s="60">
        <v>300.55</v>
      </c>
      <c r="S58" s="60">
        <v>327</v>
      </c>
      <c r="T58" s="60"/>
      <c r="U58" s="60">
        <v>342</v>
      </c>
    </row>
    <row r="59" spans="1:21" ht="12.75" customHeight="1">
      <c r="A59" s="60">
        <v>58</v>
      </c>
      <c r="B59" s="60">
        <v>271.14999999999998</v>
      </c>
      <c r="C59" s="60">
        <v>290.35000000000002</v>
      </c>
      <c r="D59" s="60">
        <v>416.55</v>
      </c>
      <c r="E59" s="60">
        <v>318.3</v>
      </c>
      <c r="F59" s="60">
        <v>331.6</v>
      </c>
      <c r="G59" s="60">
        <v>402.95</v>
      </c>
      <c r="H59" s="60">
        <v>422</v>
      </c>
      <c r="I59" s="60">
        <v>482.15</v>
      </c>
      <c r="J59" s="60">
        <v>521.15</v>
      </c>
      <c r="K59" s="60">
        <v>380.95</v>
      </c>
      <c r="L59" s="60">
        <v>436.8</v>
      </c>
      <c r="M59" s="60">
        <v>609.20000000000005</v>
      </c>
      <c r="N59" s="60">
        <v>407.5</v>
      </c>
      <c r="O59" s="60">
        <v>350.85</v>
      </c>
      <c r="P59" s="60">
        <v>296.85000000000002</v>
      </c>
      <c r="Q59" s="60">
        <v>323.95</v>
      </c>
      <c r="R59" s="60">
        <v>304.8</v>
      </c>
      <c r="S59" s="60">
        <v>331.5</v>
      </c>
      <c r="T59" s="60"/>
      <c r="U59" s="60">
        <v>347</v>
      </c>
    </row>
    <row r="60" spans="1:21" ht="12.75" customHeight="1">
      <c r="A60" s="60">
        <v>59</v>
      </c>
      <c r="B60" s="60">
        <v>275.25</v>
      </c>
      <c r="C60" s="60">
        <v>295</v>
      </c>
      <c r="D60" s="60">
        <v>422.8</v>
      </c>
      <c r="E60" s="60">
        <v>322.35000000000002</v>
      </c>
      <c r="F60" s="60">
        <v>336.35</v>
      </c>
      <c r="G60" s="60">
        <v>409.1</v>
      </c>
      <c r="H60" s="60">
        <v>428.6</v>
      </c>
      <c r="I60" s="60">
        <v>489.5</v>
      </c>
      <c r="J60" s="60">
        <v>529.04999999999995</v>
      </c>
      <c r="K60" s="60">
        <v>386.5</v>
      </c>
      <c r="L60" s="60">
        <v>443.35</v>
      </c>
      <c r="M60" s="60">
        <v>618.85</v>
      </c>
      <c r="N60" s="60">
        <v>414.1</v>
      </c>
      <c r="O60" s="60">
        <v>355</v>
      </c>
      <c r="P60" s="60">
        <v>300.89999999999998</v>
      </c>
      <c r="Q60" s="60">
        <v>328.5</v>
      </c>
      <c r="R60" s="60">
        <v>309.05</v>
      </c>
      <c r="S60" s="60">
        <v>336.1</v>
      </c>
      <c r="T60" s="60"/>
      <c r="U60" s="60">
        <v>351.95</v>
      </c>
    </row>
    <row r="61" spans="1:21" ht="12.75" customHeight="1">
      <c r="A61" s="60">
        <v>60</v>
      </c>
      <c r="B61" s="60">
        <v>280.14999999999998</v>
      </c>
      <c r="C61" s="60">
        <v>299.45</v>
      </c>
      <c r="D61" s="60">
        <v>429</v>
      </c>
      <c r="E61" s="60">
        <v>327.64999999999998</v>
      </c>
      <c r="F61" s="60">
        <v>341.1</v>
      </c>
      <c r="G61" s="60">
        <v>415.25</v>
      </c>
      <c r="H61" s="60">
        <v>436.2</v>
      </c>
      <c r="I61" s="60">
        <v>496.8</v>
      </c>
      <c r="J61" s="60">
        <v>537.04999999999995</v>
      </c>
      <c r="K61" s="60">
        <v>392.15</v>
      </c>
      <c r="L61" s="60">
        <v>449.95</v>
      </c>
      <c r="M61" s="60">
        <v>628.5</v>
      </c>
      <c r="N61" s="60">
        <v>419</v>
      </c>
      <c r="O61" s="60">
        <v>360.75</v>
      </c>
      <c r="P61" s="60">
        <v>305.10000000000002</v>
      </c>
      <c r="Q61" s="60">
        <v>333.05</v>
      </c>
      <c r="R61" s="60">
        <v>313.35000000000002</v>
      </c>
      <c r="S61" s="60">
        <v>340.7</v>
      </c>
      <c r="T61" s="60"/>
      <c r="U61" s="60">
        <v>356.95</v>
      </c>
    </row>
    <row r="62" spans="1:21" ht="12.75" customHeight="1">
      <c r="A62" s="60">
        <v>61</v>
      </c>
      <c r="B62" s="60">
        <v>283.45</v>
      </c>
      <c r="C62" s="60">
        <v>303.45</v>
      </c>
      <c r="D62" s="60">
        <v>435.25</v>
      </c>
      <c r="E62" s="60">
        <v>331.6</v>
      </c>
      <c r="F62" s="60">
        <v>345.85</v>
      </c>
      <c r="G62" s="60">
        <v>421.4</v>
      </c>
      <c r="H62" s="60">
        <v>442.25</v>
      </c>
      <c r="I62" s="60">
        <v>504.2</v>
      </c>
      <c r="J62" s="60">
        <v>545</v>
      </c>
      <c r="K62" s="60">
        <v>397.65</v>
      </c>
      <c r="L62" s="60">
        <v>456.55</v>
      </c>
      <c r="M62" s="60">
        <v>638.20000000000005</v>
      </c>
      <c r="N62" s="60">
        <v>428</v>
      </c>
      <c r="O62" s="60">
        <v>365.95</v>
      </c>
      <c r="P62" s="60">
        <v>309.25</v>
      </c>
      <c r="Q62" s="60">
        <v>337.6</v>
      </c>
      <c r="R62" s="60">
        <v>317.60000000000002</v>
      </c>
      <c r="S62" s="60">
        <v>345.25</v>
      </c>
      <c r="T62" s="60"/>
      <c r="U62" s="60">
        <v>361.95</v>
      </c>
    </row>
    <row r="63" spans="1:21" ht="12.75" customHeight="1">
      <c r="A63" s="60">
        <v>62</v>
      </c>
      <c r="B63" s="60">
        <v>288.14999999999998</v>
      </c>
      <c r="C63" s="60">
        <v>307.8</v>
      </c>
      <c r="D63" s="60">
        <v>441.45</v>
      </c>
      <c r="E63" s="60">
        <v>336.35</v>
      </c>
      <c r="F63" s="60">
        <v>350.6</v>
      </c>
      <c r="G63" s="60">
        <v>427.55</v>
      </c>
      <c r="H63" s="60">
        <v>447.6</v>
      </c>
      <c r="I63" s="60">
        <v>511.6</v>
      </c>
      <c r="J63" s="60">
        <v>552.9</v>
      </c>
      <c r="K63" s="60">
        <v>403.25</v>
      </c>
      <c r="L63" s="60">
        <v>463.15</v>
      </c>
      <c r="M63" s="60">
        <v>647.85</v>
      </c>
      <c r="N63" s="60">
        <v>431.75</v>
      </c>
      <c r="O63" s="60">
        <v>371.5</v>
      </c>
      <c r="P63" s="60">
        <v>313.39999999999998</v>
      </c>
      <c r="Q63" s="60">
        <v>342.15</v>
      </c>
      <c r="R63" s="60">
        <v>321.89999999999998</v>
      </c>
      <c r="S63" s="60">
        <v>349.95</v>
      </c>
      <c r="T63" s="60"/>
      <c r="U63" s="60">
        <v>366.95</v>
      </c>
    </row>
    <row r="64" spans="1:21" ht="12.75" customHeight="1">
      <c r="A64" s="60">
        <v>63</v>
      </c>
      <c r="B64" s="60">
        <v>292.39999999999998</v>
      </c>
      <c r="C64" s="60">
        <v>311.95</v>
      </c>
      <c r="D64" s="60">
        <v>447.7</v>
      </c>
      <c r="E64" s="60">
        <v>340.85</v>
      </c>
      <c r="F64" s="60">
        <v>355.35</v>
      </c>
      <c r="G64" s="60">
        <v>433.7</v>
      </c>
      <c r="H64" s="60">
        <v>454.9</v>
      </c>
      <c r="I64" s="60">
        <v>518.95000000000005</v>
      </c>
      <c r="J64" s="60">
        <v>560.95000000000005</v>
      </c>
      <c r="K64" s="60">
        <v>408.8</v>
      </c>
      <c r="L64" s="60">
        <v>469.75</v>
      </c>
      <c r="M64" s="60">
        <v>657.5</v>
      </c>
      <c r="N64" s="60">
        <v>439.7</v>
      </c>
      <c r="O64" s="60">
        <v>376.7</v>
      </c>
      <c r="P64" s="60">
        <v>317.55</v>
      </c>
      <c r="Q64" s="60">
        <v>346.65</v>
      </c>
      <c r="R64" s="60">
        <v>326.14999999999998</v>
      </c>
      <c r="S64" s="60">
        <v>354.5</v>
      </c>
      <c r="T64" s="60"/>
      <c r="U64" s="60">
        <v>371.95</v>
      </c>
    </row>
    <row r="65" spans="1:21" ht="12.75" customHeight="1">
      <c r="A65" s="60">
        <v>64</v>
      </c>
      <c r="B65" s="60">
        <v>296.5</v>
      </c>
      <c r="C65" s="60">
        <v>316.64999999999998</v>
      </c>
      <c r="D65" s="60">
        <v>453.9</v>
      </c>
      <c r="E65" s="60">
        <v>345.65</v>
      </c>
      <c r="F65" s="60">
        <v>360.05</v>
      </c>
      <c r="G65" s="60">
        <v>439.85</v>
      </c>
      <c r="H65" s="60">
        <v>461.1</v>
      </c>
      <c r="I65" s="60">
        <v>526.35</v>
      </c>
      <c r="J65" s="60">
        <v>568.9</v>
      </c>
      <c r="K65" s="60">
        <v>414.4</v>
      </c>
      <c r="L65" s="60">
        <v>476.35</v>
      </c>
      <c r="M65" s="60">
        <v>667.2</v>
      </c>
      <c r="N65" s="60">
        <v>444.8</v>
      </c>
      <c r="O65" s="60">
        <v>381.9</v>
      </c>
      <c r="P65" s="60">
        <v>321.7</v>
      </c>
      <c r="Q65" s="60">
        <v>351.2</v>
      </c>
      <c r="R65" s="60">
        <v>330.4</v>
      </c>
      <c r="S65" s="60">
        <v>359.05</v>
      </c>
      <c r="T65" s="60"/>
      <c r="U65" s="60">
        <v>376.9</v>
      </c>
    </row>
    <row r="66" spans="1:21" ht="12.75" customHeight="1">
      <c r="A66" s="60">
        <v>65</v>
      </c>
      <c r="B66" s="60">
        <v>300.7</v>
      </c>
      <c r="C66" s="60">
        <v>320.64999999999998</v>
      </c>
      <c r="D66" s="60">
        <v>460.1</v>
      </c>
      <c r="E66" s="60">
        <v>350.5</v>
      </c>
      <c r="F66" s="60">
        <v>364.8</v>
      </c>
      <c r="G66" s="60">
        <v>446</v>
      </c>
      <c r="H66" s="60">
        <v>468.5</v>
      </c>
      <c r="I66" s="60">
        <v>533.70000000000005</v>
      </c>
      <c r="J66" s="60">
        <v>576.9</v>
      </c>
      <c r="K66" s="60">
        <v>420</v>
      </c>
      <c r="L66" s="60">
        <v>482.95</v>
      </c>
      <c r="M66" s="60">
        <v>676.85</v>
      </c>
      <c r="N66" s="60">
        <v>450.4</v>
      </c>
      <c r="O66" s="60">
        <v>387.25</v>
      </c>
      <c r="P66" s="60">
        <v>325.89999999999998</v>
      </c>
      <c r="Q66" s="60">
        <v>355.75</v>
      </c>
      <c r="R66" s="60">
        <v>334.7</v>
      </c>
      <c r="S66" s="60">
        <v>363.6</v>
      </c>
      <c r="T66" s="60"/>
      <c r="U66" s="60">
        <v>381.9</v>
      </c>
    </row>
    <row r="67" spans="1:21" ht="12.75" customHeight="1">
      <c r="A67" s="60">
        <v>66</v>
      </c>
      <c r="B67" s="60">
        <v>305.95</v>
      </c>
      <c r="C67" s="60">
        <v>324.75</v>
      </c>
      <c r="D67" s="60">
        <v>466.3</v>
      </c>
      <c r="E67" s="60">
        <v>355.45</v>
      </c>
      <c r="F67" s="60">
        <v>369.55</v>
      </c>
      <c r="G67" s="60">
        <v>452.15</v>
      </c>
      <c r="H67" s="60">
        <v>472.45</v>
      </c>
      <c r="I67" s="60">
        <v>541.04999999999995</v>
      </c>
      <c r="J67" s="60">
        <v>584.85</v>
      </c>
      <c r="K67" s="60">
        <v>425.55</v>
      </c>
      <c r="L67" s="60">
        <v>489.55</v>
      </c>
      <c r="M67" s="60">
        <v>686.5</v>
      </c>
      <c r="N67" s="60">
        <v>459.45</v>
      </c>
      <c r="O67" s="60">
        <v>394.7</v>
      </c>
      <c r="P67" s="60">
        <v>330</v>
      </c>
      <c r="Q67" s="60">
        <v>360.3</v>
      </c>
      <c r="R67" s="60">
        <v>338.95</v>
      </c>
      <c r="S67" s="60">
        <v>368.15</v>
      </c>
      <c r="T67" s="60"/>
      <c r="U67" s="60">
        <v>386.9</v>
      </c>
    </row>
    <row r="68" spans="1:21" ht="12.75" customHeight="1">
      <c r="A68" s="60">
        <v>67</v>
      </c>
      <c r="C68" s="60">
        <v>329.25</v>
      </c>
      <c r="D68" s="60">
        <v>472.55</v>
      </c>
      <c r="E68" s="60">
        <v>359.1</v>
      </c>
      <c r="F68" s="60">
        <v>374.3</v>
      </c>
      <c r="G68" s="60">
        <v>458.25</v>
      </c>
      <c r="H68" s="60">
        <v>482.6</v>
      </c>
      <c r="I68" s="60">
        <v>548.4</v>
      </c>
      <c r="J68" s="60">
        <v>592.75</v>
      </c>
      <c r="K68" s="60">
        <v>431.15</v>
      </c>
      <c r="L68" s="60">
        <v>496.1</v>
      </c>
      <c r="Q68" s="86">
        <v>364.85</v>
      </c>
      <c r="T68" s="60"/>
    </row>
    <row r="69" spans="1:21" ht="12.75" customHeight="1">
      <c r="A69" s="60">
        <v>68</v>
      </c>
      <c r="C69" s="60">
        <v>333.7</v>
      </c>
      <c r="D69" s="60">
        <v>478.75</v>
      </c>
      <c r="E69" s="60">
        <v>364.75</v>
      </c>
      <c r="F69" s="60">
        <v>379.05</v>
      </c>
      <c r="G69" s="60">
        <v>464.4</v>
      </c>
      <c r="H69" s="60">
        <v>487.35</v>
      </c>
      <c r="I69" s="60">
        <v>555.79999999999995</v>
      </c>
      <c r="J69" s="60">
        <v>600.75</v>
      </c>
      <c r="K69" s="60">
        <v>436.75</v>
      </c>
      <c r="L69" s="60">
        <v>502.7</v>
      </c>
      <c r="Q69" s="86">
        <v>369.35</v>
      </c>
      <c r="T69" s="60"/>
    </row>
    <row r="70" spans="1:21" ht="12.75" customHeight="1">
      <c r="A70" s="60">
        <v>69</v>
      </c>
      <c r="C70" s="60">
        <v>337.9</v>
      </c>
      <c r="D70" s="60">
        <v>485</v>
      </c>
      <c r="E70" s="60">
        <v>367.9</v>
      </c>
      <c r="F70" s="60">
        <v>383.8</v>
      </c>
      <c r="G70" s="60">
        <v>470.55</v>
      </c>
      <c r="H70" s="60">
        <v>493.4</v>
      </c>
      <c r="I70" s="60">
        <v>563.20000000000005</v>
      </c>
      <c r="J70" s="60">
        <v>608.75</v>
      </c>
      <c r="K70" s="60">
        <v>442.3</v>
      </c>
      <c r="L70" s="60">
        <v>509.3</v>
      </c>
      <c r="Q70" s="86">
        <v>373.9</v>
      </c>
      <c r="T70" s="60"/>
    </row>
    <row r="71" spans="1:21" ht="12.75" customHeight="1">
      <c r="A71" s="60">
        <v>70</v>
      </c>
      <c r="C71" s="60">
        <v>344.2</v>
      </c>
      <c r="D71" s="60">
        <v>491.2</v>
      </c>
      <c r="E71" s="60">
        <v>376.05</v>
      </c>
      <c r="F71" s="60">
        <v>388.5</v>
      </c>
      <c r="G71" s="60">
        <v>476.7</v>
      </c>
      <c r="H71" s="60">
        <v>498.15</v>
      </c>
      <c r="I71" s="60">
        <v>570.5</v>
      </c>
      <c r="J71" s="60">
        <v>616.75</v>
      </c>
      <c r="K71" s="60">
        <v>447.9</v>
      </c>
      <c r="L71" s="60">
        <v>515.9</v>
      </c>
      <c r="Q71" s="86">
        <v>378.45</v>
      </c>
      <c r="T71" s="60"/>
    </row>
    <row r="72" spans="1:21" ht="12.75" customHeight="1"/>
    <row r="73" spans="1:21" ht="12.75" customHeight="1"/>
    <row r="74" spans="1:21" ht="12.75" customHeight="1"/>
    <row r="75" spans="1:21" ht="12.75" customHeight="1"/>
    <row r="76" spans="1:21" ht="12.75" customHeight="1"/>
    <row r="77" spans="1:21" ht="12.75" customHeight="1"/>
    <row r="78" spans="1:21" ht="12.75" customHeight="1"/>
    <row r="79" spans="1:21" ht="12.75" customHeight="1"/>
    <row r="80" spans="1:21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2.5703125" defaultRowHeight="15" customHeight="1"/>
  <cols>
    <col min="1" max="1" width="11.140625" customWidth="1"/>
    <col min="2" max="6" width="9.140625" customWidth="1"/>
    <col min="7" max="7" width="10.28515625" customWidth="1"/>
    <col min="8" max="8" width="10.85546875" customWidth="1"/>
    <col min="9" max="15" width="9.140625" customWidth="1"/>
    <col min="16" max="16" width="7.5703125" customWidth="1"/>
    <col min="17" max="26" width="8.5703125" customWidth="1"/>
  </cols>
  <sheetData>
    <row r="1" spans="1:26" ht="33.75">
      <c r="A1" s="87"/>
      <c r="B1" s="88" t="s">
        <v>16</v>
      </c>
      <c r="C1" s="88" t="s">
        <v>16</v>
      </c>
      <c r="D1" s="88" t="s">
        <v>19</v>
      </c>
      <c r="E1" s="88" t="s">
        <v>20</v>
      </c>
      <c r="F1" s="88" t="s">
        <v>21</v>
      </c>
      <c r="G1" s="88" t="s">
        <v>22</v>
      </c>
      <c r="H1" s="88" t="s">
        <v>23</v>
      </c>
      <c r="I1" s="88" t="s">
        <v>24</v>
      </c>
      <c r="J1" s="88" t="s">
        <v>25</v>
      </c>
      <c r="K1" s="88" t="s">
        <v>26</v>
      </c>
      <c r="L1" s="88" t="s">
        <v>27</v>
      </c>
      <c r="M1" s="88" t="s">
        <v>28</v>
      </c>
      <c r="N1" s="88" t="s">
        <v>29</v>
      </c>
      <c r="O1" s="88" t="s">
        <v>30</v>
      </c>
      <c r="P1" s="88" t="s">
        <v>31</v>
      </c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6">
      <c r="A2" s="1" t="s">
        <v>5</v>
      </c>
      <c r="B2" s="90" t="s">
        <v>32</v>
      </c>
      <c r="C2" s="90" t="s">
        <v>33</v>
      </c>
      <c r="D2" s="90" t="s">
        <v>34</v>
      </c>
      <c r="E2" s="91" t="s">
        <v>35</v>
      </c>
      <c r="F2" s="91" t="s">
        <v>36</v>
      </c>
      <c r="G2" s="91" t="s">
        <v>37</v>
      </c>
      <c r="H2" s="91" t="s">
        <v>38</v>
      </c>
      <c r="I2" s="91" t="s">
        <v>39</v>
      </c>
      <c r="J2" s="91" t="s">
        <v>40</v>
      </c>
      <c r="K2" s="91" t="s">
        <v>41</v>
      </c>
      <c r="L2" s="91" t="s">
        <v>42</v>
      </c>
      <c r="M2" s="91" t="s">
        <v>43</v>
      </c>
      <c r="N2" s="91" t="s">
        <v>44</v>
      </c>
      <c r="O2" s="91" t="s">
        <v>45</v>
      </c>
      <c r="P2" s="91" t="s">
        <v>46</v>
      </c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>
      <c r="A3" s="89">
        <v>1</v>
      </c>
      <c r="B3" s="89">
        <v>108.12</v>
      </c>
      <c r="C3" s="89">
        <v>116.17</v>
      </c>
      <c r="D3" s="89">
        <v>96.8</v>
      </c>
      <c r="E3" s="89">
        <v>126.36</v>
      </c>
      <c r="F3" s="89">
        <v>127.2</v>
      </c>
      <c r="G3" s="89">
        <v>125.54</v>
      </c>
      <c r="H3" s="89">
        <v>117.19</v>
      </c>
      <c r="I3" s="89">
        <v>122.86</v>
      </c>
      <c r="J3" s="89">
        <v>99.15</v>
      </c>
      <c r="K3" s="89">
        <v>145.13999999999999</v>
      </c>
      <c r="L3" s="89">
        <v>128.99</v>
      </c>
      <c r="M3" s="89">
        <v>176.62</v>
      </c>
      <c r="N3" s="89">
        <v>123.78</v>
      </c>
      <c r="O3" s="89">
        <v>133.91</v>
      </c>
      <c r="P3" s="89">
        <v>134.4</v>
      </c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6">
      <c r="A4" s="89">
        <v>2</v>
      </c>
      <c r="B4" s="89">
        <v>114.63</v>
      </c>
      <c r="C4" s="89">
        <v>128.06</v>
      </c>
      <c r="D4" s="89">
        <v>104.88</v>
      </c>
      <c r="E4" s="89">
        <v>144.99</v>
      </c>
      <c r="F4" s="89">
        <v>181.9</v>
      </c>
      <c r="G4" s="89">
        <v>145.55000000000001</v>
      </c>
      <c r="H4" s="89">
        <v>139.09</v>
      </c>
      <c r="I4" s="89">
        <v>160.78</v>
      </c>
      <c r="J4" s="89">
        <v>121.78</v>
      </c>
      <c r="K4" s="89">
        <v>171.38</v>
      </c>
      <c r="L4" s="89">
        <v>160.82</v>
      </c>
      <c r="M4" s="89">
        <v>201.51</v>
      </c>
      <c r="N4" s="89">
        <v>171.49</v>
      </c>
      <c r="O4" s="89">
        <v>153.24</v>
      </c>
      <c r="P4" s="89">
        <v>149.09</v>
      </c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>
      <c r="A5" s="89">
        <v>3</v>
      </c>
      <c r="B5" s="89">
        <v>123.25</v>
      </c>
      <c r="C5" s="89">
        <v>140.57</v>
      </c>
      <c r="D5" s="89">
        <v>126.2</v>
      </c>
      <c r="E5" s="89">
        <v>165.38</v>
      </c>
      <c r="F5" s="89">
        <v>214.3</v>
      </c>
      <c r="G5" s="89">
        <v>170.92</v>
      </c>
      <c r="H5" s="89">
        <v>159.69</v>
      </c>
      <c r="I5" s="89">
        <v>178.85</v>
      </c>
      <c r="J5" s="89">
        <v>135.21</v>
      </c>
      <c r="K5" s="89">
        <v>193.45</v>
      </c>
      <c r="L5" s="89">
        <v>178.61</v>
      </c>
      <c r="M5" s="89">
        <v>227.54</v>
      </c>
      <c r="N5" s="89">
        <v>216.54</v>
      </c>
      <c r="O5" s="89">
        <v>182.83</v>
      </c>
      <c r="P5" s="89">
        <v>195.75</v>
      </c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>
      <c r="A6" s="89">
        <v>4</v>
      </c>
      <c r="B6" s="89">
        <v>130.58000000000001</v>
      </c>
      <c r="C6" s="89">
        <v>151.81</v>
      </c>
      <c r="D6" s="89">
        <v>128.34</v>
      </c>
      <c r="E6" s="89">
        <v>188.25</v>
      </c>
      <c r="F6" s="89">
        <v>261.60000000000002</v>
      </c>
      <c r="G6" s="89">
        <v>193.82</v>
      </c>
      <c r="H6" s="89">
        <v>180.09</v>
      </c>
      <c r="I6" s="89">
        <v>200.83</v>
      </c>
      <c r="J6" s="89">
        <v>149.69</v>
      </c>
      <c r="K6" s="89">
        <v>213.56</v>
      </c>
      <c r="L6" s="89">
        <v>199.93</v>
      </c>
      <c r="M6" s="89">
        <v>264.14999999999998</v>
      </c>
      <c r="N6" s="89">
        <v>248.7</v>
      </c>
      <c r="O6" s="89">
        <v>201.19</v>
      </c>
      <c r="P6" s="89">
        <v>200.98</v>
      </c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>
      <c r="A7" s="89">
        <v>5</v>
      </c>
      <c r="B7" s="89">
        <v>143.62</v>
      </c>
      <c r="C7" s="89">
        <v>167.22</v>
      </c>
      <c r="D7" s="89">
        <v>150.1</v>
      </c>
      <c r="E7" s="89">
        <v>205.49</v>
      </c>
      <c r="F7" s="89">
        <v>301.17</v>
      </c>
      <c r="G7" s="89">
        <v>212.21</v>
      </c>
      <c r="H7" s="89">
        <v>212.19</v>
      </c>
      <c r="I7" s="89">
        <v>238.76</v>
      </c>
      <c r="J7" s="89">
        <v>158.41999999999999</v>
      </c>
      <c r="K7" s="89">
        <v>238.89</v>
      </c>
      <c r="L7" s="89">
        <v>225.09</v>
      </c>
      <c r="M7" s="89">
        <v>285.29000000000002</v>
      </c>
      <c r="N7" s="89">
        <v>284.89999999999998</v>
      </c>
      <c r="O7" s="89">
        <v>211.34</v>
      </c>
      <c r="P7" s="89">
        <v>212.83</v>
      </c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>
      <c r="A8" s="89">
        <v>6</v>
      </c>
      <c r="B8" s="89">
        <v>148.72999999999999</v>
      </c>
      <c r="C8" s="89">
        <v>172.61</v>
      </c>
      <c r="D8" s="89">
        <v>155.94999999999999</v>
      </c>
      <c r="E8" s="89">
        <v>219.96</v>
      </c>
      <c r="F8" s="89">
        <v>319.37</v>
      </c>
      <c r="G8" s="89">
        <v>249.12</v>
      </c>
      <c r="H8" s="89">
        <v>228.92</v>
      </c>
      <c r="I8" s="89">
        <v>253.59</v>
      </c>
      <c r="J8" s="89">
        <v>177.02</v>
      </c>
      <c r="K8" s="89">
        <v>257.83999999999997</v>
      </c>
      <c r="L8" s="89">
        <v>237.68</v>
      </c>
      <c r="M8" s="89">
        <v>354.36</v>
      </c>
      <c r="N8" s="89">
        <v>327.73</v>
      </c>
      <c r="O8" s="89">
        <v>247.17</v>
      </c>
      <c r="P8" s="89">
        <v>228.58</v>
      </c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>
      <c r="A9" s="89">
        <v>7</v>
      </c>
      <c r="B9" s="89">
        <v>154.58000000000001</v>
      </c>
      <c r="C9" s="89">
        <v>179.57</v>
      </c>
      <c r="D9" s="89">
        <v>176.72</v>
      </c>
      <c r="E9" s="89">
        <v>224.25</v>
      </c>
      <c r="F9" s="89">
        <v>355.9</v>
      </c>
      <c r="G9" s="89">
        <v>255</v>
      </c>
      <c r="H9" s="89">
        <v>231.35</v>
      </c>
      <c r="I9" s="89">
        <v>260.49</v>
      </c>
      <c r="J9" s="89">
        <v>192.49</v>
      </c>
      <c r="K9" s="89">
        <v>283.67</v>
      </c>
      <c r="L9" s="89">
        <v>275.18</v>
      </c>
      <c r="M9" s="89">
        <v>361.28</v>
      </c>
      <c r="N9" s="89">
        <v>343.2</v>
      </c>
      <c r="O9" s="89">
        <v>250.78</v>
      </c>
      <c r="P9" s="89">
        <v>252.83</v>
      </c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>
      <c r="A10" s="89">
        <v>8</v>
      </c>
      <c r="B10" s="89">
        <v>161.4</v>
      </c>
      <c r="C10" s="89">
        <v>186.52</v>
      </c>
      <c r="D10" s="89">
        <v>187.66</v>
      </c>
      <c r="E10" s="89">
        <v>232.39</v>
      </c>
      <c r="F10" s="89">
        <v>359.57</v>
      </c>
      <c r="G10" s="89">
        <v>263.89</v>
      </c>
      <c r="H10" s="89">
        <v>233.36</v>
      </c>
      <c r="I10" s="89">
        <v>276.95999999999998</v>
      </c>
      <c r="J10" s="89">
        <v>194.06</v>
      </c>
      <c r="K10" s="89">
        <v>306.08999999999997</v>
      </c>
      <c r="L10" s="89">
        <v>278.94</v>
      </c>
      <c r="M10" s="89">
        <v>409</v>
      </c>
      <c r="N10" s="89">
        <v>383.48</v>
      </c>
      <c r="O10" s="89">
        <v>289.20999999999998</v>
      </c>
      <c r="P10" s="89">
        <v>276.91000000000003</v>
      </c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>
      <c r="A11" s="89">
        <v>9</v>
      </c>
      <c r="B11" s="89">
        <v>163.29</v>
      </c>
      <c r="C11" s="89">
        <v>196.4</v>
      </c>
      <c r="D11" s="89">
        <v>188.76</v>
      </c>
      <c r="E11" s="89">
        <v>239.22</v>
      </c>
      <c r="F11" s="89">
        <v>402.3</v>
      </c>
      <c r="G11" s="89">
        <v>270.62</v>
      </c>
      <c r="H11" s="89">
        <v>273.23</v>
      </c>
      <c r="I11" s="89">
        <v>293.45</v>
      </c>
      <c r="J11" s="89">
        <v>203.68</v>
      </c>
      <c r="K11" s="89">
        <v>334.12</v>
      </c>
      <c r="L11" s="89">
        <v>314.75</v>
      </c>
      <c r="M11" s="89">
        <v>460.04</v>
      </c>
      <c r="N11" s="89">
        <v>443.47</v>
      </c>
      <c r="O11" s="89">
        <v>302.02</v>
      </c>
      <c r="P11" s="89">
        <v>304.38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>
      <c r="A12" s="89">
        <v>10</v>
      </c>
      <c r="B12" s="89">
        <v>168.12</v>
      </c>
      <c r="C12" s="89">
        <v>202.62</v>
      </c>
      <c r="D12" s="89">
        <v>190</v>
      </c>
      <c r="E12" s="89">
        <v>248.57</v>
      </c>
      <c r="F12" s="89">
        <v>406.58</v>
      </c>
      <c r="G12" s="89">
        <v>271.31</v>
      </c>
      <c r="H12" s="89">
        <v>277.22000000000003</v>
      </c>
      <c r="I12" s="89">
        <v>295.10000000000002</v>
      </c>
      <c r="J12" s="89">
        <v>213.67</v>
      </c>
      <c r="K12" s="89">
        <v>337.17</v>
      </c>
      <c r="L12" s="89">
        <v>318.35000000000002</v>
      </c>
      <c r="M12" s="89">
        <v>465.15</v>
      </c>
      <c r="N12" s="89">
        <v>449.47</v>
      </c>
      <c r="O12" s="89">
        <v>312.74</v>
      </c>
      <c r="P12" s="89">
        <v>307.13</v>
      </c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>
      <c r="A13" s="89">
        <v>11</v>
      </c>
      <c r="B13" s="89">
        <v>175.86</v>
      </c>
      <c r="C13" s="89">
        <v>212.87</v>
      </c>
      <c r="D13" s="89">
        <v>213.18</v>
      </c>
      <c r="E13" s="89">
        <v>272.39999999999998</v>
      </c>
      <c r="F13" s="89">
        <v>407.4</v>
      </c>
      <c r="G13" s="89">
        <v>274.45</v>
      </c>
      <c r="H13" s="89">
        <v>277.79000000000002</v>
      </c>
      <c r="I13" s="89">
        <v>299.99</v>
      </c>
      <c r="J13" s="89">
        <v>231.86</v>
      </c>
      <c r="K13" s="89">
        <v>365.08</v>
      </c>
      <c r="L13" s="89">
        <v>321.74</v>
      </c>
      <c r="M13" s="89">
        <v>488.15</v>
      </c>
      <c r="N13" s="89">
        <v>450.38</v>
      </c>
      <c r="O13" s="89">
        <v>313.82</v>
      </c>
      <c r="P13" s="89">
        <v>324.48</v>
      </c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>
      <c r="A14" s="89">
        <v>12</v>
      </c>
      <c r="B14" s="89">
        <v>178.69</v>
      </c>
      <c r="C14" s="89">
        <v>225.31</v>
      </c>
      <c r="D14" s="89">
        <v>217.56</v>
      </c>
      <c r="E14" s="89">
        <v>279.45</v>
      </c>
      <c r="F14" s="89">
        <v>421.78</v>
      </c>
      <c r="G14" s="89">
        <v>278.74</v>
      </c>
      <c r="H14" s="89">
        <v>282.60000000000002</v>
      </c>
      <c r="I14" s="89">
        <v>303.13</v>
      </c>
      <c r="J14" s="89">
        <v>233.69</v>
      </c>
      <c r="K14" s="89">
        <v>372.51</v>
      </c>
      <c r="L14" s="89">
        <v>326.24</v>
      </c>
      <c r="M14" s="89">
        <v>493.44</v>
      </c>
      <c r="N14" s="89">
        <v>457.32</v>
      </c>
      <c r="O14" s="89">
        <v>318.37</v>
      </c>
      <c r="P14" s="89">
        <v>326.22000000000003</v>
      </c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>
      <c r="A15" s="89">
        <v>13</v>
      </c>
      <c r="B15" s="89">
        <v>194.17</v>
      </c>
      <c r="C15" s="89">
        <v>247.33</v>
      </c>
      <c r="D15" s="89">
        <v>219</v>
      </c>
      <c r="E15" s="89">
        <v>293.19</v>
      </c>
      <c r="F15" s="89">
        <v>460.17</v>
      </c>
      <c r="G15" s="89">
        <v>303.66000000000003</v>
      </c>
      <c r="H15" s="89">
        <v>333.58</v>
      </c>
      <c r="I15" s="89">
        <v>340.23</v>
      </c>
      <c r="J15" s="89">
        <v>240.22</v>
      </c>
      <c r="K15" s="89">
        <v>435.65</v>
      </c>
      <c r="L15" s="89">
        <v>357.45</v>
      </c>
      <c r="M15" s="89">
        <v>528.52</v>
      </c>
      <c r="N15" s="89">
        <v>496.44</v>
      </c>
      <c r="O15" s="89">
        <v>369.2</v>
      </c>
      <c r="P15" s="89">
        <v>350.71</v>
      </c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>
      <c r="A16" s="89">
        <v>14</v>
      </c>
      <c r="B16" s="89">
        <v>200.81</v>
      </c>
      <c r="C16" s="89">
        <v>255.06</v>
      </c>
      <c r="D16" s="89">
        <v>219.58</v>
      </c>
      <c r="E16" s="89">
        <v>317.51</v>
      </c>
      <c r="F16" s="89">
        <v>532.84</v>
      </c>
      <c r="G16" s="89">
        <v>326.29000000000002</v>
      </c>
      <c r="H16" s="89">
        <v>338.68</v>
      </c>
      <c r="I16" s="89">
        <v>384.52</v>
      </c>
      <c r="J16" s="89">
        <v>247.21</v>
      </c>
      <c r="K16" s="89">
        <v>460.9</v>
      </c>
      <c r="L16" s="89">
        <v>394.1</v>
      </c>
      <c r="M16" s="89">
        <v>615.32000000000005</v>
      </c>
      <c r="N16" s="89">
        <v>564.79999999999995</v>
      </c>
      <c r="O16" s="89">
        <v>405.82</v>
      </c>
      <c r="P16" s="89">
        <v>409.69</v>
      </c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>
      <c r="A17" s="89">
        <v>15</v>
      </c>
      <c r="B17" s="89">
        <v>207.43</v>
      </c>
      <c r="C17" s="89">
        <v>268.45</v>
      </c>
      <c r="D17" s="89">
        <v>230.84</v>
      </c>
      <c r="E17" s="89">
        <v>325.91000000000003</v>
      </c>
      <c r="F17" s="89">
        <v>588.70000000000005</v>
      </c>
      <c r="G17" s="89">
        <v>328.57</v>
      </c>
      <c r="H17" s="89">
        <v>339.37</v>
      </c>
      <c r="I17" s="89">
        <v>405.31</v>
      </c>
      <c r="J17" s="89">
        <v>256.29000000000002</v>
      </c>
      <c r="K17" s="89">
        <v>475.3</v>
      </c>
      <c r="L17" s="89">
        <v>397.77</v>
      </c>
      <c r="M17" s="89">
        <v>624.01</v>
      </c>
      <c r="N17" s="89">
        <v>571.65</v>
      </c>
      <c r="O17" s="89">
        <v>420.44</v>
      </c>
      <c r="P17" s="89">
        <v>452.95</v>
      </c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>
      <c r="A18" s="89">
        <v>16</v>
      </c>
      <c r="B18" s="89">
        <v>217.12</v>
      </c>
      <c r="C18" s="89">
        <v>274.49</v>
      </c>
      <c r="D18" s="89">
        <v>231.97</v>
      </c>
      <c r="E18" s="89">
        <v>351.5</v>
      </c>
      <c r="F18" s="89">
        <v>594.29</v>
      </c>
      <c r="G18" s="89">
        <v>348.9</v>
      </c>
      <c r="H18" s="89">
        <v>340.05</v>
      </c>
      <c r="I18" s="89">
        <v>407.4</v>
      </c>
      <c r="J18" s="89">
        <v>289.60000000000002</v>
      </c>
      <c r="K18" s="89">
        <v>506.04</v>
      </c>
      <c r="L18" s="89">
        <v>443.97</v>
      </c>
      <c r="M18" s="89">
        <v>648.41</v>
      </c>
      <c r="N18" s="89">
        <v>573.39</v>
      </c>
      <c r="O18" s="89">
        <v>428.31</v>
      </c>
      <c r="P18" s="89">
        <v>475.4</v>
      </c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>
      <c r="A19" s="89">
        <v>17</v>
      </c>
      <c r="B19" s="89">
        <v>218.82</v>
      </c>
      <c r="C19" s="89">
        <v>275.18</v>
      </c>
      <c r="D19" s="89">
        <v>244.51</v>
      </c>
      <c r="E19" s="89">
        <v>354.06</v>
      </c>
      <c r="F19" s="89">
        <v>597.01</v>
      </c>
      <c r="G19" s="89">
        <v>368.32</v>
      </c>
      <c r="H19" s="89">
        <v>350.92</v>
      </c>
      <c r="I19" s="89">
        <v>426.64</v>
      </c>
      <c r="J19" s="89">
        <v>299.49</v>
      </c>
      <c r="K19" s="89">
        <v>518.21</v>
      </c>
      <c r="L19" s="89">
        <v>462.97</v>
      </c>
      <c r="M19" s="89">
        <v>683.59</v>
      </c>
      <c r="N19" s="89">
        <v>577.29</v>
      </c>
      <c r="O19" s="89">
        <v>443.38</v>
      </c>
      <c r="P19" s="89">
        <v>477.66</v>
      </c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>
      <c r="A20" s="89">
        <v>18</v>
      </c>
      <c r="B20" s="89">
        <v>224.58</v>
      </c>
      <c r="C20" s="89">
        <v>282.02999999999997</v>
      </c>
      <c r="D20" s="89">
        <v>246.25</v>
      </c>
      <c r="E20" s="89">
        <v>357.2</v>
      </c>
      <c r="F20" s="89">
        <v>651.29999999999995</v>
      </c>
      <c r="G20" s="89">
        <v>370.29</v>
      </c>
      <c r="H20" s="89">
        <v>381.56</v>
      </c>
      <c r="I20" s="89">
        <v>443.45</v>
      </c>
      <c r="J20" s="89">
        <v>300.49</v>
      </c>
      <c r="K20" s="89">
        <v>528.09</v>
      </c>
      <c r="L20" s="89">
        <v>475.91</v>
      </c>
      <c r="M20" s="89">
        <v>738.66</v>
      </c>
      <c r="N20" s="89">
        <v>655.1</v>
      </c>
      <c r="O20" s="89">
        <v>450.67</v>
      </c>
      <c r="P20" s="89">
        <v>503.01</v>
      </c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ht="15.75" customHeight="1">
      <c r="A21" s="89">
        <v>19</v>
      </c>
      <c r="B21" s="89">
        <v>230.28</v>
      </c>
      <c r="C21" s="89">
        <v>288.98</v>
      </c>
      <c r="D21" s="89">
        <v>280.45</v>
      </c>
      <c r="E21" s="89">
        <v>367.62</v>
      </c>
      <c r="F21" s="89">
        <v>662.51</v>
      </c>
      <c r="G21" s="89">
        <v>390.3</v>
      </c>
      <c r="H21" s="89">
        <v>384.63</v>
      </c>
      <c r="I21" s="89">
        <v>445.14</v>
      </c>
      <c r="J21" s="89">
        <v>306.13</v>
      </c>
      <c r="K21" s="89">
        <v>551.45000000000005</v>
      </c>
      <c r="L21" s="89">
        <v>502.4</v>
      </c>
      <c r="M21" s="89">
        <v>763.23</v>
      </c>
      <c r="N21" s="89">
        <v>700.03</v>
      </c>
      <c r="O21" s="89">
        <v>453.05</v>
      </c>
      <c r="P21" s="89">
        <v>510.65</v>
      </c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5.75" customHeight="1">
      <c r="A22" s="89">
        <v>20</v>
      </c>
      <c r="B22" s="89">
        <v>236</v>
      </c>
      <c r="C22" s="89">
        <v>295.89999999999998</v>
      </c>
      <c r="D22" s="89">
        <v>286.39999999999998</v>
      </c>
      <c r="E22" s="89">
        <v>379.5</v>
      </c>
      <c r="F22" s="89">
        <v>737.01</v>
      </c>
      <c r="G22" s="89">
        <v>402.6</v>
      </c>
      <c r="H22" s="89">
        <v>385.41</v>
      </c>
      <c r="I22" s="89">
        <v>446.79</v>
      </c>
      <c r="J22" s="89">
        <v>307.25</v>
      </c>
      <c r="K22" s="89">
        <v>555.87</v>
      </c>
      <c r="L22" s="89">
        <v>505.06</v>
      </c>
      <c r="M22" s="89">
        <v>765.7</v>
      </c>
      <c r="N22" s="89">
        <v>707.79</v>
      </c>
      <c r="O22" s="89">
        <v>500.43</v>
      </c>
      <c r="P22" s="89">
        <v>519.73</v>
      </c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15.75" customHeight="1">
      <c r="A23" s="89">
        <v>21</v>
      </c>
      <c r="B23" s="89">
        <v>265.70999999999998</v>
      </c>
      <c r="C23" s="89">
        <v>335.47</v>
      </c>
      <c r="D23" s="89">
        <v>287.02999999999997</v>
      </c>
      <c r="E23" s="89">
        <v>409.97</v>
      </c>
      <c r="F23" s="89">
        <v>791.92</v>
      </c>
      <c r="G23" s="89">
        <v>403.84</v>
      </c>
      <c r="H23" s="89">
        <v>400.53</v>
      </c>
      <c r="I23" s="89">
        <v>453.68</v>
      </c>
      <c r="J23" s="89">
        <v>329.07</v>
      </c>
      <c r="K23" s="89">
        <v>608.41</v>
      </c>
      <c r="L23" s="89">
        <v>525.37</v>
      </c>
      <c r="M23" s="89">
        <v>798.61</v>
      </c>
      <c r="N23" s="89">
        <v>754.52</v>
      </c>
      <c r="O23" s="89">
        <v>511.08</v>
      </c>
      <c r="P23" s="89">
        <v>523.03</v>
      </c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5.75" customHeight="1">
      <c r="A24" s="89">
        <v>22</v>
      </c>
      <c r="B24" s="89">
        <v>268.69</v>
      </c>
      <c r="C24" s="89">
        <v>339.43</v>
      </c>
      <c r="D24" s="89">
        <v>288.24</v>
      </c>
      <c r="E24" s="89">
        <v>413.02</v>
      </c>
      <c r="F24" s="89">
        <v>807.7</v>
      </c>
      <c r="G24" s="89">
        <v>404.12</v>
      </c>
      <c r="H24" s="89">
        <v>418.93</v>
      </c>
      <c r="I24" s="89">
        <v>454.37</v>
      </c>
      <c r="J24" s="89">
        <v>347.2</v>
      </c>
      <c r="K24" s="89">
        <v>613.72</v>
      </c>
      <c r="L24" s="89">
        <v>527.47</v>
      </c>
      <c r="M24" s="89">
        <v>823.08</v>
      </c>
      <c r="N24" s="89">
        <v>759.2</v>
      </c>
      <c r="O24" s="89">
        <v>512.76</v>
      </c>
      <c r="P24" s="89">
        <v>523.37</v>
      </c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5.75" customHeight="1">
      <c r="A25" s="89">
        <v>23</v>
      </c>
      <c r="B25" s="89">
        <v>278.02</v>
      </c>
      <c r="C25" s="89">
        <v>339.89</v>
      </c>
      <c r="D25" s="89">
        <v>312.37</v>
      </c>
      <c r="E25" s="89">
        <v>413.33</v>
      </c>
      <c r="F25" s="89">
        <v>809.3</v>
      </c>
      <c r="G25" s="89">
        <v>404.39</v>
      </c>
      <c r="H25" s="89">
        <v>420.78</v>
      </c>
      <c r="I25" s="89">
        <v>454.63</v>
      </c>
      <c r="J25" s="89">
        <v>349.03</v>
      </c>
      <c r="K25" s="89">
        <v>614.26</v>
      </c>
      <c r="L25" s="89">
        <v>527.73</v>
      </c>
      <c r="M25" s="89">
        <v>825.54</v>
      </c>
      <c r="N25" s="89">
        <v>759.67</v>
      </c>
      <c r="O25" s="89">
        <v>513.02</v>
      </c>
      <c r="P25" s="89">
        <v>523.62</v>
      </c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5.75" customHeight="1">
      <c r="A26" s="89">
        <v>24</v>
      </c>
      <c r="B26" s="89">
        <v>287.25</v>
      </c>
      <c r="C26" s="89">
        <v>340.19</v>
      </c>
      <c r="D26" s="89">
        <v>323.01</v>
      </c>
      <c r="E26" s="89">
        <v>413.7</v>
      </c>
      <c r="F26" s="89">
        <v>809.82</v>
      </c>
      <c r="G26" s="89">
        <v>404.71</v>
      </c>
      <c r="H26" s="89">
        <v>421.08</v>
      </c>
      <c r="I26" s="89">
        <v>455.1</v>
      </c>
      <c r="J26" s="89">
        <v>349.96</v>
      </c>
      <c r="K26" s="89">
        <v>614.82000000000005</v>
      </c>
      <c r="L26" s="89">
        <v>528.08000000000004</v>
      </c>
      <c r="M26" s="89">
        <v>845.62</v>
      </c>
      <c r="N26" s="89">
        <v>760</v>
      </c>
      <c r="O26" s="89">
        <v>513.48</v>
      </c>
      <c r="P26" s="89">
        <v>524.03</v>
      </c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5.75" customHeight="1">
      <c r="A27" s="89">
        <v>25</v>
      </c>
      <c r="B27" s="89">
        <v>290.89999999999998</v>
      </c>
      <c r="C27" s="89">
        <v>344.81</v>
      </c>
      <c r="D27" s="89">
        <v>324.08</v>
      </c>
      <c r="E27" s="89">
        <v>420.88</v>
      </c>
      <c r="F27" s="89">
        <v>818.47</v>
      </c>
      <c r="G27" s="89">
        <v>410.91</v>
      </c>
      <c r="H27" s="89">
        <v>426.81</v>
      </c>
      <c r="I27" s="89">
        <v>464.24</v>
      </c>
      <c r="J27" s="89">
        <v>352.08</v>
      </c>
      <c r="K27" s="89">
        <v>626.02</v>
      </c>
      <c r="L27" s="89">
        <v>535.01</v>
      </c>
      <c r="M27" s="89">
        <v>854.68</v>
      </c>
      <c r="N27" s="89">
        <v>766.42</v>
      </c>
      <c r="O27" s="89">
        <v>522.65</v>
      </c>
      <c r="P27" s="89">
        <v>532.16</v>
      </c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5.75" customHeight="1">
      <c r="A28" s="89">
        <v>26</v>
      </c>
      <c r="B28" s="89">
        <v>331.72</v>
      </c>
      <c r="C28" s="89">
        <v>395</v>
      </c>
      <c r="D28" s="89">
        <v>324.33999999999997</v>
      </c>
      <c r="E28" s="89">
        <v>557.35</v>
      </c>
      <c r="F28" s="89">
        <v>952.86</v>
      </c>
      <c r="G28" s="89">
        <v>534.80999999999995</v>
      </c>
      <c r="H28" s="89">
        <v>475.39</v>
      </c>
      <c r="I28" s="89">
        <v>646.69000000000005</v>
      </c>
      <c r="J28" s="89">
        <v>394.39</v>
      </c>
      <c r="K28" s="89">
        <v>822.74</v>
      </c>
      <c r="L28" s="89">
        <v>633.9</v>
      </c>
      <c r="M28" s="89">
        <v>923.2</v>
      </c>
      <c r="N28" s="89">
        <v>894.53</v>
      </c>
      <c r="O28" s="89">
        <v>696.24</v>
      </c>
      <c r="P28" s="89">
        <v>694.43</v>
      </c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5.75" customHeight="1">
      <c r="A29" s="89">
        <v>27</v>
      </c>
      <c r="B29" s="89">
        <v>347.76</v>
      </c>
      <c r="C29" s="89">
        <v>413.98</v>
      </c>
      <c r="D29" s="89">
        <v>324.61</v>
      </c>
      <c r="E29" s="89">
        <v>588.33000000000004</v>
      </c>
      <c r="F29" s="89">
        <v>966.3</v>
      </c>
      <c r="G29" s="89">
        <v>563.21</v>
      </c>
      <c r="H29" s="89">
        <v>503.21</v>
      </c>
      <c r="I29" s="89">
        <v>665.2</v>
      </c>
      <c r="J29" s="89">
        <v>402.75</v>
      </c>
      <c r="K29" s="89">
        <v>844.39</v>
      </c>
      <c r="L29" s="89">
        <v>665.14</v>
      </c>
      <c r="M29" s="89">
        <v>930.07</v>
      </c>
      <c r="N29" s="89">
        <v>1006.66</v>
      </c>
      <c r="O29" s="89">
        <v>721.74</v>
      </c>
      <c r="P29" s="89">
        <v>748</v>
      </c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.75" customHeight="1">
      <c r="A30" s="89">
        <v>28</v>
      </c>
      <c r="B30" s="89">
        <v>360.8</v>
      </c>
      <c r="C30" s="89">
        <v>417.02</v>
      </c>
      <c r="D30" s="89">
        <v>326.02</v>
      </c>
      <c r="E30" s="89">
        <v>591.44000000000005</v>
      </c>
      <c r="F30" s="89">
        <v>990.17</v>
      </c>
      <c r="G30" s="89">
        <v>566.05999999999995</v>
      </c>
      <c r="H30" s="89">
        <v>506</v>
      </c>
      <c r="I30" s="89">
        <v>682.21</v>
      </c>
      <c r="J30" s="89">
        <v>403.96</v>
      </c>
      <c r="K30" s="89">
        <v>846.56</v>
      </c>
      <c r="L30" s="89">
        <v>741.92</v>
      </c>
      <c r="M30" s="89">
        <v>935.79</v>
      </c>
      <c r="N30" s="89">
        <v>1017.88</v>
      </c>
      <c r="O30" s="89">
        <v>726.33</v>
      </c>
      <c r="P30" s="89">
        <v>762.77</v>
      </c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5.75" customHeight="1">
      <c r="A31" s="89">
        <v>29</v>
      </c>
      <c r="B31" s="89">
        <v>366.28</v>
      </c>
      <c r="C31" s="89">
        <v>418.36</v>
      </c>
      <c r="D31" s="89">
        <v>354.15</v>
      </c>
      <c r="E31" s="89">
        <v>591.80999999999995</v>
      </c>
      <c r="F31" s="89">
        <v>995.27</v>
      </c>
      <c r="G31" s="89">
        <v>566.66</v>
      </c>
      <c r="H31" s="89">
        <v>548.28</v>
      </c>
      <c r="I31" s="89">
        <v>684.15</v>
      </c>
      <c r="J31" s="89">
        <v>427.98</v>
      </c>
      <c r="K31" s="89">
        <v>850.13</v>
      </c>
      <c r="L31" s="89">
        <v>749.6</v>
      </c>
      <c r="M31" s="89">
        <v>983.52</v>
      </c>
      <c r="N31" s="89">
        <v>1019.01</v>
      </c>
      <c r="O31" s="89">
        <v>766.73</v>
      </c>
      <c r="P31" s="89">
        <v>764.25</v>
      </c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5.75" customHeight="1">
      <c r="A32" s="89">
        <v>30</v>
      </c>
      <c r="B32" s="89">
        <v>366.9</v>
      </c>
      <c r="C32" s="89">
        <v>434.1</v>
      </c>
      <c r="D32" s="89">
        <v>356.97</v>
      </c>
      <c r="E32" s="89">
        <v>592.57000000000005</v>
      </c>
      <c r="F32" s="89">
        <v>995.79</v>
      </c>
      <c r="G32" s="89">
        <v>566.92999999999995</v>
      </c>
      <c r="H32" s="89">
        <v>582.51</v>
      </c>
      <c r="I32" s="89">
        <v>701.17</v>
      </c>
      <c r="J32" s="89">
        <v>430.41</v>
      </c>
      <c r="K32" s="89">
        <v>850.49</v>
      </c>
      <c r="L32" s="89">
        <v>750.39</v>
      </c>
      <c r="M32" s="89">
        <v>988.31</v>
      </c>
      <c r="N32" s="89">
        <v>1019.29</v>
      </c>
      <c r="O32" s="89">
        <v>770.77</v>
      </c>
      <c r="P32" s="89">
        <v>764.88</v>
      </c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5.75" customHeight="1">
      <c r="A33" s="89">
        <v>31</v>
      </c>
      <c r="B33" s="89">
        <v>369.56</v>
      </c>
      <c r="C33" s="89">
        <v>435.71</v>
      </c>
      <c r="D33" s="89">
        <v>357.26</v>
      </c>
      <c r="E33" s="89">
        <v>603.29999999999995</v>
      </c>
      <c r="F33" s="89">
        <v>1000.62</v>
      </c>
      <c r="G33" s="89">
        <v>568.6</v>
      </c>
      <c r="H33" s="89">
        <v>594.19000000000005</v>
      </c>
      <c r="I33" s="89">
        <v>703.05</v>
      </c>
      <c r="J33" s="89">
        <v>430.8</v>
      </c>
      <c r="K33" s="89">
        <v>850.76</v>
      </c>
      <c r="L33" s="89">
        <v>766.15</v>
      </c>
      <c r="M33" s="89">
        <v>1073.9100000000001</v>
      </c>
      <c r="N33" s="89">
        <v>1019.54</v>
      </c>
      <c r="O33" s="89">
        <v>771.19</v>
      </c>
      <c r="P33" s="89">
        <v>765.13</v>
      </c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>
      <c r="A34" s="89">
        <v>32</v>
      </c>
      <c r="B34" s="89">
        <v>369.83</v>
      </c>
      <c r="C34" s="89">
        <v>435.98</v>
      </c>
      <c r="D34" s="89">
        <v>357.58</v>
      </c>
      <c r="E34" s="89">
        <v>604.38</v>
      </c>
      <c r="F34" s="89">
        <v>1096.23</v>
      </c>
      <c r="G34" s="89">
        <v>601.79999999999995</v>
      </c>
      <c r="H34" s="89">
        <v>632.66</v>
      </c>
      <c r="I34" s="89">
        <v>706.87</v>
      </c>
      <c r="J34" s="89">
        <v>438.43</v>
      </c>
      <c r="K34" s="89">
        <v>851.03</v>
      </c>
      <c r="L34" s="89">
        <v>767.73</v>
      </c>
      <c r="M34" s="89">
        <v>1082.5</v>
      </c>
      <c r="N34" s="89">
        <v>1019.92</v>
      </c>
      <c r="O34" s="89">
        <v>774.93</v>
      </c>
      <c r="P34" s="89">
        <v>767.47</v>
      </c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>
      <c r="A35" s="89">
        <v>33</v>
      </c>
      <c r="B35" s="89">
        <v>370.1</v>
      </c>
      <c r="C35" s="89">
        <v>436.25</v>
      </c>
      <c r="D35" s="89">
        <v>357.93</v>
      </c>
      <c r="E35" s="89">
        <v>607.92999999999995</v>
      </c>
      <c r="F35" s="89">
        <v>1105.8</v>
      </c>
      <c r="G35" s="89">
        <v>657.46</v>
      </c>
      <c r="H35" s="89">
        <v>636.52</v>
      </c>
      <c r="I35" s="89">
        <v>726.69</v>
      </c>
      <c r="J35" s="89">
        <v>452.32</v>
      </c>
      <c r="K35" s="89">
        <v>851.31</v>
      </c>
      <c r="L35" s="89">
        <v>768.07</v>
      </c>
      <c r="M35" s="89">
        <v>1092.1500000000001</v>
      </c>
      <c r="N35" s="89">
        <v>1020.33</v>
      </c>
      <c r="O35" s="89">
        <v>849.49</v>
      </c>
      <c r="P35" s="89">
        <v>812.97</v>
      </c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ht="15.75" customHeight="1">
      <c r="A36" s="89">
        <v>34</v>
      </c>
      <c r="B36" s="89">
        <v>370.39</v>
      </c>
      <c r="C36" s="89">
        <v>436.52</v>
      </c>
      <c r="D36" s="89">
        <v>358.19</v>
      </c>
      <c r="E36" s="89">
        <v>608.33000000000004</v>
      </c>
      <c r="F36" s="89">
        <v>1106.76</v>
      </c>
      <c r="G36" s="89">
        <v>663.03</v>
      </c>
      <c r="H36" s="89">
        <v>637.15</v>
      </c>
      <c r="I36" s="89">
        <v>728.68</v>
      </c>
      <c r="J36" s="89">
        <v>453.72</v>
      </c>
      <c r="K36" s="89">
        <v>853.07</v>
      </c>
      <c r="L36" s="89">
        <v>768.46</v>
      </c>
      <c r="M36" s="89">
        <v>1093.1600000000001</v>
      </c>
      <c r="N36" s="89">
        <v>1020.58</v>
      </c>
      <c r="O36" s="89">
        <v>856.96</v>
      </c>
      <c r="P36" s="89">
        <v>841.8</v>
      </c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ht="15.75" customHeight="1">
      <c r="A37" s="89">
        <v>35</v>
      </c>
      <c r="B37" s="89">
        <v>373.3</v>
      </c>
      <c r="C37" s="89">
        <v>438.5</v>
      </c>
      <c r="D37" s="89">
        <v>358.49</v>
      </c>
      <c r="E37" s="89">
        <v>608.62</v>
      </c>
      <c r="F37" s="89">
        <v>1107.01</v>
      </c>
      <c r="G37" s="89">
        <v>667.55</v>
      </c>
      <c r="H37" s="89">
        <v>639.83000000000004</v>
      </c>
      <c r="I37" s="89">
        <v>741.3</v>
      </c>
      <c r="J37" s="89">
        <v>455.53</v>
      </c>
      <c r="K37" s="89">
        <v>888.15</v>
      </c>
      <c r="L37" s="89">
        <v>769.7</v>
      </c>
      <c r="M37" s="89">
        <v>1093.46</v>
      </c>
      <c r="N37" s="89">
        <v>1020.92</v>
      </c>
      <c r="O37" s="89">
        <v>859.88</v>
      </c>
      <c r="P37" s="89">
        <v>847.33</v>
      </c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ht="15.75" customHeight="1">
      <c r="A38" s="89">
        <v>36</v>
      </c>
      <c r="B38" s="89">
        <v>415.52</v>
      </c>
      <c r="C38" s="89">
        <v>477.92</v>
      </c>
      <c r="D38" s="89">
        <v>364.35</v>
      </c>
      <c r="E38" s="89">
        <v>608.98</v>
      </c>
      <c r="F38" s="89">
        <v>1107.26</v>
      </c>
      <c r="G38" s="89">
        <v>668.01</v>
      </c>
      <c r="H38" s="89">
        <v>693.36</v>
      </c>
      <c r="I38" s="89">
        <v>769.4</v>
      </c>
      <c r="J38" s="89">
        <v>455.8</v>
      </c>
      <c r="K38" s="89">
        <v>1057.8</v>
      </c>
      <c r="L38" s="89">
        <v>794.42</v>
      </c>
      <c r="M38" s="89">
        <v>1095.42</v>
      </c>
      <c r="N38" s="89">
        <v>1021.25</v>
      </c>
      <c r="O38" s="89">
        <v>918.19</v>
      </c>
      <c r="P38" s="89">
        <v>848.01</v>
      </c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ht="15.75" customHeight="1">
      <c r="A39" s="89">
        <v>37</v>
      </c>
      <c r="B39" s="89">
        <v>419.76</v>
      </c>
      <c r="C39" s="89">
        <v>487</v>
      </c>
      <c r="D39" s="89">
        <v>369.05</v>
      </c>
      <c r="E39" s="89">
        <v>611.41</v>
      </c>
      <c r="F39" s="89">
        <v>1107.51</v>
      </c>
      <c r="G39" s="89">
        <v>668.34</v>
      </c>
      <c r="H39" s="89">
        <v>698.73</v>
      </c>
      <c r="I39" s="89">
        <v>773.13</v>
      </c>
      <c r="J39" s="89">
        <v>456.48</v>
      </c>
      <c r="K39" s="89">
        <v>1074.77</v>
      </c>
      <c r="L39" s="89">
        <v>796.9</v>
      </c>
      <c r="M39" s="89">
        <v>1097.49</v>
      </c>
      <c r="N39" s="89">
        <v>1024.98</v>
      </c>
      <c r="O39" s="89">
        <v>924.12</v>
      </c>
      <c r="P39" s="89">
        <v>861.35</v>
      </c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15.75" customHeight="1">
      <c r="A40" s="89">
        <v>38</v>
      </c>
      <c r="B40" s="89">
        <v>431.79</v>
      </c>
      <c r="C40" s="89">
        <v>496.04</v>
      </c>
      <c r="D40" s="89">
        <v>369.53</v>
      </c>
      <c r="E40" s="89">
        <v>623.63</v>
      </c>
      <c r="F40" s="89">
        <v>1107.93</v>
      </c>
      <c r="G40" s="89">
        <v>668.75</v>
      </c>
      <c r="H40" s="89">
        <v>710.81</v>
      </c>
      <c r="I40" s="89">
        <v>774.77</v>
      </c>
      <c r="J40" s="89">
        <v>456.75</v>
      </c>
      <c r="K40" s="89">
        <v>1110.25</v>
      </c>
      <c r="L40" s="89">
        <v>815.74</v>
      </c>
      <c r="M40" s="89">
        <v>1138.55</v>
      </c>
      <c r="N40" s="89">
        <v>1047.0899999999999</v>
      </c>
      <c r="O40" s="89">
        <v>924.73</v>
      </c>
      <c r="P40" s="89">
        <v>873.73</v>
      </c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5.75" customHeight="1">
      <c r="A41" s="89">
        <v>39</v>
      </c>
      <c r="B41" s="89">
        <v>439.9</v>
      </c>
      <c r="C41" s="89">
        <v>505.08</v>
      </c>
      <c r="D41" s="89">
        <v>371.99</v>
      </c>
      <c r="E41" s="89">
        <v>688.41</v>
      </c>
      <c r="F41" s="89">
        <v>1116.23</v>
      </c>
      <c r="G41" s="89">
        <v>669.01</v>
      </c>
      <c r="H41" s="89">
        <v>720.61</v>
      </c>
      <c r="I41" s="89">
        <v>806.59</v>
      </c>
      <c r="J41" s="89">
        <v>458.89</v>
      </c>
      <c r="K41" s="89">
        <v>1141.4100000000001</v>
      </c>
      <c r="L41" s="89">
        <v>891.29</v>
      </c>
      <c r="M41" s="89">
        <v>1254.03</v>
      </c>
      <c r="N41" s="89">
        <v>1076</v>
      </c>
      <c r="O41" s="89">
        <v>925.02</v>
      </c>
      <c r="P41" s="89">
        <v>912.33</v>
      </c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5.75" customHeight="1">
      <c r="A42" s="89">
        <v>40</v>
      </c>
      <c r="B42" s="89">
        <v>448.05</v>
      </c>
      <c r="C42" s="89">
        <v>518.76</v>
      </c>
      <c r="D42" s="89">
        <v>372.31</v>
      </c>
      <c r="E42" s="89">
        <v>694.9</v>
      </c>
      <c r="F42" s="89">
        <v>1280.95</v>
      </c>
      <c r="G42" s="89">
        <v>669.9</v>
      </c>
      <c r="H42" s="89">
        <v>723.13</v>
      </c>
      <c r="I42" s="89">
        <v>843.83</v>
      </c>
      <c r="J42" s="89">
        <v>501.65</v>
      </c>
      <c r="K42" s="89">
        <v>1145.56</v>
      </c>
      <c r="L42" s="89">
        <v>898.85</v>
      </c>
      <c r="M42" s="89">
        <v>1265.5899999999999</v>
      </c>
      <c r="N42" s="89">
        <v>1168.79</v>
      </c>
      <c r="O42" s="89">
        <v>929.17</v>
      </c>
      <c r="P42" s="89">
        <v>954.22</v>
      </c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 spans="1:26" ht="15.75" customHeight="1">
      <c r="A43" s="89">
        <v>41</v>
      </c>
      <c r="B43" s="89">
        <v>456.21</v>
      </c>
      <c r="C43" s="89">
        <v>520.16</v>
      </c>
      <c r="D43" s="89">
        <v>376.25</v>
      </c>
      <c r="E43" s="89">
        <v>700.77</v>
      </c>
      <c r="F43" s="89">
        <v>1318.25</v>
      </c>
      <c r="G43" s="89">
        <v>687.38</v>
      </c>
      <c r="H43" s="89">
        <v>736.53</v>
      </c>
      <c r="I43" s="89">
        <v>859.77</v>
      </c>
      <c r="J43" s="89">
        <v>508.23</v>
      </c>
      <c r="K43" s="89">
        <v>1174.5999999999999</v>
      </c>
      <c r="L43" s="89">
        <v>899.76</v>
      </c>
      <c r="M43" s="89">
        <v>1266.77</v>
      </c>
      <c r="N43" s="89">
        <v>1178.07</v>
      </c>
      <c r="O43" s="89">
        <v>1009.24</v>
      </c>
      <c r="P43" s="89">
        <v>960.98</v>
      </c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 spans="1:26" ht="15.75" customHeight="1">
      <c r="A44" s="89">
        <v>42</v>
      </c>
      <c r="B44" s="89">
        <v>464.4</v>
      </c>
      <c r="C44" s="89">
        <v>527.70000000000005</v>
      </c>
      <c r="D44" s="89">
        <v>376.65</v>
      </c>
      <c r="E44" s="89">
        <v>723.32</v>
      </c>
      <c r="F44" s="89">
        <v>1321.99</v>
      </c>
      <c r="G44" s="89">
        <v>745.65</v>
      </c>
      <c r="H44" s="89">
        <v>737.88</v>
      </c>
      <c r="I44" s="89">
        <v>862.5</v>
      </c>
      <c r="J44" s="89">
        <v>513.36</v>
      </c>
      <c r="K44" s="89">
        <v>1177.54</v>
      </c>
      <c r="L44" s="89">
        <v>902.79</v>
      </c>
      <c r="M44" s="89">
        <v>1267.3</v>
      </c>
      <c r="N44" s="89">
        <v>1241.44</v>
      </c>
      <c r="O44" s="89">
        <v>1020.44</v>
      </c>
      <c r="P44" s="89">
        <v>961.75</v>
      </c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 spans="1:26" ht="15.75" customHeight="1">
      <c r="A45" s="89">
        <v>43</v>
      </c>
      <c r="B45" s="89">
        <v>472.55</v>
      </c>
      <c r="C45" s="89">
        <v>537.48</v>
      </c>
      <c r="D45" s="89">
        <v>377.77</v>
      </c>
      <c r="E45" s="89">
        <v>725.6</v>
      </c>
      <c r="F45" s="89">
        <v>1358.14</v>
      </c>
      <c r="G45" s="89">
        <v>752.91</v>
      </c>
      <c r="H45" s="89">
        <v>738.49</v>
      </c>
      <c r="I45" s="89">
        <v>904.31</v>
      </c>
      <c r="J45" s="89">
        <v>520.45000000000005</v>
      </c>
      <c r="K45" s="89">
        <v>1215.83</v>
      </c>
      <c r="L45" s="89">
        <v>949.12</v>
      </c>
      <c r="M45" s="89">
        <v>1267.5999999999999</v>
      </c>
      <c r="N45" s="89">
        <v>1340.02</v>
      </c>
      <c r="O45" s="89">
        <v>1023.05</v>
      </c>
      <c r="P45" s="89">
        <v>962</v>
      </c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 spans="1:26" ht="15.75" customHeight="1">
      <c r="A46" s="89">
        <v>44</v>
      </c>
      <c r="B46" s="89">
        <v>480.78</v>
      </c>
      <c r="C46" s="89">
        <v>544.99</v>
      </c>
      <c r="D46" s="89">
        <v>400.05</v>
      </c>
      <c r="E46" s="89">
        <v>725.9</v>
      </c>
      <c r="F46" s="89">
        <v>1361.78</v>
      </c>
      <c r="G46" s="89">
        <v>753.65</v>
      </c>
      <c r="H46" s="89">
        <v>744.19</v>
      </c>
      <c r="I46" s="89">
        <v>923.29</v>
      </c>
      <c r="J46" s="89">
        <v>527</v>
      </c>
      <c r="K46" s="89">
        <v>1232.48</v>
      </c>
      <c r="L46" s="89">
        <v>967.7</v>
      </c>
      <c r="M46" s="89">
        <v>1267.9100000000001</v>
      </c>
      <c r="N46" s="89">
        <v>1386.65</v>
      </c>
      <c r="O46" s="89">
        <v>1026.5</v>
      </c>
      <c r="P46" s="89">
        <v>962.26</v>
      </c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5.75" customHeight="1">
      <c r="A47" s="89">
        <v>45</v>
      </c>
      <c r="B47" s="89">
        <v>488.98</v>
      </c>
      <c r="C47" s="89">
        <v>552.54999999999995</v>
      </c>
      <c r="D47" s="89">
        <v>402.29</v>
      </c>
      <c r="E47" s="89">
        <v>728.77</v>
      </c>
      <c r="F47" s="89">
        <v>1362.15</v>
      </c>
      <c r="G47" s="89">
        <v>754.13</v>
      </c>
      <c r="H47" s="89">
        <v>790.2</v>
      </c>
      <c r="I47" s="89">
        <v>962.36</v>
      </c>
      <c r="J47" s="89">
        <v>533.53</v>
      </c>
      <c r="K47" s="89">
        <v>1244.46</v>
      </c>
      <c r="L47" s="89">
        <v>969.57</v>
      </c>
      <c r="M47" s="89">
        <v>1271.67</v>
      </c>
      <c r="N47" s="89">
        <v>1391.32</v>
      </c>
      <c r="O47" s="89">
        <v>1095.3800000000001</v>
      </c>
      <c r="P47" s="89">
        <v>962.58</v>
      </c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 spans="1:26" ht="15.75" customHeight="1">
      <c r="A48" s="89">
        <v>46</v>
      </c>
      <c r="B48" s="89">
        <v>497.12</v>
      </c>
      <c r="C48" s="89">
        <v>559.37</v>
      </c>
      <c r="D48" s="89">
        <v>402.55</v>
      </c>
      <c r="E48" s="89">
        <v>732.23</v>
      </c>
      <c r="F48" s="89">
        <v>1367.45</v>
      </c>
      <c r="G48" s="89">
        <v>763.44</v>
      </c>
      <c r="H48" s="89">
        <v>801.22</v>
      </c>
      <c r="I48" s="89">
        <v>966.27</v>
      </c>
      <c r="J48" s="89">
        <v>541.19000000000005</v>
      </c>
      <c r="K48" s="89">
        <v>1245.6600000000001</v>
      </c>
      <c r="L48" s="89">
        <v>969.88</v>
      </c>
      <c r="M48" s="89">
        <v>1272.05</v>
      </c>
      <c r="N48" s="89">
        <v>1391.8</v>
      </c>
      <c r="O48" s="89">
        <v>1102.3399999999999</v>
      </c>
      <c r="P48" s="89">
        <v>965.99</v>
      </c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 spans="1:26" ht="15.75" customHeight="1">
      <c r="A49" s="89">
        <v>47</v>
      </c>
      <c r="B49" s="89">
        <v>510.7</v>
      </c>
      <c r="C49" s="89">
        <v>567.62</v>
      </c>
      <c r="D49" s="89">
        <v>402.81</v>
      </c>
      <c r="E49" s="89">
        <v>732.58</v>
      </c>
      <c r="F49" s="89">
        <v>1447.07</v>
      </c>
      <c r="G49" s="89">
        <v>764.38</v>
      </c>
      <c r="H49" s="89">
        <v>802.33</v>
      </c>
      <c r="I49" s="89">
        <v>966.89</v>
      </c>
      <c r="J49" s="89">
        <v>561.02</v>
      </c>
      <c r="K49" s="89">
        <v>1246.53</v>
      </c>
      <c r="L49" s="89">
        <v>972.39</v>
      </c>
      <c r="M49" s="89">
        <v>1278.78</v>
      </c>
      <c r="N49" s="89">
        <v>1392.21</v>
      </c>
      <c r="O49" s="89">
        <v>1103.74</v>
      </c>
      <c r="P49" s="89">
        <v>1033.68</v>
      </c>
      <c r="Q49" s="89"/>
      <c r="R49" s="89"/>
      <c r="S49" s="89"/>
      <c r="T49" s="89"/>
      <c r="U49" s="89"/>
      <c r="V49" s="89"/>
      <c r="W49" s="89"/>
      <c r="X49" s="89"/>
      <c r="Y49" s="89"/>
      <c r="Z49" s="89"/>
    </row>
    <row r="50" spans="1:26" ht="15.75" customHeight="1">
      <c r="A50" s="89">
        <v>48</v>
      </c>
      <c r="B50" s="89">
        <v>512.07000000000005</v>
      </c>
      <c r="C50" s="89">
        <v>580.69000000000005</v>
      </c>
      <c r="D50" s="89">
        <v>403.29</v>
      </c>
      <c r="E50" s="89">
        <v>732.83</v>
      </c>
      <c r="F50" s="89">
        <v>1455.04</v>
      </c>
      <c r="G50" s="89">
        <v>766.26</v>
      </c>
      <c r="H50" s="89">
        <v>802.59</v>
      </c>
      <c r="I50" s="89">
        <v>979.17</v>
      </c>
      <c r="J50" s="89">
        <v>604.29999999999995</v>
      </c>
      <c r="K50" s="89">
        <v>1262.6400000000001</v>
      </c>
      <c r="L50" s="89">
        <v>977.57</v>
      </c>
      <c r="M50" s="89">
        <v>1297.54</v>
      </c>
      <c r="N50" s="89">
        <v>1400.4</v>
      </c>
      <c r="O50" s="89">
        <v>1104.29</v>
      </c>
      <c r="P50" s="89">
        <v>1040.45</v>
      </c>
      <c r="Q50" s="89"/>
      <c r="R50" s="89"/>
      <c r="S50" s="89"/>
      <c r="T50" s="89"/>
      <c r="U50" s="89"/>
      <c r="V50" s="89"/>
      <c r="W50" s="89"/>
      <c r="X50" s="89"/>
      <c r="Y50" s="89"/>
      <c r="Z50" s="89"/>
    </row>
    <row r="51" spans="1:26" ht="15.75" customHeight="1">
      <c r="A51" s="89">
        <v>49</v>
      </c>
      <c r="B51" s="89">
        <v>518.04999999999995</v>
      </c>
      <c r="C51" s="89">
        <v>582.01</v>
      </c>
      <c r="D51" s="89">
        <v>403.55</v>
      </c>
      <c r="E51" s="89">
        <v>733.25</v>
      </c>
      <c r="F51" s="89">
        <v>1460.69</v>
      </c>
      <c r="G51" s="89">
        <v>803.78</v>
      </c>
      <c r="H51" s="89">
        <v>803.35</v>
      </c>
      <c r="I51" s="89">
        <v>1008.87</v>
      </c>
      <c r="J51" s="89">
        <v>608.63</v>
      </c>
      <c r="K51" s="89">
        <v>1301.06</v>
      </c>
      <c r="L51" s="89">
        <v>1021.52</v>
      </c>
      <c r="M51" s="89">
        <v>1415.86</v>
      </c>
      <c r="N51" s="89">
        <v>1450.48</v>
      </c>
      <c r="O51" s="89">
        <v>1114.3399999999999</v>
      </c>
      <c r="P51" s="89">
        <v>1042.28</v>
      </c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 spans="1:26" ht="15.75" customHeight="1">
      <c r="A52" s="89">
        <v>50</v>
      </c>
      <c r="B52" s="89">
        <v>528.29999999999995</v>
      </c>
      <c r="C52" s="89">
        <v>593.48</v>
      </c>
      <c r="D52" s="89">
        <v>404.96</v>
      </c>
      <c r="E52" s="89">
        <v>741.52</v>
      </c>
      <c r="F52" s="89">
        <v>1573.6</v>
      </c>
      <c r="G52" s="89">
        <v>809.63</v>
      </c>
      <c r="H52" s="89">
        <v>807.28</v>
      </c>
      <c r="I52" s="89">
        <v>1017.96</v>
      </c>
      <c r="J52" s="89">
        <v>610.79999999999995</v>
      </c>
      <c r="K52" s="89">
        <v>1309.8900000000001</v>
      </c>
      <c r="L52" s="89">
        <v>1028.8499999999999</v>
      </c>
      <c r="M52" s="89">
        <v>1437.34</v>
      </c>
      <c r="N52" s="89">
        <v>1473.37</v>
      </c>
      <c r="O52" s="89">
        <v>1118.4000000000001</v>
      </c>
      <c r="P52" s="89">
        <v>1078.77</v>
      </c>
      <c r="Q52" s="89"/>
      <c r="R52" s="89"/>
      <c r="S52" s="89"/>
      <c r="T52" s="89"/>
      <c r="U52" s="89"/>
      <c r="V52" s="89"/>
      <c r="W52" s="89"/>
      <c r="X52" s="89"/>
      <c r="Y52" s="89"/>
      <c r="Z52" s="89"/>
    </row>
    <row r="53" spans="1:26" ht="15.75" customHeight="1">
      <c r="A53" s="89">
        <v>51</v>
      </c>
      <c r="B53" s="89">
        <v>548.1</v>
      </c>
      <c r="C53" s="89">
        <v>612.77</v>
      </c>
      <c r="D53" s="89">
        <v>409.8</v>
      </c>
      <c r="E53" s="89">
        <v>742.35</v>
      </c>
      <c r="F53" s="89">
        <v>1584.9</v>
      </c>
      <c r="G53" s="89">
        <v>810.22</v>
      </c>
      <c r="H53" s="89">
        <v>834.81</v>
      </c>
      <c r="I53" s="89">
        <v>1018.87</v>
      </c>
      <c r="J53" s="89">
        <v>611.11</v>
      </c>
      <c r="K53" s="89">
        <v>1344.22</v>
      </c>
      <c r="L53" s="89">
        <v>1040.3599999999999</v>
      </c>
      <c r="M53" s="89">
        <v>1439.49</v>
      </c>
      <c r="N53" s="89">
        <v>1475.66</v>
      </c>
      <c r="O53" s="89">
        <v>1118.81</v>
      </c>
      <c r="P53" s="89">
        <v>1082.42</v>
      </c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5.75" customHeight="1">
      <c r="A54" s="89">
        <v>52</v>
      </c>
      <c r="B54" s="89">
        <v>552.1</v>
      </c>
      <c r="C54" s="89">
        <v>614.73</v>
      </c>
      <c r="D54" s="89">
        <v>420.24</v>
      </c>
      <c r="E54" s="89">
        <v>743.06</v>
      </c>
      <c r="F54" s="89">
        <v>1634</v>
      </c>
      <c r="G54" s="89">
        <v>810.51</v>
      </c>
      <c r="H54" s="89">
        <v>837.57</v>
      </c>
      <c r="I54" s="89">
        <v>1022.56</v>
      </c>
      <c r="J54" s="89">
        <v>611.4</v>
      </c>
      <c r="K54" s="89">
        <v>1359.59</v>
      </c>
      <c r="L54" s="89">
        <v>1042.68</v>
      </c>
      <c r="M54" s="89">
        <v>1477.29</v>
      </c>
      <c r="N54" s="89">
        <v>1475.94</v>
      </c>
      <c r="O54" s="89">
        <v>1119.1500000000001</v>
      </c>
      <c r="P54" s="89">
        <v>1085.98</v>
      </c>
      <c r="Q54" s="89"/>
      <c r="R54" s="89"/>
      <c r="S54" s="89"/>
      <c r="T54" s="89"/>
      <c r="U54" s="89"/>
      <c r="V54" s="89"/>
      <c r="W54" s="89"/>
      <c r="X54" s="89"/>
      <c r="Y54" s="89"/>
      <c r="Z54" s="89"/>
    </row>
    <row r="55" spans="1:26" ht="15.75" customHeight="1">
      <c r="A55" s="89">
        <v>53</v>
      </c>
      <c r="B55" s="89">
        <v>552.76</v>
      </c>
      <c r="C55" s="89">
        <v>616.19000000000005</v>
      </c>
      <c r="D55" s="89">
        <v>428.87</v>
      </c>
      <c r="E55" s="89">
        <v>743.8</v>
      </c>
      <c r="F55" s="89">
        <v>1653.01</v>
      </c>
      <c r="G55" s="89">
        <v>812.67</v>
      </c>
      <c r="H55" s="89">
        <v>838.69</v>
      </c>
      <c r="I55" s="89">
        <v>1057.96</v>
      </c>
      <c r="J55" s="89">
        <v>611.66</v>
      </c>
      <c r="K55" s="89">
        <v>1374.83</v>
      </c>
      <c r="L55" s="89">
        <v>1073.6300000000001</v>
      </c>
      <c r="M55" s="89">
        <v>1481.08</v>
      </c>
      <c r="N55" s="89">
        <v>1476.2</v>
      </c>
      <c r="O55" s="89">
        <v>1125.6300000000001</v>
      </c>
      <c r="P55" s="89">
        <v>1125.8900000000001</v>
      </c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 spans="1:26" ht="15.75" customHeight="1">
      <c r="A56" s="89">
        <v>54</v>
      </c>
      <c r="B56" s="89">
        <v>557.12</v>
      </c>
      <c r="C56" s="89">
        <v>622.16999999999996</v>
      </c>
      <c r="D56" s="89">
        <v>430.69</v>
      </c>
      <c r="E56" s="89">
        <v>758.46</v>
      </c>
      <c r="F56" s="89">
        <v>1654.92</v>
      </c>
      <c r="G56" s="89">
        <v>855.65</v>
      </c>
      <c r="H56" s="89">
        <v>860.95</v>
      </c>
      <c r="I56" s="89">
        <v>1061.6099999999999</v>
      </c>
      <c r="J56" s="89">
        <v>612.01</v>
      </c>
      <c r="K56" s="89">
        <v>1387.76</v>
      </c>
      <c r="L56" s="89">
        <v>1132.53</v>
      </c>
      <c r="M56" s="89">
        <v>1481.47</v>
      </c>
      <c r="N56" s="89">
        <v>1476.47</v>
      </c>
      <c r="O56" s="89">
        <v>1142.05</v>
      </c>
      <c r="P56" s="89">
        <v>1129.8900000000001</v>
      </c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ht="15.75" customHeight="1">
      <c r="A57" s="89">
        <v>55</v>
      </c>
      <c r="B57" s="89">
        <v>562.57000000000005</v>
      </c>
      <c r="C57" s="89">
        <v>629.16999999999996</v>
      </c>
      <c r="D57" s="89">
        <v>431.01</v>
      </c>
      <c r="E57" s="89">
        <v>786.41</v>
      </c>
      <c r="F57" s="89">
        <v>1655.53</v>
      </c>
      <c r="G57" s="89">
        <v>861.87</v>
      </c>
      <c r="H57" s="89">
        <v>871.91</v>
      </c>
      <c r="I57" s="89">
        <v>1061.99</v>
      </c>
      <c r="J57" s="89">
        <v>614.42999999999995</v>
      </c>
      <c r="K57" s="89">
        <v>1405.76</v>
      </c>
      <c r="L57" s="89">
        <v>1138.43</v>
      </c>
      <c r="M57" s="89">
        <v>1481.84</v>
      </c>
      <c r="N57" s="89">
        <v>1476.81</v>
      </c>
      <c r="O57" s="89">
        <v>1143.71</v>
      </c>
      <c r="P57" s="89">
        <v>1134.44</v>
      </c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 spans="1:26" ht="15.75" customHeight="1">
      <c r="A58" s="89">
        <v>56</v>
      </c>
      <c r="B58" s="89">
        <v>568.01</v>
      </c>
      <c r="C58" s="89">
        <v>636.16</v>
      </c>
      <c r="D58" s="89">
        <v>431.32</v>
      </c>
      <c r="E58" s="89">
        <v>814.34</v>
      </c>
      <c r="F58" s="89">
        <v>1656.13</v>
      </c>
      <c r="G58" s="89">
        <v>868.1</v>
      </c>
      <c r="H58" s="89">
        <v>882.85</v>
      </c>
      <c r="I58" s="89">
        <v>1062.3599999999999</v>
      </c>
      <c r="J58" s="89">
        <v>616.85</v>
      </c>
      <c r="K58" s="89">
        <v>1423.76</v>
      </c>
      <c r="L58" s="89">
        <v>1161.83</v>
      </c>
      <c r="M58" s="89">
        <v>1482.2</v>
      </c>
      <c r="N58" s="89">
        <v>1477.16</v>
      </c>
      <c r="O58" s="89">
        <v>1145.3599999999999</v>
      </c>
      <c r="P58" s="89">
        <v>1138.99</v>
      </c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 spans="1:26" ht="15.75" customHeight="1">
      <c r="A59" s="89">
        <v>57</v>
      </c>
      <c r="B59" s="89">
        <v>573.45000000000005</v>
      </c>
      <c r="C59" s="89">
        <v>643.16</v>
      </c>
      <c r="D59" s="89">
        <v>431.63</v>
      </c>
      <c r="E59" s="89">
        <v>842.29</v>
      </c>
      <c r="F59" s="89">
        <v>1656.73</v>
      </c>
      <c r="G59" s="89">
        <v>874.32</v>
      </c>
      <c r="H59" s="89">
        <v>893.82</v>
      </c>
      <c r="I59" s="89">
        <v>1062.73</v>
      </c>
      <c r="J59" s="89">
        <v>619.26</v>
      </c>
      <c r="K59" s="89">
        <v>1441.76</v>
      </c>
      <c r="L59" s="89">
        <v>1176.46</v>
      </c>
      <c r="M59" s="89">
        <v>1482.57</v>
      </c>
      <c r="N59" s="89">
        <v>1477.5</v>
      </c>
      <c r="O59" s="89">
        <v>1147.01</v>
      </c>
      <c r="P59" s="89">
        <v>1143.53</v>
      </c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6" ht="15.75" customHeight="1">
      <c r="A60" s="89">
        <v>58</v>
      </c>
      <c r="B60" s="89">
        <v>578.89</v>
      </c>
      <c r="C60" s="89">
        <v>650.15</v>
      </c>
      <c r="D60" s="89">
        <v>431.95</v>
      </c>
      <c r="E60" s="89">
        <v>870.24</v>
      </c>
      <c r="F60" s="89">
        <v>1657.32</v>
      </c>
      <c r="G60" s="89">
        <v>880.52</v>
      </c>
      <c r="H60" s="89">
        <v>904.77</v>
      </c>
      <c r="I60" s="89">
        <v>1063.0899999999999</v>
      </c>
      <c r="J60" s="89">
        <v>621.67999999999995</v>
      </c>
      <c r="K60" s="89">
        <v>1459.75</v>
      </c>
      <c r="L60" s="89">
        <v>1191.1099999999999</v>
      </c>
      <c r="M60" s="89">
        <v>1482.94</v>
      </c>
      <c r="N60" s="89">
        <v>1477.85</v>
      </c>
      <c r="O60" s="89">
        <v>1148.67</v>
      </c>
      <c r="P60" s="89">
        <v>1148.08</v>
      </c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 spans="1:26" ht="15.75" customHeight="1">
      <c r="A61" s="89">
        <v>59</v>
      </c>
      <c r="B61" s="89">
        <v>582.15</v>
      </c>
      <c r="C61" s="89">
        <v>650.89</v>
      </c>
      <c r="D61" s="89">
        <v>432.21</v>
      </c>
      <c r="E61" s="89">
        <v>873.09</v>
      </c>
      <c r="F61" s="89">
        <v>1659.8</v>
      </c>
      <c r="G61" s="89">
        <v>881.14</v>
      </c>
      <c r="H61" s="89">
        <v>924.83</v>
      </c>
      <c r="I61" s="89">
        <v>1063.3399999999999</v>
      </c>
      <c r="J61" s="89">
        <v>627.4</v>
      </c>
      <c r="K61" s="89">
        <v>1461.6</v>
      </c>
      <c r="L61" s="89">
        <v>1192.58</v>
      </c>
      <c r="M61" s="89">
        <v>1483.34</v>
      </c>
      <c r="N61" s="89">
        <v>1478.11</v>
      </c>
      <c r="O61" s="89">
        <v>1148.95</v>
      </c>
      <c r="P61" s="89">
        <v>1149.8</v>
      </c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 spans="1:26" ht="15.75" customHeight="1">
      <c r="A62" s="89">
        <v>60</v>
      </c>
      <c r="B62" s="89">
        <v>583.15</v>
      </c>
      <c r="C62" s="89">
        <v>652.45000000000005</v>
      </c>
      <c r="D62" s="89">
        <v>432.51</v>
      </c>
      <c r="E62" s="89">
        <v>873.39</v>
      </c>
      <c r="F62" s="89">
        <v>1709.1</v>
      </c>
      <c r="G62" s="89">
        <v>881.41</v>
      </c>
      <c r="H62" s="89">
        <v>931.6</v>
      </c>
      <c r="I62" s="89">
        <v>1063.5999999999999</v>
      </c>
      <c r="J62" s="89">
        <v>633.20000000000005</v>
      </c>
      <c r="K62" s="89">
        <v>1462.78</v>
      </c>
      <c r="L62" s="89">
        <v>1192.8399999999999</v>
      </c>
      <c r="M62" s="89">
        <v>1483.98</v>
      </c>
      <c r="N62" s="89">
        <v>1478.39</v>
      </c>
      <c r="O62" s="89">
        <v>1149.26</v>
      </c>
      <c r="P62" s="89">
        <v>1150.08</v>
      </c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 spans="1:26" ht="15.75" customHeight="1">
      <c r="A63" s="89">
        <v>61</v>
      </c>
      <c r="B63" s="89">
        <v>602.86</v>
      </c>
      <c r="C63" s="89">
        <v>683.48</v>
      </c>
      <c r="D63" s="89">
        <v>437.67</v>
      </c>
      <c r="E63" s="89">
        <v>873.81</v>
      </c>
      <c r="F63" s="89">
        <v>1728.31</v>
      </c>
      <c r="G63" s="89">
        <v>881.67</v>
      </c>
      <c r="H63" s="89">
        <v>938.7</v>
      </c>
      <c r="I63" s="89">
        <v>1066.5</v>
      </c>
      <c r="J63" s="89">
        <v>640.04</v>
      </c>
      <c r="K63" s="89">
        <v>1486.04</v>
      </c>
      <c r="L63" s="89">
        <v>1193.1199999999999</v>
      </c>
      <c r="M63" s="89">
        <v>1496.24</v>
      </c>
      <c r="N63" s="89">
        <v>1481</v>
      </c>
      <c r="O63" s="89">
        <v>1149.55</v>
      </c>
      <c r="P63" s="89">
        <v>1153.06</v>
      </c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 spans="1:26" ht="15.75" customHeight="1">
      <c r="A64" s="89">
        <v>62</v>
      </c>
      <c r="B64" s="89">
        <v>609.6</v>
      </c>
      <c r="C64" s="89">
        <v>694.03</v>
      </c>
      <c r="D64" s="89">
        <v>449.59</v>
      </c>
      <c r="E64" s="89">
        <v>874.13</v>
      </c>
      <c r="F64" s="89">
        <v>1754.74</v>
      </c>
      <c r="G64" s="89">
        <v>882.01</v>
      </c>
      <c r="H64" s="89">
        <v>939.42</v>
      </c>
      <c r="I64" s="89">
        <v>1069.1500000000001</v>
      </c>
      <c r="J64" s="89">
        <v>646.89</v>
      </c>
      <c r="K64" s="89">
        <v>1488.38</v>
      </c>
      <c r="L64" s="89">
        <v>1193.5999999999999</v>
      </c>
      <c r="M64" s="89">
        <v>1497.48</v>
      </c>
      <c r="N64" s="89">
        <v>1532.81</v>
      </c>
      <c r="O64" s="89">
        <v>1149.8399999999999</v>
      </c>
      <c r="P64" s="89">
        <v>1212.46</v>
      </c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 spans="1:26" ht="15.75" customHeight="1">
      <c r="A65" s="89">
        <v>63</v>
      </c>
      <c r="B65" s="89">
        <v>628</v>
      </c>
      <c r="C65" s="89">
        <v>700.53</v>
      </c>
      <c r="D65" s="89">
        <v>457.56</v>
      </c>
      <c r="E65" s="89">
        <v>874.43</v>
      </c>
      <c r="F65" s="89">
        <v>1757.39</v>
      </c>
      <c r="G65" s="89">
        <v>882.28</v>
      </c>
      <c r="H65" s="89">
        <v>939.73</v>
      </c>
      <c r="I65" s="89">
        <v>1121.42</v>
      </c>
      <c r="J65" s="89">
        <v>658.38</v>
      </c>
      <c r="K65" s="89">
        <v>1493.36</v>
      </c>
      <c r="L65" s="89">
        <v>1193.9000000000001</v>
      </c>
      <c r="M65" s="89">
        <v>1497.79</v>
      </c>
      <c r="N65" s="89">
        <v>1538</v>
      </c>
      <c r="O65" s="89">
        <v>1150.1099999999999</v>
      </c>
      <c r="P65" s="89">
        <v>1218.4000000000001</v>
      </c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 spans="1:26" ht="15.75" customHeight="1">
      <c r="A66" s="89">
        <v>64</v>
      </c>
      <c r="B66" s="89">
        <v>634.94000000000005</v>
      </c>
      <c r="C66" s="89">
        <v>701.2</v>
      </c>
      <c r="D66" s="89">
        <v>458.36</v>
      </c>
      <c r="E66" s="89">
        <v>874.76</v>
      </c>
      <c r="F66" s="89">
        <v>1757.66</v>
      </c>
      <c r="G66" s="89">
        <v>885.61</v>
      </c>
      <c r="H66" s="89">
        <v>941.05</v>
      </c>
      <c r="I66" s="89">
        <v>1126.6600000000001</v>
      </c>
      <c r="J66" s="89">
        <v>667.6</v>
      </c>
      <c r="K66" s="89">
        <v>1498.49</v>
      </c>
      <c r="L66" s="89">
        <v>1194.1600000000001</v>
      </c>
      <c r="M66" s="89">
        <v>1499</v>
      </c>
      <c r="N66" s="89">
        <v>1538.54</v>
      </c>
      <c r="O66" s="89">
        <v>1150.51</v>
      </c>
      <c r="P66" s="89">
        <v>1232.3</v>
      </c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5.75" customHeight="1">
      <c r="A67" s="89">
        <v>65</v>
      </c>
      <c r="B67" s="89">
        <v>641.75</v>
      </c>
      <c r="C67" s="89">
        <v>701.97</v>
      </c>
      <c r="D67" s="89">
        <v>458.91</v>
      </c>
      <c r="E67" s="89">
        <v>875.26</v>
      </c>
      <c r="F67" s="89">
        <v>1757.91</v>
      </c>
      <c r="G67" s="89">
        <v>951.86</v>
      </c>
      <c r="H67" s="89">
        <v>967.29</v>
      </c>
      <c r="I67" s="89">
        <v>1135.3</v>
      </c>
      <c r="J67" s="89">
        <v>668.54</v>
      </c>
      <c r="K67" s="89">
        <v>1503.69</v>
      </c>
      <c r="L67" s="89">
        <v>1194.5</v>
      </c>
      <c r="M67" s="89">
        <v>1521.51</v>
      </c>
      <c r="N67" s="89">
        <v>1542.1</v>
      </c>
      <c r="O67" s="89">
        <v>1150.82</v>
      </c>
      <c r="P67" s="89">
        <v>1233.7</v>
      </c>
      <c r="Q67" s="89"/>
      <c r="R67" s="89"/>
      <c r="S67" s="89"/>
      <c r="T67" s="89"/>
      <c r="U67" s="89"/>
      <c r="V67" s="89"/>
      <c r="W67" s="89"/>
      <c r="X67" s="89"/>
      <c r="Y67" s="89"/>
      <c r="Z67" s="89"/>
    </row>
    <row r="68" spans="1:26" ht="15.75" customHeight="1">
      <c r="A68" s="89">
        <v>66</v>
      </c>
      <c r="B68" s="89">
        <v>642.65</v>
      </c>
      <c r="C68" s="89">
        <v>708.04</v>
      </c>
      <c r="D68" s="89">
        <v>469.89</v>
      </c>
      <c r="E68" s="89">
        <v>875.59</v>
      </c>
      <c r="F68" s="89">
        <v>1758.16</v>
      </c>
      <c r="G68" s="89">
        <v>958.49</v>
      </c>
      <c r="H68" s="89">
        <v>974.43</v>
      </c>
      <c r="I68" s="89">
        <v>1158.0899999999999</v>
      </c>
      <c r="J68" s="89">
        <v>680.45</v>
      </c>
      <c r="K68" s="89">
        <v>1508.86</v>
      </c>
      <c r="L68" s="89">
        <v>1196.4000000000001</v>
      </c>
      <c r="M68" s="89">
        <v>1529.17</v>
      </c>
      <c r="N68" s="89">
        <v>1606.4</v>
      </c>
      <c r="O68" s="89">
        <v>1151.8699999999999</v>
      </c>
      <c r="P68" s="89">
        <v>1235.1600000000001</v>
      </c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 spans="1:26" ht="15.75" customHeight="1">
      <c r="A69" s="89">
        <v>67</v>
      </c>
      <c r="B69" s="89">
        <v>643</v>
      </c>
      <c r="C69" s="89">
        <v>719.75</v>
      </c>
      <c r="D69" s="89">
        <v>472.06</v>
      </c>
      <c r="E69" s="89">
        <v>877.4</v>
      </c>
      <c r="F69" s="89">
        <v>1758.41</v>
      </c>
      <c r="G69" s="89">
        <v>959.17</v>
      </c>
      <c r="H69" s="89">
        <v>981.57</v>
      </c>
      <c r="I69" s="89">
        <v>1160.3699999999999</v>
      </c>
      <c r="J69" s="89">
        <v>681.65</v>
      </c>
      <c r="K69" s="89">
        <v>1514.07</v>
      </c>
      <c r="L69" s="89">
        <v>1216.55</v>
      </c>
      <c r="M69" s="89">
        <v>1533.14</v>
      </c>
      <c r="N69" s="89">
        <v>1612.84</v>
      </c>
      <c r="O69" s="89">
        <v>1152.1199999999999</v>
      </c>
      <c r="P69" s="89">
        <v>1235.5999999999999</v>
      </c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 spans="1:26" ht="15.75" customHeight="1">
      <c r="A70" s="89">
        <v>68</v>
      </c>
      <c r="B70" s="89">
        <v>647.85</v>
      </c>
      <c r="C70" s="89">
        <v>720.95</v>
      </c>
      <c r="D70" s="89">
        <v>473.36</v>
      </c>
      <c r="E70" s="89">
        <v>912.61</v>
      </c>
      <c r="F70" s="89">
        <v>1758.66</v>
      </c>
      <c r="G70" s="89">
        <v>962.35</v>
      </c>
      <c r="H70" s="89">
        <v>988.67</v>
      </c>
      <c r="I70" s="89">
        <v>1160.6199999999999</v>
      </c>
      <c r="J70" s="89">
        <v>694.17</v>
      </c>
      <c r="K70" s="89">
        <v>1519.28</v>
      </c>
      <c r="L70" s="89">
        <v>1220.28</v>
      </c>
      <c r="M70" s="89">
        <v>1592.34</v>
      </c>
      <c r="N70" s="89">
        <v>1613.49</v>
      </c>
      <c r="O70" s="89">
        <v>1152.3699999999999</v>
      </c>
      <c r="P70" s="89">
        <v>1237.5</v>
      </c>
      <c r="Q70" s="89"/>
      <c r="R70" s="89"/>
      <c r="S70" s="89"/>
      <c r="T70" s="89"/>
      <c r="U70" s="89"/>
      <c r="V70" s="89"/>
      <c r="W70" s="89"/>
      <c r="X70" s="89"/>
      <c r="Y70" s="89"/>
      <c r="Z70" s="89"/>
    </row>
    <row r="71" spans="1:26" ht="15.75" customHeight="1">
      <c r="A71" s="89">
        <v>69</v>
      </c>
      <c r="B71" s="89">
        <v>648.34</v>
      </c>
      <c r="C71" s="89">
        <v>726.14</v>
      </c>
      <c r="D71" s="89">
        <v>473.73</v>
      </c>
      <c r="E71" s="89">
        <v>916.16</v>
      </c>
      <c r="F71" s="89">
        <v>1759.11</v>
      </c>
      <c r="G71" s="89">
        <v>962.69</v>
      </c>
      <c r="H71" s="89">
        <v>995.86</v>
      </c>
      <c r="I71" s="89">
        <v>1160.92</v>
      </c>
      <c r="J71" s="89">
        <v>695.43</v>
      </c>
      <c r="K71" s="89">
        <v>1520.02</v>
      </c>
      <c r="L71" s="89">
        <v>1233.01</v>
      </c>
      <c r="M71" s="89">
        <v>1598.27</v>
      </c>
      <c r="N71" s="89">
        <v>1613.92</v>
      </c>
      <c r="O71" s="89">
        <v>1152.67</v>
      </c>
      <c r="P71" s="89">
        <v>1275.22</v>
      </c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 spans="1:26" ht="15.75" customHeight="1">
      <c r="A72" s="89">
        <v>70</v>
      </c>
      <c r="B72" s="89">
        <v>651.98</v>
      </c>
      <c r="C72" s="89">
        <v>729.81</v>
      </c>
      <c r="D72" s="89">
        <v>481.13</v>
      </c>
      <c r="E72" s="89">
        <v>933.42</v>
      </c>
      <c r="F72" s="89">
        <v>1768</v>
      </c>
      <c r="G72" s="89">
        <v>969.4</v>
      </c>
      <c r="H72" s="89">
        <v>1002.99</v>
      </c>
      <c r="I72" s="89">
        <v>1166.79</v>
      </c>
      <c r="J72" s="89">
        <v>702.28</v>
      </c>
      <c r="K72" s="89">
        <v>1527.7</v>
      </c>
      <c r="L72" s="89">
        <v>1259.3800000000001</v>
      </c>
      <c r="M72" s="89">
        <v>1606.35</v>
      </c>
      <c r="N72" s="89">
        <v>1622.42</v>
      </c>
      <c r="O72" s="89">
        <v>1158.57</v>
      </c>
      <c r="P72" s="89">
        <v>1330.99</v>
      </c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 spans="1:26" ht="15.75" customHeight="1">
      <c r="A73" s="89">
        <v>71</v>
      </c>
      <c r="B73" s="89">
        <v>724.73</v>
      </c>
      <c r="C73" s="89">
        <v>803.17</v>
      </c>
      <c r="D73" s="89">
        <v>540.6</v>
      </c>
      <c r="E73" s="89">
        <v>1028.53</v>
      </c>
      <c r="F73" s="89">
        <v>1945.7</v>
      </c>
      <c r="G73" s="89">
        <v>1103.46</v>
      </c>
      <c r="H73" s="89">
        <v>1119.71</v>
      </c>
      <c r="I73" s="89">
        <v>1284.06</v>
      </c>
      <c r="J73" s="89">
        <v>782.64</v>
      </c>
      <c r="K73" s="89">
        <v>1681.24</v>
      </c>
      <c r="L73" s="89">
        <v>1388.07</v>
      </c>
      <c r="M73" s="89">
        <v>1767.8</v>
      </c>
      <c r="N73" s="89">
        <v>1792.32</v>
      </c>
      <c r="O73" s="89">
        <v>1276.55</v>
      </c>
      <c r="P73" s="89">
        <v>1470.23</v>
      </c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 spans="1:26" ht="15.75" customHeight="1">
      <c r="A74" s="89">
        <v>72</v>
      </c>
      <c r="B74" s="89">
        <v>732.01</v>
      </c>
      <c r="C74" s="89">
        <v>810.51</v>
      </c>
      <c r="D74" s="89">
        <v>546.54999999999995</v>
      </c>
      <c r="E74" s="89">
        <v>1038.05</v>
      </c>
      <c r="F74" s="89">
        <v>1963.47</v>
      </c>
      <c r="G74" s="89">
        <v>1118.3699999999999</v>
      </c>
      <c r="H74" s="89">
        <v>1131.3900000000001</v>
      </c>
      <c r="I74" s="89">
        <v>1295.79</v>
      </c>
      <c r="J74" s="89">
        <v>814.06</v>
      </c>
      <c r="K74" s="89">
        <v>1696.6</v>
      </c>
      <c r="L74" s="89">
        <v>1400.94</v>
      </c>
      <c r="M74" s="89">
        <v>1783.95</v>
      </c>
      <c r="N74" s="89">
        <v>1809.31</v>
      </c>
      <c r="O74" s="89">
        <v>1288.3499999999999</v>
      </c>
      <c r="P74" s="89">
        <v>1484.16</v>
      </c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6" ht="15.75" customHeight="1">
      <c r="A75" s="89">
        <v>73</v>
      </c>
      <c r="B75" s="89">
        <v>751.29</v>
      </c>
      <c r="C75" s="89">
        <v>811.25</v>
      </c>
      <c r="D75" s="89">
        <v>547.15</v>
      </c>
      <c r="E75" s="89">
        <v>1087.6500000000001</v>
      </c>
      <c r="F75" s="89">
        <v>1965.25</v>
      </c>
      <c r="G75" s="89">
        <v>1121.79</v>
      </c>
      <c r="H75" s="89">
        <v>1139.3399999999999</v>
      </c>
      <c r="I75" s="89">
        <v>1333.11</v>
      </c>
      <c r="J75" s="89">
        <v>817.21</v>
      </c>
      <c r="K75" s="89">
        <v>1702.3</v>
      </c>
      <c r="L75" s="89">
        <v>1402.23</v>
      </c>
      <c r="M75" s="89">
        <v>1785.57</v>
      </c>
      <c r="N75" s="89">
        <v>1811.01</v>
      </c>
      <c r="O75" s="89">
        <v>1289.53</v>
      </c>
      <c r="P75" s="89">
        <v>1485.56</v>
      </c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15.75" customHeight="1">
      <c r="A76" s="89">
        <v>74</v>
      </c>
      <c r="B76" s="89">
        <v>753.22</v>
      </c>
      <c r="C76" s="89">
        <v>811.5</v>
      </c>
      <c r="D76" s="89">
        <v>547.76</v>
      </c>
      <c r="E76" s="89">
        <v>1092.6199999999999</v>
      </c>
      <c r="F76" s="89">
        <v>1965.68</v>
      </c>
      <c r="G76" s="89">
        <v>1190.01</v>
      </c>
      <c r="H76" s="89">
        <v>1147.25</v>
      </c>
      <c r="I76" s="89">
        <v>1336.85</v>
      </c>
      <c r="J76" s="89">
        <v>817.54</v>
      </c>
      <c r="K76" s="89">
        <v>1708.02</v>
      </c>
      <c r="L76" s="89">
        <v>1402.52</v>
      </c>
      <c r="M76" s="89">
        <v>1785.95</v>
      </c>
      <c r="N76" s="89">
        <v>1811.32</v>
      </c>
      <c r="O76" s="89">
        <v>1289.8499999999999</v>
      </c>
      <c r="P76" s="89">
        <v>1491.64</v>
      </c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 spans="1:26" ht="15.75" customHeight="1">
      <c r="A77" s="89">
        <v>75</v>
      </c>
      <c r="B77" s="89">
        <v>770.39</v>
      </c>
      <c r="C77" s="89">
        <v>811.75</v>
      </c>
      <c r="D77" s="89">
        <v>559.6</v>
      </c>
      <c r="E77" s="89">
        <v>1093.1199999999999</v>
      </c>
      <c r="F77" s="89">
        <v>1974.12</v>
      </c>
      <c r="G77" s="89">
        <v>1196.8599999999999</v>
      </c>
      <c r="H77" s="89">
        <v>1148.06</v>
      </c>
      <c r="I77" s="89">
        <v>1337.23</v>
      </c>
      <c r="J77" s="89">
        <v>818.95</v>
      </c>
      <c r="K77" s="89">
        <v>1713.76</v>
      </c>
      <c r="L77" s="89">
        <v>1404.88</v>
      </c>
      <c r="M77" s="89">
        <v>1786.32</v>
      </c>
      <c r="N77" s="89">
        <v>1811.59</v>
      </c>
      <c r="O77" s="89">
        <v>1290.18</v>
      </c>
      <c r="P77" s="89">
        <v>1564.83</v>
      </c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15.75" customHeight="1">
      <c r="A78" s="89">
        <v>76</v>
      </c>
      <c r="B78" s="89">
        <v>777.5</v>
      </c>
      <c r="C78" s="89">
        <v>812</v>
      </c>
      <c r="D78" s="89">
        <v>573.35</v>
      </c>
      <c r="E78" s="89">
        <v>1093.47</v>
      </c>
      <c r="F78" s="89">
        <v>1975.03</v>
      </c>
      <c r="G78" s="89">
        <v>1209.33</v>
      </c>
      <c r="H78" s="89">
        <v>1163.1600000000001</v>
      </c>
      <c r="I78" s="89">
        <v>1337.55</v>
      </c>
      <c r="J78" s="89">
        <v>846.33</v>
      </c>
      <c r="K78" s="89">
        <v>1719.47</v>
      </c>
      <c r="L78" s="89">
        <v>1451.23</v>
      </c>
      <c r="M78" s="89">
        <v>1786.65</v>
      </c>
      <c r="N78" s="89">
        <v>1811.88</v>
      </c>
      <c r="O78" s="89">
        <v>1290.5</v>
      </c>
      <c r="P78" s="89">
        <v>1572.15</v>
      </c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15.75" customHeight="1">
      <c r="A79" s="89">
        <v>77</v>
      </c>
      <c r="B79" s="89">
        <v>778.22</v>
      </c>
      <c r="C79" s="89">
        <v>812.25</v>
      </c>
      <c r="D79" s="89">
        <v>574.73</v>
      </c>
      <c r="E79" s="89">
        <v>1094.29</v>
      </c>
      <c r="F79" s="89">
        <v>1975.32</v>
      </c>
      <c r="G79" s="89">
        <v>1218.94</v>
      </c>
      <c r="H79" s="89">
        <v>1171.06</v>
      </c>
      <c r="I79" s="89">
        <v>1337.84</v>
      </c>
      <c r="J79" s="89">
        <v>849.08</v>
      </c>
      <c r="K79" s="89">
        <v>1725.2</v>
      </c>
      <c r="L79" s="89">
        <v>1455.88</v>
      </c>
      <c r="M79" s="89">
        <v>1786.99</v>
      </c>
      <c r="N79" s="89">
        <v>1812.18</v>
      </c>
      <c r="O79" s="89">
        <v>1290.83</v>
      </c>
      <c r="P79" s="89">
        <v>1572.89</v>
      </c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spans="1:26" ht="15.75" customHeight="1">
      <c r="A80" s="89">
        <v>78</v>
      </c>
      <c r="B80" s="89">
        <v>778.5</v>
      </c>
      <c r="C80" s="89">
        <v>812.5</v>
      </c>
      <c r="D80" s="89">
        <v>579.97</v>
      </c>
      <c r="E80" s="89">
        <v>1094.6400000000001</v>
      </c>
      <c r="F80" s="89">
        <v>1975.59</v>
      </c>
      <c r="G80" s="89">
        <v>1228.5899999999999</v>
      </c>
      <c r="H80" s="89">
        <v>1179.01</v>
      </c>
      <c r="I80" s="89">
        <v>1338.14</v>
      </c>
      <c r="J80" s="89">
        <v>852.37</v>
      </c>
      <c r="K80" s="89">
        <v>1729.8</v>
      </c>
      <c r="L80" s="89">
        <v>1456.35</v>
      </c>
      <c r="M80" s="89">
        <v>1791.71</v>
      </c>
      <c r="N80" s="89">
        <v>1812.54</v>
      </c>
      <c r="O80" s="89">
        <v>1291.1300000000001</v>
      </c>
      <c r="P80" s="89">
        <v>1573.18</v>
      </c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spans="1:26" ht="15.75" customHeight="1">
      <c r="A81" s="89">
        <v>79</v>
      </c>
      <c r="B81" s="89">
        <v>778.75</v>
      </c>
      <c r="C81" s="89">
        <v>812.75</v>
      </c>
      <c r="D81" s="89">
        <v>588.44000000000005</v>
      </c>
      <c r="E81" s="89">
        <v>1094.99</v>
      </c>
      <c r="F81" s="89">
        <v>1975.88</v>
      </c>
      <c r="G81" s="89">
        <v>1231.97</v>
      </c>
      <c r="H81" s="89">
        <v>1186.95</v>
      </c>
      <c r="I81" s="89">
        <v>1338.42</v>
      </c>
      <c r="J81" s="89">
        <v>852.7</v>
      </c>
      <c r="K81" s="89">
        <v>1730.28</v>
      </c>
      <c r="L81" s="89">
        <v>1456.68</v>
      </c>
      <c r="M81" s="89">
        <v>1885.82</v>
      </c>
      <c r="N81" s="89">
        <v>1819.66</v>
      </c>
      <c r="O81" s="89">
        <v>1291.44</v>
      </c>
      <c r="P81" s="89">
        <v>1573.46</v>
      </c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>
      <c r="A82" s="89">
        <v>80</v>
      </c>
      <c r="B82" s="89">
        <v>779</v>
      </c>
      <c r="C82" s="89">
        <v>813</v>
      </c>
      <c r="D82" s="89">
        <v>589.29</v>
      </c>
      <c r="E82" s="89">
        <v>1095.3399999999999</v>
      </c>
      <c r="F82" s="89">
        <v>1976.15</v>
      </c>
      <c r="G82" s="89">
        <v>1232.31</v>
      </c>
      <c r="H82" s="89">
        <v>1187.76</v>
      </c>
      <c r="I82" s="89">
        <v>1338.73</v>
      </c>
      <c r="J82" s="89">
        <v>853.04</v>
      </c>
      <c r="K82" s="89">
        <v>1730.59</v>
      </c>
      <c r="L82" s="89">
        <v>1457.03</v>
      </c>
      <c r="M82" s="89">
        <v>1895.25</v>
      </c>
      <c r="N82" s="89">
        <v>1961.92</v>
      </c>
      <c r="O82" s="89">
        <v>1291.77</v>
      </c>
      <c r="P82" s="89">
        <v>1573.75</v>
      </c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15.75" customHeight="1">
      <c r="A83" s="89">
        <v>81</v>
      </c>
      <c r="B83" s="89">
        <v>779.25</v>
      </c>
      <c r="C83" s="89">
        <v>813.25</v>
      </c>
      <c r="D83" s="89">
        <v>589.58000000000004</v>
      </c>
      <c r="E83" s="89">
        <v>1096.1400000000001</v>
      </c>
      <c r="F83" s="89">
        <v>1976.44</v>
      </c>
      <c r="G83" s="89">
        <v>1232.6600000000001</v>
      </c>
      <c r="H83" s="89">
        <v>1195.27</v>
      </c>
      <c r="I83" s="89">
        <v>1339.03</v>
      </c>
      <c r="J83" s="89">
        <v>859.27</v>
      </c>
      <c r="K83" s="89">
        <v>1730.89</v>
      </c>
      <c r="L83" s="89">
        <v>1457.37</v>
      </c>
      <c r="M83" s="89">
        <v>1896.22</v>
      </c>
      <c r="N83" s="89">
        <v>1976.8</v>
      </c>
      <c r="O83" s="89">
        <v>1292.0899999999999</v>
      </c>
      <c r="P83" s="89">
        <v>1574.02</v>
      </c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 spans="1:26" ht="15.75" customHeight="1">
      <c r="A84" s="89">
        <v>82</v>
      </c>
      <c r="B84" s="89">
        <v>779.5</v>
      </c>
      <c r="C84" s="89">
        <v>813.5</v>
      </c>
      <c r="D84" s="89">
        <v>590.09</v>
      </c>
      <c r="E84" s="89">
        <v>1112.08</v>
      </c>
      <c r="F84" s="89">
        <v>1976.71</v>
      </c>
      <c r="G84" s="89">
        <v>1232.95</v>
      </c>
      <c r="H84" s="89">
        <v>1196.05</v>
      </c>
      <c r="I84" s="89">
        <v>1339.33</v>
      </c>
      <c r="J84" s="89">
        <v>875.6</v>
      </c>
      <c r="K84" s="89">
        <v>1731.2</v>
      </c>
      <c r="L84" s="89">
        <v>1457.7</v>
      </c>
      <c r="M84" s="89">
        <v>1896.79</v>
      </c>
      <c r="N84" s="89">
        <v>1978.29</v>
      </c>
      <c r="O84" s="89">
        <v>1292.42</v>
      </c>
      <c r="P84" s="89">
        <v>1574.31</v>
      </c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 spans="1:26" ht="15.75" customHeight="1">
      <c r="A85" s="89">
        <v>83</v>
      </c>
      <c r="B85" s="89">
        <v>779.75</v>
      </c>
      <c r="C85" s="89">
        <v>813.75</v>
      </c>
      <c r="D85" s="89">
        <v>600.21</v>
      </c>
      <c r="E85" s="89">
        <v>1113.7</v>
      </c>
      <c r="F85" s="89">
        <v>1977.12</v>
      </c>
      <c r="G85" s="89">
        <v>1233.23</v>
      </c>
      <c r="H85" s="89">
        <v>1197.52</v>
      </c>
      <c r="I85" s="89">
        <v>1339.63</v>
      </c>
      <c r="J85" s="89">
        <v>877.24</v>
      </c>
      <c r="K85" s="89">
        <v>1731.48</v>
      </c>
      <c r="L85" s="89">
        <v>1457.98</v>
      </c>
      <c r="M85" s="89">
        <v>1897.16</v>
      </c>
      <c r="N85" s="89">
        <v>1978.58</v>
      </c>
      <c r="O85" s="89">
        <v>1292.74</v>
      </c>
      <c r="P85" s="89">
        <v>1574.59</v>
      </c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15.75" customHeight="1">
      <c r="A86" s="89">
        <v>84</v>
      </c>
      <c r="B86" s="89">
        <v>780</v>
      </c>
      <c r="C86" s="89">
        <v>814</v>
      </c>
      <c r="D86" s="89">
        <v>601.23</v>
      </c>
      <c r="E86" s="89">
        <v>1115.3900000000001</v>
      </c>
      <c r="F86" s="89">
        <v>1977.42</v>
      </c>
      <c r="G86" s="89">
        <v>1233.52</v>
      </c>
      <c r="H86" s="89">
        <v>1226.6500000000001</v>
      </c>
      <c r="I86" s="89">
        <v>1339.91</v>
      </c>
      <c r="J86" s="89">
        <v>877.81</v>
      </c>
      <c r="K86" s="89">
        <v>1731.79</v>
      </c>
      <c r="L86" s="89">
        <v>1458.39</v>
      </c>
      <c r="M86" s="89">
        <v>1897.52</v>
      </c>
      <c r="N86" s="89">
        <v>1978.95</v>
      </c>
      <c r="O86" s="89">
        <v>1293.07</v>
      </c>
      <c r="P86" s="89">
        <v>1574.87</v>
      </c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 spans="1:26" ht="15.75" customHeight="1">
      <c r="A87" s="89">
        <v>85</v>
      </c>
      <c r="B87" s="89">
        <v>780.25</v>
      </c>
      <c r="C87" s="89">
        <v>814.25</v>
      </c>
      <c r="D87" s="89">
        <v>617.32000000000005</v>
      </c>
      <c r="E87" s="89">
        <v>1125.32</v>
      </c>
      <c r="F87" s="89">
        <v>1977.72</v>
      </c>
      <c r="G87" s="89">
        <v>1234.04</v>
      </c>
      <c r="H87" s="89">
        <v>1234.5999999999999</v>
      </c>
      <c r="I87" s="89">
        <v>1340.22</v>
      </c>
      <c r="J87" s="89">
        <v>889.1</v>
      </c>
      <c r="K87" s="89">
        <v>1732.1</v>
      </c>
      <c r="L87" s="89">
        <v>1458.72</v>
      </c>
      <c r="M87" s="89">
        <v>1897.91</v>
      </c>
      <c r="N87" s="89">
        <v>1979.28</v>
      </c>
      <c r="O87" s="89">
        <v>1293.3900000000001</v>
      </c>
      <c r="P87" s="89">
        <v>1577.57</v>
      </c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 spans="1:26" ht="15.75" customHeight="1">
      <c r="A88" s="89">
        <v>86</v>
      </c>
      <c r="B88" s="89">
        <v>780.5</v>
      </c>
      <c r="C88" s="89">
        <v>814.5</v>
      </c>
      <c r="D88" s="89">
        <v>623.64</v>
      </c>
      <c r="E88" s="89">
        <v>1126.32</v>
      </c>
      <c r="F88" s="89">
        <v>1978.19</v>
      </c>
      <c r="G88" s="89">
        <v>1244.44</v>
      </c>
      <c r="H88" s="89">
        <v>1242.5</v>
      </c>
      <c r="I88" s="89">
        <v>1340.52</v>
      </c>
      <c r="J88" s="89">
        <v>890.24</v>
      </c>
      <c r="K88" s="89">
        <v>1732.4</v>
      </c>
      <c r="L88" s="89">
        <v>1459.06</v>
      </c>
      <c r="M88" s="89">
        <v>1898.19</v>
      </c>
      <c r="N88" s="89">
        <v>1983.85</v>
      </c>
      <c r="O88" s="89">
        <v>1293.71</v>
      </c>
      <c r="P88" s="89">
        <v>1630.97</v>
      </c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15.75" customHeight="1">
      <c r="A89" s="89">
        <v>87</v>
      </c>
      <c r="B89" s="89">
        <v>780.75</v>
      </c>
      <c r="C89" s="89">
        <v>814.75</v>
      </c>
      <c r="D89" s="89">
        <v>637.24</v>
      </c>
      <c r="E89" s="89">
        <v>1129.06</v>
      </c>
      <c r="F89" s="89">
        <v>1987.47</v>
      </c>
      <c r="G89" s="89">
        <v>1248.57</v>
      </c>
      <c r="H89" s="89">
        <v>1246.06</v>
      </c>
      <c r="I89" s="89">
        <v>1340.82</v>
      </c>
      <c r="J89" s="89">
        <v>890.83</v>
      </c>
      <c r="K89" s="89">
        <v>1732.71</v>
      </c>
      <c r="L89" s="89">
        <v>1459.4</v>
      </c>
      <c r="M89" s="89">
        <v>1898.48</v>
      </c>
      <c r="N89" s="89">
        <v>2075.14</v>
      </c>
      <c r="O89" s="89">
        <v>1294.03</v>
      </c>
      <c r="P89" s="89">
        <v>1636.32</v>
      </c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 spans="1:26" ht="15.75" customHeight="1">
      <c r="A90" s="89">
        <v>88</v>
      </c>
      <c r="B90" s="89">
        <v>781</v>
      </c>
      <c r="C90" s="89">
        <v>815</v>
      </c>
      <c r="D90" s="89">
        <v>638.61</v>
      </c>
      <c r="E90" s="89">
        <v>1129.3499999999999</v>
      </c>
      <c r="F90" s="89">
        <v>2111.9499999999998</v>
      </c>
      <c r="G90" s="89">
        <v>1249.18</v>
      </c>
      <c r="H90" s="89">
        <v>1246.43</v>
      </c>
      <c r="I90" s="89">
        <v>1341.12</v>
      </c>
      <c r="J90" s="89">
        <v>902.63</v>
      </c>
      <c r="K90" s="89">
        <v>1733.01</v>
      </c>
      <c r="L90" s="89">
        <v>1460.14</v>
      </c>
      <c r="M90" s="89">
        <v>1898.96</v>
      </c>
      <c r="N90" s="89">
        <v>2084.27</v>
      </c>
      <c r="O90" s="89">
        <v>1296.19</v>
      </c>
      <c r="P90" s="89">
        <v>1636.87</v>
      </c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 spans="1:26" ht="15.75" customHeight="1">
      <c r="A91" s="89">
        <v>89</v>
      </c>
      <c r="B91" s="89">
        <v>781.25</v>
      </c>
      <c r="C91" s="89">
        <v>815.25</v>
      </c>
      <c r="D91" s="89">
        <v>638.91</v>
      </c>
      <c r="E91" s="89">
        <v>1129.8399999999999</v>
      </c>
      <c r="F91" s="89">
        <v>2233.9499999999998</v>
      </c>
      <c r="G91" s="89">
        <v>1249.46</v>
      </c>
      <c r="H91" s="89">
        <v>1246.78</v>
      </c>
      <c r="I91" s="89">
        <v>1341.42</v>
      </c>
      <c r="J91" s="89">
        <v>922.68</v>
      </c>
      <c r="K91" s="89">
        <v>1733.3</v>
      </c>
      <c r="L91" s="89">
        <v>1474.52</v>
      </c>
      <c r="M91" s="89">
        <v>1899.3</v>
      </c>
      <c r="N91" s="89">
        <v>2085.19</v>
      </c>
      <c r="O91" s="89">
        <v>1330.92</v>
      </c>
      <c r="P91" s="89">
        <v>1637.14</v>
      </c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15.75" customHeight="1">
      <c r="A92" s="89">
        <v>90</v>
      </c>
      <c r="B92" s="89">
        <v>781.5</v>
      </c>
      <c r="C92" s="89">
        <v>815.5</v>
      </c>
      <c r="D92" s="89">
        <v>639.22</v>
      </c>
      <c r="E92" s="89">
        <v>1138.8399999999999</v>
      </c>
      <c r="F92" s="89">
        <v>2246.16</v>
      </c>
      <c r="G92" s="89">
        <v>1249.74</v>
      </c>
      <c r="H92" s="89">
        <v>1247.69</v>
      </c>
      <c r="I92" s="89">
        <v>1341.71</v>
      </c>
      <c r="J92" s="89">
        <v>924.7</v>
      </c>
      <c r="K92" s="89">
        <v>1733.61</v>
      </c>
      <c r="L92" s="89">
        <v>1480.61</v>
      </c>
      <c r="M92" s="89">
        <v>1899.75</v>
      </c>
      <c r="N92" s="89">
        <v>2090.67</v>
      </c>
      <c r="O92" s="89">
        <v>1334.4</v>
      </c>
      <c r="P92" s="89">
        <v>1637.43</v>
      </c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 spans="1:26" ht="15.75" customHeight="1">
      <c r="A93" s="89">
        <v>91</v>
      </c>
      <c r="B93" s="89">
        <v>781.75</v>
      </c>
      <c r="C93" s="89">
        <v>815.75</v>
      </c>
      <c r="D93" s="89">
        <v>639.5</v>
      </c>
      <c r="E93" s="89">
        <v>1139.75</v>
      </c>
      <c r="F93" s="89">
        <v>2247.4</v>
      </c>
      <c r="G93" s="89">
        <v>1250.03</v>
      </c>
      <c r="H93" s="89">
        <v>1265.1600000000001</v>
      </c>
      <c r="I93" s="89">
        <v>1342.01</v>
      </c>
      <c r="J93" s="89">
        <v>926.31</v>
      </c>
      <c r="K93" s="89">
        <v>1733.91</v>
      </c>
      <c r="L93" s="89">
        <v>1483.39</v>
      </c>
      <c r="M93" s="89">
        <v>1900.11</v>
      </c>
      <c r="N93" s="89">
        <v>2096.65</v>
      </c>
      <c r="O93" s="89">
        <v>1334.75</v>
      </c>
      <c r="P93" s="89">
        <v>1637.71</v>
      </c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 spans="1:26" ht="15.75" customHeight="1">
      <c r="A94" s="89">
        <v>92</v>
      </c>
      <c r="B94" s="89">
        <v>782</v>
      </c>
      <c r="C94" s="89">
        <v>816</v>
      </c>
      <c r="D94" s="89">
        <v>639.91</v>
      </c>
      <c r="E94" s="89">
        <v>1140</v>
      </c>
      <c r="F94" s="89">
        <v>2247.6799999999998</v>
      </c>
      <c r="G94" s="89">
        <v>1250.32</v>
      </c>
      <c r="H94" s="89">
        <v>1266.9100000000001</v>
      </c>
      <c r="I94" s="89">
        <v>1342.32</v>
      </c>
      <c r="J94" s="89">
        <v>935.44</v>
      </c>
      <c r="K94" s="89">
        <v>1734.22</v>
      </c>
      <c r="L94" s="89">
        <v>1486.06</v>
      </c>
      <c r="M94" s="89">
        <v>1900.41</v>
      </c>
      <c r="N94" s="89">
        <v>2216.12</v>
      </c>
      <c r="O94" s="89">
        <v>1335</v>
      </c>
      <c r="P94" s="89">
        <v>1637.99</v>
      </c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5.75" customHeight="1">
      <c r="A95" s="89">
        <v>93</v>
      </c>
      <c r="B95" s="89">
        <v>782.25</v>
      </c>
      <c r="C95" s="89">
        <v>816.25</v>
      </c>
      <c r="D95" s="89">
        <v>640.34</v>
      </c>
      <c r="E95" s="89">
        <v>1140.25</v>
      </c>
      <c r="F95" s="89">
        <v>2247.96</v>
      </c>
      <c r="G95" s="89">
        <v>1250.5899999999999</v>
      </c>
      <c r="H95" s="89">
        <v>1267.25</v>
      </c>
      <c r="I95" s="89">
        <v>1342.6</v>
      </c>
      <c r="J95" s="89">
        <v>936.37</v>
      </c>
      <c r="K95" s="89">
        <v>1734.52</v>
      </c>
      <c r="L95" s="89">
        <v>1539.42</v>
      </c>
      <c r="M95" s="89">
        <v>1900.85</v>
      </c>
      <c r="N95" s="89">
        <v>2228.65</v>
      </c>
      <c r="O95" s="89">
        <v>1335.25</v>
      </c>
      <c r="P95" s="89">
        <v>1638.27</v>
      </c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 spans="1:26" ht="15.75" customHeight="1">
      <c r="A96" s="89">
        <v>94</v>
      </c>
      <c r="B96" s="89">
        <v>782.5</v>
      </c>
      <c r="C96" s="89">
        <v>816.5</v>
      </c>
      <c r="D96" s="89">
        <v>642.54</v>
      </c>
      <c r="E96" s="89">
        <v>1140.5</v>
      </c>
      <c r="F96" s="89">
        <v>2248.23</v>
      </c>
      <c r="G96" s="89">
        <v>1250.8800000000001</v>
      </c>
      <c r="H96" s="89">
        <v>1267.56</v>
      </c>
      <c r="I96" s="89">
        <v>1342.91</v>
      </c>
      <c r="J96" s="89">
        <v>954.79</v>
      </c>
      <c r="K96" s="89">
        <v>1734.82</v>
      </c>
      <c r="L96" s="89">
        <v>1544.76</v>
      </c>
      <c r="M96" s="89">
        <v>1901.22</v>
      </c>
      <c r="N96" s="89">
        <v>2229.91</v>
      </c>
      <c r="O96" s="89">
        <v>1335.5</v>
      </c>
      <c r="P96" s="89">
        <v>1638.55</v>
      </c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 spans="1:26" ht="15.75" customHeight="1">
      <c r="A97" s="89">
        <v>95</v>
      </c>
      <c r="B97" s="89">
        <v>782.75</v>
      </c>
      <c r="C97" s="89">
        <v>816.75</v>
      </c>
      <c r="D97" s="89">
        <v>686.44</v>
      </c>
      <c r="E97" s="89">
        <v>1140.75</v>
      </c>
      <c r="F97" s="89">
        <v>2251.08</v>
      </c>
      <c r="G97" s="89">
        <v>1251.18</v>
      </c>
      <c r="H97" s="89">
        <v>1267.8900000000001</v>
      </c>
      <c r="I97" s="89">
        <v>1343.2</v>
      </c>
      <c r="J97" s="89">
        <v>956.75</v>
      </c>
      <c r="K97" s="89">
        <v>1735.12</v>
      </c>
      <c r="L97" s="89">
        <v>1545.31</v>
      </c>
      <c r="M97" s="89">
        <v>1901.59</v>
      </c>
      <c r="N97" s="89">
        <v>2230.25</v>
      </c>
      <c r="O97" s="89">
        <v>1335.75</v>
      </c>
      <c r="P97" s="89">
        <v>1640.84</v>
      </c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6" ht="15.75" customHeight="1">
      <c r="A98" s="89">
        <v>96</v>
      </c>
      <c r="B98" s="89">
        <v>783</v>
      </c>
      <c r="C98" s="89">
        <v>817</v>
      </c>
      <c r="D98" s="89">
        <v>690.84</v>
      </c>
      <c r="E98" s="89">
        <v>1141</v>
      </c>
      <c r="F98" s="89">
        <v>2307.94</v>
      </c>
      <c r="G98" s="89">
        <v>1257.07</v>
      </c>
      <c r="H98" s="89">
        <v>1268.21</v>
      </c>
      <c r="I98" s="89">
        <v>1343.5</v>
      </c>
      <c r="J98" s="89">
        <v>965.15</v>
      </c>
      <c r="K98" s="89">
        <v>1735.42</v>
      </c>
      <c r="L98" s="89">
        <v>1545.65</v>
      </c>
      <c r="M98" s="89">
        <v>1901.91</v>
      </c>
      <c r="N98" s="89">
        <v>2230.54</v>
      </c>
      <c r="O98" s="89">
        <v>1336</v>
      </c>
      <c r="P98" s="89">
        <v>1686.58</v>
      </c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 spans="1:26" ht="15.75" customHeight="1">
      <c r="A99" s="89">
        <v>97</v>
      </c>
      <c r="B99" s="89">
        <v>783.25</v>
      </c>
      <c r="C99" s="89">
        <v>817.25</v>
      </c>
      <c r="D99" s="89">
        <v>691.34</v>
      </c>
      <c r="E99" s="89">
        <v>1141.25</v>
      </c>
      <c r="F99" s="89">
        <v>2313.63</v>
      </c>
      <c r="G99" s="89">
        <v>1291.01</v>
      </c>
      <c r="H99" s="89">
        <v>1268.54</v>
      </c>
      <c r="I99" s="89">
        <v>1343.79</v>
      </c>
      <c r="J99" s="89">
        <v>966</v>
      </c>
      <c r="K99" s="89">
        <v>1735.7</v>
      </c>
      <c r="L99" s="89">
        <v>1545.98</v>
      </c>
      <c r="M99" s="89">
        <v>1902.2</v>
      </c>
      <c r="N99" s="89">
        <v>2230.89</v>
      </c>
      <c r="O99" s="89">
        <v>1336.25</v>
      </c>
      <c r="P99" s="89">
        <v>1692.01</v>
      </c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 spans="1:26" ht="15.75" customHeight="1">
      <c r="A100" s="89">
        <v>98</v>
      </c>
      <c r="B100" s="89">
        <v>783.5</v>
      </c>
      <c r="C100" s="89">
        <v>817.5</v>
      </c>
      <c r="D100" s="89">
        <v>691.63</v>
      </c>
      <c r="E100" s="89">
        <v>1141.5</v>
      </c>
      <c r="F100" s="89">
        <v>2314.1999999999998</v>
      </c>
      <c r="G100" s="89">
        <v>1294.4100000000001</v>
      </c>
      <c r="H100" s="89">
        <v>1268.8699999999999</v>
      </c>
      <c r="I100" s="89">
        <v>1344.06</v>
      </c>
      <c r="J100" s="89">
        <v>966.41</v>
      </c>
      <c r="K100" s="89">
        <v>1735.99</v>
      </c>
      <c r="L100" s="89">
        <v>1546.33</v>
      </c>
      <c r="M100" s="89">
        <v>1902.79</v>
      </c>
      <c r="N100" s="89">
        <v>2237.63</v>
      </c>
      <c r="O100" s="89">
        <v>1336.5</v>
      </c>
      <c r="P100" s="89">
        <v>1695.77</v>
      </c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 spans="1:26" ht="15.75" customHeight="1">
      <c r="A101" s="89">
        <v>99</v>
      </c>
      <c r="B101" s="89">
        <v>783.75</v>
      </c>
      <c r="C101" s="89">
        <v>817.75</v>
      </c>
      <c r="D101" s="89">
        <v>696.07</v>
      </c>
      <c r="E101" s="89">
        <v>1141.75</v>
      </c>
      <c r="F101" s="89">
        <v>2316.1</v>
      </c>
      <c r="G101" s="89">
        <v>1296.57</v>
      </c>
      <c r="H101" s="89">
        <v>1269.93</v>
      </c>
      <c r="I101" s="89">
        <v>1344.35</v>
      </c>
      <c r="J101" s="89">
        <v>974.47</v>
      </c>
      <c r="K101" s="89">
        <v>1736.33</v>
      </c>
      <c r="L101" s="89">
        <v>1549.52</v>
      </c>
      <c r="M101" s="89">
        <v>1914.45</v>
      </c>
      <c r="N101" s="89">
        <v>2238.31</v>
      </c>
      <c r="O101" s="89">
        <v>1336.75</v>
      </c>
      <c r="P101" s="89">
        <v>1719.96</v>
      </c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6" ht="15.75" customHeight="1">
      <c r="A102" s="89">
        <v>100</v>
      </c>
      <c r="B102" s="89">
        <v>784</v>
      </c>
      <c r="C102" s="89">
        <v>818</v>
      </c>
      <c r="D102" s="89">
        <v>758</v>
      </c>
      <c r="E102" s="89">
        <v>1142</v>
      </c>
      <c r="F102" s="89">
        <v>2353</v>
      </c>
      <c r="G102" s="89">
        <v>1338</v>
      </c>
      <c r="H102" s="89">
        <v>1279</v>
      </c>
      <c r="I102" s="89">
        <v>1348</v>
      </c>
      <c r="J102" s="89">
        <v>1127</v>
      </c>
      <c r="K102" s="89">
        <v>1742</v>
      </c>
      <c r="L102" s="89">
        <v>1588</v>
      </c>
      <c r="M102" s="89">
        <v>2103</v>
      </c>
      <c r="N102" s="89">
        <v>2248</v>
      </c>
      <c r="O102" s="89">
        <v>1337</v>
      </c>
      <c r="P102" s="89">
        <v>1735</v>
      </c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 spans="1:26" ht="15.75" customHeight="1">
      <c r="A103" s="89">
        <v>10000</v>
      </c>
      <c r="B103" s="89">
        <v>7.84</v>
      </c>
      <c r="C103" s="89">
        <v>8.18</v>
      </c>
      <c r="D103" s="89">
        <v>7.58</v>
      </c>
      <c r="E103" s="89">
        <v>11.42</v>
      </c>
      <c r="F103" s="89">
        <v>23.53</v>
      </c>
      <c r="G103" s="89">
        <v>13.38</v>
      </c>
      <c r="H103" s="89">
        <v>12.79</v>
      </c>
      <c r="I103" s="89">
        <v>13.48</v>
      </c>
      <c r="J103" s="89">
        <v>11.27</v>
      </c>
      <c r="K103" s="89">
        <v>17.420000000000002</v>
      </c>
      <c r="L103" s="89">
        <v>15.88</v>
      </c>
      <c r="M103" s="89">
        <v>21.03</v>
      </c>
      <c r="N103" s="89">
        <v>22.48</v>
      </c>
      <c r="O103" s="89">
        <v>13.37</v>
      </c>
      <c r="P103" s="89">
        <v>17.350000000000001</v>
      </c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spans="1:26" ht="15.75" customHeight="1">
      <c r="A104" s="89" t="s">
        <v>47</v>
      </c>
      <c r="B104" s="89">
        <v>7.21</v>
      </c>
      <c r="C104" s="89">
        <v>7.53</v>
      </c>
      <c r="D104" s="89">
        <v>7.05</v>
      </c>
      <c r="E104" s="89">
        <v>10.62</v>
      </c>
      <c r="F104" s="89">
        <v>21.65</v>
      </c>
      <c r="G104" s="89">
        <v>12.44</v>
      </c>
      <c r="H104" s="89">
        <v>11.89</v>
      </c>
      <c r="I104" s="89">
        <v>12.4</v>
      </c>
      <c r="J104" s="89">
        <v>10.48</v>
      </c>
      <c r="K104" s="89">
        <v>16.55</v>
      </c>
      <c r="L104" s="89">
        <v>14.77</v>
      </c>
      <c r="M104" s="89">
        <v>19.350000000000001</v>
      </c>
      <c r="N104" s="89">
        <v>20.68</v>
      </c>
      <c r="O104" s="89">
        <v>12.43</v>
      </c>
      <c r="P104" s="89">
        <v>15.96</v>
      </c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spans="1:26" ht="15.75" customHeight="1">
      <c r="A105" s="89" t="s">
        <v>48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spans="1:26" ht="15.75" customHeight="1">
      <c r="A106" s="89" t="s">
        <v>49</v>
      </c>
      <c r="B106" s="89" t="s">
        <v>50</v>
      </c>
      <c r="C106" s="89" t="s">
        <v>51</v>
      </c>
      <c r="D106" s="89" t="s">
        <v>52</v>
      </c>
      <c r="E106" s="89" t="s">
        <v>53</v>
      </c>
      <c r="F106" s="89" t="s">
        <v>54</v>
      </c>
      <c r="G106" s="89" t="s">
        <v>55</v>
      </c>
      <c r="H106" s="89" t="s">
        <v>56</v>
      </c>
      <c r="I106" s="89" t="s">
        <v>57</v>
      </c>
      <c r="J106" s="89" t="s">
        <v>58</v>
      </c>
      <c r="K106" s="89" t="s">
        <v>59</v>
      </c>
      <c r="L106" s="89" t="s">
        <v>60</v>
      </c>
      <c r="M106" s="89" t="s">
        <v>61</v>
      </c>
      <c r="N106" s="89" t="s">
        <v>62</v>
      </c>
      <c r="O106" s="89" t="s">
        <v>63</v>
      </c>
      <c r="P106" s="89" t="s">
        <v>64</v>
      </c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spans="1:26" ht="15.75" customHeight="1">
      <c r="A107" s="89">
        <v>1</v>
      </c>
      <c r="B107" s="92">
        <v>0.85</v>
      </c>
      <c r="C107" s="92">
        <v>0.85</v>
      </c>
      <c r="D107" s="92">
        <v>0.85799999999999998</v>
      </c>
      <c r="E107" s="92">
        <v>0.86699999999999999</v>
      </c>
      <c r="F107" s="92">
        <v>0.85799999999999998</v>
      </c>
      <c r="G107" s="92">
        <v>0.85799999999999998</v>
      </c>
      <c r="H107" s="92">
        <v>0.85799999999999998</v>
      </c>
      <c r="I107" s="92">
        <v>0.85799999999999998</v>
      </c>
      <c r="J107" s="92">
        <v>0.85799999999999998</v>
      </c>
      <c r="K107" s="92">
        <v>0.86399999999999999</v>
      </c>
      <c r="L107" s="92">
        <v>0.85799999999999998</v>
      </c>
      <c r="M107" s="92">
        <v>0.85799999999999998</v>
      </c>
      <c r="N107" s="92">
        <v>0.85799999999999998</v>
      </c>
      <c r="O107" s="92">
        <v>0.85799999999999998</v>
      </c>
      <c r="P107" s="92">
        <v>0.85799999999999998</v>
      </c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spans="1:26" ht="15.75" customHeight="1">
      <c r="A108" s="89">
        <v>2</v>
      </c>
      <c r="B108" s="92">
        <v>0.85499999999999998</v>
      </c>
      <c r="C108" s="92">
        <v>0.85499999999999998</v>
      </c>
      <c r="D108" s="92">
        <v>0.85799999999999998</v>
      </c>
      <c r="E108" s="92">
        <v>0.88500000000000001</v>
      </c>
      <c r="F108" s="92">
        <v>0.85799999999999998</v>
      </c>
      <c r="G108" s="92">
        <v>0.85799999999999998</v>
      </c>
      <c r="H108" s="92">
        <v>0.85799999999999998</v>
      </c>
      <c r="I108" s="92">
        <v>0.85799999999999998</v>
      </c>
      <c r="J108" s="92">
        <v>0.85799999999999998</v>
      </c>
      <c r="K108" s="92">
        <v>0.88</v>
      </c>
      <c r="L108" s="92">
        <v>0.85799999999999998</v>
      </c>
      <c r="M108" s="92">
        <v>0.85799999999999998</v>
      </c>
      <c r="N108" s="92">
        <v>0.85799999999999998</v>
      </c>
      <c r="O108" s="92">
        <v>0.85799999999999998</v>
      </c>
      <c r="P108" s="92">
        <v>0.85799999999999998</v>
      </c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1:26" ht="15.75" customHeight="1">
      <c r="A109" s="89">
        <v>3</v>
      </c>
      <c r="B109" s="92">
        <v>0.85750000000000004</v>
      </c>
      <c r="C109" s="92">
        <v>0.85750000000000004</v>
      </c>
      <c r="D109" s="92">
        <v>0.85799999999999998</v>
      </c>
      <c r="E109" s="92">
        <v>0.88500000000000001</v>
      </c>
      <c r="F109" s="92">
        <v>0.85799999999999998</v>
      </c>
      <c r="G109" s="92">
        <v>0.85799999999999998</v>
      </c>
      <c r="H109" s="92">
        <v>0.85799999999999998</v>
      </c>
      <c r="I109" s="92">
        <v>0.85799999999999998</v>
      </c>
      <c r="J109" s="92">
        <v>0.85799999999999998</v>
      </c>
      <c r="K109" s="92">
        <v>0.88</v>
      </c>
      <c r="L109" s="92">
        <v>0.85799999999999998</v>
      </c>
      <c r="M109" s="92">
        <v>0.85799999999999998</v>
      </c>
      <c r="N109" s="92">
        <v>0.85799999999999998</v>
      </c>
      <c r="O109" s="92">
        <v>0.85799999999999998</v>
      </c>
      <c r="P109" s="92">
        <v>0.85799999999999998</v>
      </c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 spans="1:26" ht="15.75" customHeight="1">
      <c r="A110" s="89">
        <v>4</v>
      </c>
      <c r="B110" s="92">
        <v>0.85750000000000004</v>
      </c>
      <c r="C110" s="92">
        <v>0.85750000000000004</v>
      </c>
      <c r="D110" s="92">
        <v>0.85799999999999998</v>
      </c>
      <c r="E110" s="92">
        <v>0.88500000000000001</v>
      </c>
      <c r="F110" s="92">
        <v>0.85799999999999998</v>
      </c>
      <c r="G110" s="92">
        <v>0.85799999999999998</v>
      </c>
      <c r="H110" s="92">
        <v>0.85799999999999998</v>
      </c>
      <c r="I110" s="92">
        <v>0.85799999999999998</v>
      </c>
      <c r="J110" s="92">
        <v>0.85799999999999998</v>
      </c>
      <c r="K110" s="92">
        <v>0.88</v>
      </c>
      <c r="L110" s="92">
        <v>0.85799999999999998</v>
      </c>
      <c r="M110" s="92">
        <v>0.85799999999999998</v>
      </c>
      <c r="N110" s="92">
        <v>0.85799999999999998</v>
      </c>
      <c r="O110" s="92">
        <v>0.85799999999999998</v>
      </c>
      <c r="P110" s="92">
        <v>0.85799999999999998</v>
      </c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 spans="1:26" ht="15.75" customHeight="1">
      <c r="A111" s="89">
        <v>5</v>
      </c>
      <c r="B111" s="92">
        <v>0.86</v>
      </c>
      <c r="C111" s="92">
        <v>0.86</v>
      </c>
      <c r="D111" s="92">
        <v>0.85799999999999998</v>
      </c>
      <c r="E111" s="92">
        <v>0.88500000000000001</v>
      </c>
      <c r="F111" s="92">
        <v>0.85799999999999998</v>
      </c>
      <c r="G111" s="92">
        <v>0.85799999999999998</v>
      </c>
      <c r="H111" s="92">
        <v>0.85799999999999998</v>
      </c>
      <c r="I111" s="92">
        <v>0.85799999999999998</v>
      </c>
      <c r="J111" s="92">
        <v>0.85799999999999998</v>
      </c>
      <c r="K111" s="92">
        <v>0.88249999999999995</v>
      </c>
      <c r="L111" s="92">
        <v>0.85799999999999998</v>
      </c>
      <c r="M111" s="92">
        <v>0.85799999999999998</v>
      </c>
      <c r="N111" s="92">
        <v>0.85799999999999998</v>
      </c>
      <c r="O111" s="92">
        <v>0.85799999999999998</v>
      </c>
      <c r="P111" s="92">
        <v>0.85799999999999998</v>
      </c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ht="15.75" customHeight="1">
      <c r="A112" s="89">
        <v>6</v>
      </c>
      <c r="B112" s="92">
        <v>0.86399999999999999</v>
      </c>
      <c r="C112" s="92">
        <v>0.86399999999999999</v>
      </c>
      <c r="D112" s="92">
        <v>0.85799999999999998</v>
      </c>
      <c r="E112" s="92">
        <v>0.89200000000000002</v>
      </c>
      <c r="F112" s="92">
        <v>0.85799999999999998</v>
      </c>
      <c r="G112" s="92">
        <v>0.85799999999999998</v>
      </c>
      <c r="H112" s="92">
        <v>0.85799999999999998</v>
      </c>
      <c r="I112" s="92">
        <v>0.85799999999999998</v>
      </c>
      <c r="J112" s="92">
        <v>0.85799999999999998</v>
      </c>
      <c r="K112" s="92">
        <v>0.89500000000000002</v>
      </c>
      <c r="L112" s="92">
        <v>0.85799999999999998</v>
      </c>
      <c r="M112" s="92">
        <v>0.85799999999999998</v>
      </c>
      <c r="N112" s="92">
        <v>0.85799999999999998</v>
      </c>
      <c r="O112" s="92">
        <v>0.85799999999999998</v>
      </c>
      <c r="P112" s="92">
        <v>0.85799999999999998</v>
      </c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ht="15.75" customHeight="1">
      <c r="A113" s="89">
        <v>7</v>
      </c>
      <c r="B113" s="92">
        <v>0.86399999999999999</v>
      </c>
      <c r="C113" s="92">
        <v>0.86399999999999999</v>
      </c>
      <c r="D113" s="92">
        <v>0.85799999999999998</v>
      </c>
      <c r="E113" s="92">
        <v>0.89200000000000002</v>
      </c>
      <c r="F113" s="92">
        <v>0.85799999999999998</v>
      </c>
      <c r="G113" s="92">
        <v>0.85799999999999998</v>
      </c>
      <c r="H113" s="92">
        <v>0.85799999999999998</v>
      </c>
      <c r="I113" s="92">
        <v>0.85799999999999998</v>
      </c>
      <c r="J113" s="92">
        <v>0.85799999999999998</v>
      </c>
      <c r="K113" s="92">
        <v>0.89500000000000002</v>
      </c>
      <c r="L113" s="92">
        <v>0.85799999999999998</v>
      </c>
      <c r="M113" s="92">
        <v>0.85799999999999998</v>
      </c>
      <c r="N113" s="92">
        <v>0.85799999999999998</v>
      </c>
      <c r="O113" s="92">
        <v>0.85799999999999998</v>
      </c>
      <c r="P113" s="92">
        <v>0.85799999999999998</v>
      </c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ht="15.75" customHeight="1">
      <c r="A114" s="89">
        <v>8</v>
      </c>
      <c r="B114" s="92">
        <v>0.86399999999999999</v>
      </c>
      <c r="C114" s="92">
        <v>0.86399999999999999</v>
      </c>
      <c r="D114" s="92">
        <v>0.85799999999999998</v>
      </c>
      <c r="E114" s="92">
        <v>0.89200000000000002</v>
      </c>
      <c r="F114" s="92">
        <v>0.85799999999999998</v>
      </c>
      <c r="G114" s="92">
        <v>0.85799999999999998</v>
      </c>
      <c r="H114" s="92">
        <v>0.85799999999999998</v>
      </c>
      <c r="I114" s="92">
        <v>0.85799999999999998</v>
      </c>
      <c r="J114" s="92">
        <v>0.85799999999999998</v>
      </c>
      <c r="K114" s="92">
        <v>0.9</v>
      </c>
      <c r="L114" s="92">
        <v>0.85799999999999998</v>
      </c>
      <c r="M114" s="92">
        <v>0.85799999999999998</v>
      </c>
      <c r="N114" s="92">
        <v>0.85799999999999998</v>
      </c>
      <c r="O114" s="92">
        <v>0.85799999999999998</v>
      </c>
      <c r="P114" s="92">
        <v>0.85799999999999998</v>
      </c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ht="15.75" customHeight="1">
      <c r="A115" s="89">
        <v>9</v>
      </c>
      <c r="B115" s="92">
        <v>0.86399999999999999</v>
      </c>
      <c r="C115" s="92">
        <v>0.86399999999999999</v>
      </c>
      <c r="D115" s="92">
        <v>0.85799999999999998</v>
      </c>
      <c r="E115" s="92">
        <v>0.89200000000000002</v>
      </c>
      <c r="F115" s="92">
        <v>0.85799999999999998</v>
      </c>
      <c r="G115" s="92">
        <v>0.85799999999999998</v>
      </c>
      <c r="H115" s="92">
        <v>0.85799999999999998</v>
      </c>
      <c r="I115" s="92">
        <v>0.85799999999999998</v>
      </c>
      <c r="J115" s="92">
        <v>0.85799999999999998</v>
      </c>
      <c r="K115" s="92">
        <v>0.9</v>
      </c>
      <c r="L115" s="92">
        <v>0.85799999999999998</v>
      </c>
      <c r="M115" s="92">
        <v>0.85799999999999998</v>
      </c>
      <c r="N115" s="92">
        <v>0.85799999999999998</v>
      </c>
      <c r="O115" s="92">
        <v>0.85799999999999998</v>
      </c>
      <c r="P115" s="92">
        <v>0.85799999999999998</v>
      </c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ht="15.75" customHeight="1">
      <c r="A116" s="89">
        <v>10</v>
      </c>
      <c r="B116" s="92">
        <v>0.86399999999999999</v>
      </c>
      <c r="C116" s="92">
        <v>0.86399999999999999</v>
      </c>
      <c r="D116" s="92">
        <v>0.85799999999999998</v>
      </c>
      <c r="E116" s="92">
        <v>0.89200000000000002</v>
      </c>
      <c r="F116" s="92">
        <v>0.85799999999999998</v>
      </c>
      <c r="G116" s="92">
        <v>0.85799999999999998</v>
      </c>
      <c r="H116" s="92">
        <v>0.85799999999999998</v>
      </c>
      <c r="I116" s="92">
        <v>0.85799999999999998</v>
      </c>
      <c r="J116" s="92">
        <v>0.85799999999999998</v>
      </c>
      <c r="K116" s="92">
        <v>0.9</v>
      </c>
      <c r="L116" s="92">
        <v>0.85799999999999998</v>
      </c>
      <c r="M116" s="92">
        <v>0.85799999999999998</v>
      </c>
      <c r="N116" s="92">
        <v>0.85799999999999998</v>
      </c>
      <c r="O116" s="92">
        <v>0.85799999999999998</v>
      </c>
      <c r="P116" s="92">
        <v>0.85799999999999998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ht="15.75" customHeight="1">
      <c r="A117" s="89">
        <v>11</v>
      </c>
      <c r="B117" s="92">
        <v>0.84750000000000003</v>
      </c>
      <c r="C117" s="92">
        <v>0.84750000000000003</v>
      </c>
      <c r="D117" s="92">
        <v>0.85</v>
      </c>
      <c r="E117" s="92">
        <v>0.85750000000000004</v>
      </c>
      <c r="F117" s="92">
        <v>0.85</v>
      </c>
      <c r="G117" s="92">
        <v>0.85</v>
      </c>
      <c r="H117" s="92">
        <v>0.85</v>
      </c>
      <c r="I117" s="92">
        <v>0.85</v>
      </c>
      <c r="J117" s="92">
        <v>0.85</v>
      </c>
      <c r="K117" s="92">
        <v>0.85750000000000004</v>
      </c>
      <c r="L117" s="92">
        <v>0.85</v>
      </c>
      <c r="M117" s="92">
        <v>0.85</v>
      </c>
      <c r="N117" s="92">
        <v>0.85</v>
      </c>
      <c r="O117" s="92">
        <v>0.85</v>
      </c>
      <c r="P117" s="92">
        <v>0.85</v>
      </c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ht="15.7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ht="15.75" customHeight="1">
      <c r="A119" s="89" t="s">
        <v>65</v>
      </c>
      <c r="B119" s="60">
        <v>83.89</v>
      </c>
      <c r="C119" s="60">
        <v>90.11999999999999</v>
      </c>
      <c r="D119" s="60">
        <v>75.289999999999992</v>
      </c>
      <c r="E119" s="60">
        <v>99.38</v>
      </c>
      <c r="F119" s="60">
        <v>100.06</v>
      </c>
      <c r="G119" s="60">
        <v>97.71</v>
      </c>
      <c r="H119" s="60">
        <v>91.210000000000008</v>
      </c>
      <c r="I119" s="60">
        <v>96.83</v>
      </c>
      <c r="J119" s="60">
        <v>77.180000000000007</v>
      </c>
      <c r="K119" s="60">
        <v>113.75</v>
      </c>
      <c r="L119" s="60">
        <v>100.39</v>
      </c>
      <c r="M119" s="60">
        <v>138.56</v>
      </c>
      <c r="N119" s="60">
        <v>97.56</v>
      </c>
      <c r="O119" s="60">
        <v>104.22</v>
      </c>
      <c r="P119" s="60">
        <v>105.42999999999999</v>
      </c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ht="15.75" customHeight="1">
      <c r="A120" s="89" t="s">
        <v>66</v>
      </c>
      <c r="B120" s="89">
        <f t="shared" ref="B120:P120" si="0">B3-B119</f>
        <v>24.230000000000004</v>
      </c>
      <c r="C120" s="89">
        <f t="shared" si="0"/>
        <v>26.050000000000011</v>
      </c>
      <c r="D120" s="89">
        <f t="shared" si="0"/>
        <v>21.510000000000005</v>
      </c>
      <c r="E120" s="89">
        <f t="shared" si="0"/>
        <v>26.980000000000004</v>
      </c>
      <c r="F120" s="89">
        <f t="shared" si="0"/>
        <v>27.14</v>
      </c>
      <c r="G120" s="89">
        <f t="shared" si="0"/>
        <v>27.830000000000013</v>
      </c>
      <c r="H120" s="89">
        <f t="shared" si="0"/>
        <v>25.97999999999999</v>
      </c>
      <c r="I120" s="89">
        <f t="shared" si="0"/>
        <v>26.03</v>
      </c>
      <c r="J120" s="89">
        <f t="shared" si="0"/>
        <v>21.97</v>
      </c>
      <c r="K120" s="89">
        <f t="shared" si="0"/>
        <v>31.389999999999986</v>
      </c>
      <c r="L120" s="89">
        <f t="shared" si="0"/>
        <v>28.600000000000009</v>
      </c>
      <c r="M120" s="89">
        <f t="shared" si="0"/>
        <v>38.06</v>
      </c>
      <c r="N120" s="89">
        <f t="shared" si="0"/>
        <v>26.22</v>
      </c>
      <c r="O120" s="89">
        <f t="shared" si="0"/>
        <v>29.689999999999998</v>
      </c>
      <c r="P120" s="89">
        <f t="shared" si="0"/>
        <v>28.970000000000013</v>
      </c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ht="15.7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ht="15.7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ht="15.7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ht="15.7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ht="15.7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ht="15.7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15.7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ht="15.7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ht="15.7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15.7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ht="15.7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ht="15.7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15.7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15.7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ht="15.7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ht="15.7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15.7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ht="15.7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ht="15.7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15.7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ht="15.7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ht="15.7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15.7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ht="15.7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ht="15.7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15.7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ht="15.7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ht="15.7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ht="15.7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ht="15.7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15.7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spans="1:26" ht="15.7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26" ht="15.7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spans="1:26" ht="15.7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15.7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spans="1:26" ht="15.7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spans="1:26" ht="15.7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spans="1:26" ht="15.7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spans="1:26" ht="15.7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spans="1:26" ht="15.7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spans="1:26" ht="15.7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spans="1:26" ht="15.7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spans="1:26" ht="15.7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spans="1:26" ht="15.7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spans="1:26" ht="15.7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spans="1:26" ht="15.7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15.7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spans="1:26" ht="15.7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spans="1:26" ht="15.7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15.7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spans="1:26" ht="15.7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spans="1:26" ht="15.7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spans="1:26" ht="15.7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spans="1:26" ht="15.7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spans="1:26" ht="15.7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spans="1:26" ht="15.7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spans="1:26" ht="15.7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spans="1:26" ht="15.7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spans="1:26" ht="15.7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spans="1:26" ht="15.7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spans="1:26" ht="15.7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spans="1:26" ht="15.7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spans="1:26" ht="15.7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spans="1:26" ht="15.7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spans="1:26" ht="15.7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spans="1:26" ht="15.7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spans="1:26" ht="15.7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spans="1:26" ht="15.7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spans="1:26" ht="15.7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spans="1:26" ht="15.7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spans="1:26" ht="15.7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spans="1:26" ht="15.7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spans="1:26" ht="15.7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spans="1:26" ht="15.7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spans="1:26" ht="15.7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spans="1:26" ht="15.7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spans="1:26" ht="15.7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spans="1:26" ht="15.7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spans="1:26" ht="15.7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spans="1:26" ht="15.7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spans="1:26" ht="15.7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spans="1:26" ht="15.7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spans="1:26" ht="15.7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spans="1:26" ht="15.7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spans="1:26" ht="15.7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spans="1:26" ht="15.7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spans="1:26" ht="15.7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spans="1:26" ht="15.7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spans="1:26" ht="15.7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spans="1:26" ht="15.7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spans="1:26" ht="15.7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spans="1:26" ht="15.7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spans="1:26" ht="15.7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spans="1:26" ht="15.7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spans="1:26" ht="15.7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spans="1:26" ht="15.7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spans="1:26" ht="15.7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spans="1:26" ht="15.7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spans="1:26" ht="15.7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spans="1:26" ht="15.7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spans="1:26" ht="15.7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spans="1:26" ht="15.7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spans="1:26" ht="15.7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spans="1:26" ht="15.7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spans="1:26" ht="15.7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spans="1:26" ht="15.7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spans="1:26" ht="15.7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spans="1:26" ht="15.7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spans="1:26" ht="15.7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spans="1:26" ht="15.7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spans="1:26" ht="15.7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spans="1:26" ht="15.7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spans="1:26" ht="15.7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spans="1:26" ht="15.7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spans="1:26" ht="15.7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spans="1:26" ht="15.7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spans="1:26" ht="15.7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spans="1:26" ht="15.7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spans="1:26" ht="15.7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spans="1:26" ht="15.7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spans="1:26" ht="15.7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spans="1:26" ht="15.7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spans="1:26" ht="15.7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spans="1:26" ht="15.7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spans="1:26" ht="15.7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spans="1:26" ht="15.7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spans="1:26" ht="15.7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spans="1:26" ht="15.7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spans="1:26" ht="15.7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spans="1:26" ht="15.7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spans="1:26" ht="15.7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spans="1:26" ht="15.7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spans="1:26" ht="15.7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spans="1:26" ht="15.7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spans="1:26" ht="15.7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spans="1:26" ht="15.7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spans="1:26" ht="15.7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spans="1:26" ht="15.7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spans="1:26" ht="15.7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spans="1:26" ht="15.7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spans="1:26" ht="15.7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spans="1:26" ht="15.7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spans="1:26" ht="15.7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spans="1:26" ht="15.7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spans="1:26" ht="15.7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spans="1:26" ht="15.7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spans="1:26" ht="15.7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spans="1:26" ht="15.7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spans="1:26" ht="15.7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spans="1:26" ht="15.7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spans="1:26" ht="15.7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spans="1:26" ht="15.7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spans="1:26" ht="15.7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spans="1:26" ht="15.7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spans="1:26" ht="15.7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spans="1:26" ht="15.7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spans="1:26" ht="15.7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spans="1:26" ht="15.7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spans="1:26" ht="15.7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spans="1:26" ht="15.7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spans="1:26" ht="15.7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spans="1:26" ht="15.7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spans="1:26" ht="15.7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spans="1:26" ht="15.7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spans="1:26" ht="15.7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spans="1:26" ht="15.7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spans="1:26" ht="15.7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spans="1:26" ht="15.7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spans="1:26" ht="15.7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spans="1:26" ht="15.7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spans="1:26" ht="15.7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spans="1:26" ht="15.7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spans="1:26" ht="15.7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spans="1:26" ht="15.7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spans="1:26" ht="15.7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spans="1:26" ht="15.7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spans="1:26" ht="15.7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spans="1:26" ht="15.7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spans="1:26" ht="15.7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spans="1:26" ht="15.7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spans="1:26" ht="15.7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spans="1:26" ht="15.7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spans="1:26" ht="15.7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spans="1:26" ht="15.7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spans="1:26" ht="15.7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spans="1:26" ht="15.7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spans="1:26" ht="15.7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spans="1:26" ht="15.7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spans="1:26" ht="15.7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spans="1:26" ht="15.7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spans="1:26" ht="15.7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spans="1:26" ht="15.7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spans="1:26" ht="15.7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spans="1:26" ht="15.7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spans="1:26" ht="15.7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spans="1:26" ht="15.7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spans="1:26" ht="15.7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spans="1:26" ht="15.7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spans="1:26" ht="15.7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spans="1:26" ht="15.7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spans="1:26" ht="15.7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spans="1:26" ht="15.7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spans="1:26" ht="15.7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spans="1:26" ht="15.7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spans="1:26" ht="15.7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spans="1:26" ht="15.7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spans="1:26" ht="15.7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spans="1:26" ht="15.7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spans="1:26" ht="15.7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spans="1:26" ht="15.7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spans="1:26" ht="15.7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spans="1:26" ht="15.7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spans="1:26" ht="15.7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spans="1:26" ht="15.7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spans="1:26" ht="15.7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spans="1:26" ht="15.7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spans="1:26" ht="15.7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spans="1:26" ht="15.7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spans="1:26" ht="15.7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spans="1:26" ht="15.7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spans="1:26" ht="15.7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spans="1:26" ht="15.7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spans="1:26" ht="15.7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spans="1:26" ht="15.7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spans="1:26" ht="15.7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spans="1:26" ht="15.7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spans="1:26" ht="15.7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spans="1:26" ht="15.7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spans="1:26" ht="15.7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spans="1:26" ht="15.7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spans="1:26" ht="15.7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spans="1:26" ht="15.7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spans="1:26" ht="15.7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spans="1:26" ht="15.7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spans="1:26" ht="15.7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spans="1:26" ht="15.7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spans="1:26" ht="15.7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spans="1:26" ht="15.7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spans="1:26" ht="15.7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spans="1:26" ht="15.7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spans="1:26" ht="15.7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spans="1:26" ht="15.7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spans="1:26" ht="15.7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spans="1:26" ht="15.7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spans="1:26" ht="15.7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spans="1:26" ht="15.7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spans="1:26" ht="15.7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spans="1:26" ht="15.7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spans="1:26" ht="15.7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spans="1:26" ht="15.7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spans="1:26" ht="15.7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spans="1:26" ht="15.7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spans="1:26" ht="15.7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spans="1:26" ht="15.7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spans="1:26" ht="15.7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spans="1:26" ht="15.7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spans="1:26" ht="15.7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spans="1:26" ht="15.7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spans="1:26" ht="15.7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spans="1:26" ht="15.7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spans="1:26" ht="15.7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spans="1:26" ht="15.7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spans="1:26" ht="15.7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spans="1:26" ht="15.7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spans="1:26" ht="15.7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spans="1:26" ht="15.7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spans="1:26" ht="15.7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spans="1:26" ht="15.7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spans="1:26" ht="15.7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spans="1:26" ht="15.7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spans="1:26" ht="15.7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spans="1:26" ht="15.7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 ht="15.7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 ht="15.7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 ht="15.7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 ht="15.7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 ht="15.7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 ht="15.7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 ht="15.7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spans="1:26" ht="15.7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spans="1:26" ht="15.7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spans="1:26" ht="15.7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spans="1:26" ht="15.7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spans="1:26" ht="15.7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spans="1:26" ht="15.7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spans="1:26" ht="15.7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spans="1:26" ht="15.7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spans="1:26" ht="15.7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spans="1:26" ht="15.7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spans="1:26" ht="15.7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spans="1:26" ht="15.7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spans="1:26" ht="15.7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spans="1:26" ht="15.7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spans="1:26" ht="15.7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spans="1:26" ht="15.7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spans="1:26" ht="15.7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spans="1:26" ht="15.7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spans="1:26" ht="15.7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spans="1:26" ht="15.7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15.7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spans="1:26" ht="15.7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spans="1:26" ht="15.7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spans="1:26" ht="15.7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spans="1:26" ht="15.7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spans="1:26" ht="15.7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spans="1:26" ht="15.7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spans="1:26" ht="15.7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spans="1:26" ht="15.7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spans="1:26" ht="15.7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spans="1:26" ht="15.7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spans="1:26" ht="15.7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spans="1:26" ht="15.7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spans="1:26" ht="15.7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spans="1:26" ht="15.7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spans="1:26" ht="15.7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spans="1:26" ht="15.7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spans="1:26" ht="15.7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spans="1:26" ht="15.7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spans="1:26" ht="15.7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spans="1:26" ht="15.7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spans="1:26" ht="15.7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spans="1:26" ht="15.7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spans="1:26" ht="15.7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spans="1:26" ht="15.7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spans="1:26" ht="15.7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spans="1:26" ht="15.7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spans="1:26" ht="15.7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spans="1:26" ht="15.7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ht="15.7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ht="15.7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ht="15.7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ht="15.7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spans="1:26" ht="15.7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spans="1:26" ht="15.7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spans="1:26" ht="15.7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spans="1:26" ht="15.7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spans="1:26" ht="15.7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spans="1:26" ht="15.7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spans="1:26" ht="15.7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spans="1:26" ht="15.7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spans="1:26" ht="15.7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spans="1:26" ht="15.7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spans="1:26" ht="15.7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spans="1:26" ht="15.7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spans="1:26" ht="15.7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spans="1:26" ht="15.7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spans="1:26" ht="15.7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spans="1:26" ht="15.7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spans="1:26" ht="15.7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spans="1:26" ht="15.7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spans="1:26" ht="15.7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spans="1:26" ht="15.7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spans="1:26" ht="15.7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spans="1:26" ht="15.7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spans="1:26" ht="15.7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spans="1:26" ht="15.7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spans="1:26" ht="15.7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spans="1:26" ht="15.7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spans="1:26" ht="15.7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spans="1:26" ht="15.7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spans="1:26" ht="15.7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spans="1:26" ht="15.7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spans="1:26" ht="15.7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spans="1:26" ht="15.7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spans="1:26" ht="15.7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spans="1:26" ht="15.7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 ht="15.7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spans="1:26" ht="15.7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spans="1:26" ht="15.7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spans="1:26" ht="15.7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spans="1:26" ht="15.7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spans="1:26" ht="15.7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spans="1:26" ht="15.7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spans="1:26" ht="15.7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spans="1:26" ht="15.7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spans="1:26" ht="15.7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spans="1:26" ht="15.7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spans="1:26" ht="15.7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spans="1:26" ht="15.7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spans="1:26" ht="15.7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spans="1:26" ht="15.7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spans="1:26" ht="15.7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spans="1:26" ht="15.7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spans="1:26" ht="15.7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spans="1:26" ht="15.7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spans="1:26" ht="15.7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spans="1:26" ht="15.7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spans="1:26" ht="15.7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spans="1:26" ht="15.7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spans="1:26" ht="15.7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spans="1:26" ht="15.7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spans="1:26" ht="15.7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spans="1:26" ht="15.7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spans="1:26" ht="15.7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spans="1:26" ht="15.7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spans="1:26" ht="15.7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spans="1:26" ht="15.7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spans="1:26" ht="15.7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spans="1:26" ht="15.7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spans="1:26" ht="15.7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spans="1:26" ht="15.7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spans="1:26" ht="15.7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spans="1:26" ht="15.7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spans="1:26" ht="15.7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spans="1:26" ht="15.7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spans="1:26" ht="15.7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spans="1:26" ht="15.7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spans="1:26" ht="15.7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spans="1:26" ht="15.7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spans="1:26" ht="15.7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spans="1:26" ht="15.7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spans="1:26" ht="15.7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spans="1:26" ht="15.7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spans="1:26" ht="15.7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spans="1:26" ht="15.7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spans="1:26" ht="15.7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spans="1:26" ht="15.7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spans="1:26" ht="15.7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spans="1:26" ht="15.7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spans="1:26" ht="15.7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spans="1:26" ht="15.7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spans="1:26" ht="15.7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spans="1:26" ht="15.7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spans="1:26" ht="15.7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spans="1:26" ht="15.7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spans="1:26" ht="15.7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spans="1:26" ht="15.7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spans="1:26" ht="15.7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spans="1:26" ht="15.7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spans="1:26" ht="15.7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spans="1:26" ht="15.7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spans="1:26" ht="15.7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spans="1:26" ht="15.7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spans="1:26" ht="15.7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spans="1:26" ht="15.7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spans="1:26" ht="15.7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spans="1:26" ht="15.7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spans="1:26" ht="15.7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spans="1:26" ht="15.7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spans="1:26" ht="15.7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spans="1:26" ht="15.7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spans="1:26" ht="15.7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spans="1:26" ht="15.7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spans="1:26" ht="15.7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spans="1:26" ht="15.7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spans="1:26" ht="15.7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spans="1:26" ht="15.7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spans="1:26" ht="15.7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spans="1:26" ht="15.7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spans="1:26" ht="15.7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spans="1:26" ht="15.7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spans="1:26" ht="15.7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spans="1:26" ht="15.7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spans="1:26" ht="15.7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spans="1:26" ht="15.7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spans="1:26" ht="15.7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spans="1:26" ht="15.7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spans="1:26" ht="15.7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spans="1:26" ht="15.7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spans="1:26" ht="15.7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spans="1:26" ht="15.7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spans="1:26" ht="15.7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spans="1:26" ht="15.7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spans="1:26" ht="15.7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spans="1:26" ht="15.7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spans="1:26" ht="15.7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spans="1:26" ht="15.7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spans="1:26" ht="15.7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spans="1:26" ht="15.7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spans="1:26" ht="15.7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spans="1:26" ht="15.7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spans="1:26" ht="15.7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spans="1:26" ht="15.7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spans="1:26" ht="15.7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spans="1:26" ht="15.7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spans="1:26" ht="15.7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spans="1:26" ht="15.7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spans="1:26" ht="15.7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spans="1:26" ht="15.7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spans="1:26" ht="15.7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spans="1:26" ht="15.7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spans="1:26" ht="15.7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spans="1:26" ht="15.7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spans="1:26" ht="15.7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spans="1:26" ht="15.7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spans="1:26" ht="15.7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spans="1:26" ht="15.7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spans="1:26" ht="15.7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spans="1:26" ht="15.7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spans="1:26" ht="15.7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spans="1:26" ht="15.7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spans="1:26" ht="15.7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spans="1:26" ht="15.7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spans="1:26" ht="15.7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spans="1:26" ht="15.7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spans="1:26" ht="15.7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spans="1:26" ht="15.7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spans="1:26" ht="15.7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spans="1:26" ht="15.7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spans="1:26" ht="15.7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spans="1:26" ht="15.7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spans="1:26" ht="15.7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spans="1:26" ht="15.7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spans="1:26" ht="15.7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spans="1:26" ht="15.7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spans="1:26" ht="15.7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spans="1:26" ht="15.7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spans="1:26" ht="15.7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spans="1:26" ht="15.7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spans="1:26" ht="15.7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spans="1:26" ht="15.7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spans="1:26" ht="15.7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spans="1:26" ht="15.7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spans="1:26" ht="15.7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spans="1:26" ht="15.7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spans="1:26" ht="15.7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spans="1:26" ht="15.7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spans="1:26" ht="15.7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spans="1:26" ht="15.7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spans="1:26" ht="15.7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spans="1:26" ht="15.7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spans="1:26" ht="15.7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spans="1:26" ht="15.7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spans="1:26" ht="15.7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spans="1:26" ht="15.7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spans="1:26" ht="15.7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spans="1:26" ht="15.7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spans="1:26" ht="15.7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spans="1:26" ht="15.7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spans="1:26" ht="15.7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spans="1:26" ht="15.7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spans="1:26" ht="15.7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spans="1:26" ht="15.7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spans="1:26" ht="15.7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spans="1:26" ht="15.7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spans="1:26" ht="15.7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spans="1:26" ht="15.7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spans="1:26" ht="15.7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spans="1:26" ht="15.7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spans="1:26" ht="15.7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spans="1:26" ht="15.7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spans="1:26" ht="15.7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spans="1:26" ht="15.7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spans="1:26" ht="15.7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spans="1:26" ht="15.7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spans="1:26" ht="15.7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spans="1:26" ht="15.7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spans="1:26" ht="15.7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spans="1:26" ht="15.7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spans="1:26" ht="15.7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spans="1:26" ht="15.7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spans="1:26" ht="15.7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spans="1:26" ht="15.7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spans="1:26" ht="15.7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spans="1:26" ht="15.7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spans="1:26" ht="15.7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spans="1:26" ht="15.7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spans="1:26" ht="15.7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spans="1:26" ht="15.7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spans="1:26" ht="15.7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spans="1:26" ht="15.7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spans="1:26" ht="15.7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spans="1:26" ht="15.7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spans="1:26" ht="15.7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spans="1:26" ht="15.7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spans="1:26" ht="15.7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spans="1:26" ht="15.7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spans="1:26" ht="15.7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spans="1:26" ht="15.7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spans="1:26" ht="15.7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spans="1:26" ht="15.7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spans="1:26" ht="15.7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spans="1:26" ht="15.7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spans="1:26" ht="15.7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spans="1:26" ht="15.7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spans="1:26" ht="15.7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spans="1:26" ht="15.7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spans="1:26" ht="15.7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spans="1:26" ht="15.7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spans="1:26" ht="15.7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spans="1:26" ht="15.7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spans="1:26" ht="15.7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spans="1:26" ht="15.7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spans="1:26" ht="15.7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spans="1:26" ht="15.7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spans="1:26" ht="15.7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spans="1:26" ht="15.7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spans="1:26" ht="15.7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spans="1:26" ht="15.7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spans="1:26" ht="15.7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spans="1:26" ht="15.7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spans="1:26" ht="15.7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spans="1:26" ht="15.7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spans="1:26" ht="15.7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spans="1:26" ht="15.7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spans="1:26" ht="15.7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spans="1:26" ht="15.7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spans="1:26" ht="15.7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spans="1:26" ht="15.7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spans="1:26" ht="15.7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spans="1:26" ht="15.7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spans="1:26" ht="15.7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spans="1:26" ht="15.7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spans="1:26" ht="15.7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spans="1:26" ht="15.7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spans="1:26" ht="15.7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spans="1:26" ht="15.7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spans="1:26" ht="15.7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spans="1:26" ht="15.7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spans="1:26" ht="15.7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spans="1:26" ht="15.7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spans="1:26" ht="15.7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spans="1:26" ht="15.7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spans="1:26" ht="15.7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spans="1:26" ht="15.7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spans="1:26" ht="15.7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spans="1:26" ht="15.7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spans="1:26" ht="15.7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spans="1:26" ht="15.7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spans="1:26" ht="15.7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spans="1:26" ht="15.7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spans="1:26" ht="15.7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spans="1:26" ht="15.7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spans="1:26" ht="15.7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spans="1:26" ht="15.7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spans="1:26" ht="15.7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spans="1:26" ht="15.7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spans="1:26" ht="15.7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spans="1:26" ht="15.7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spans="1:26" ht="15.7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spans="1:26" ht="15.7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spans="1:26" ht="15.7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spans="1:26" ht="15.7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spans="1:26" ht="15.7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spans="1:26" ht="15.7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spans="1:26" ht="15.7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spans="1:26" ht="15.7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spans="1:26" ht="15.7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spans="1:26" ht="15.7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spans="1:26" ht="15.7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spans="1:26" ht="15.7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spans="1:26" ht="15.7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spans="1:26" ht="15.7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spans="1:26" ht="15.7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spans="1:26" ht="15.7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spans="1:26" ht="15.7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spans="1:26" ht="15.7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spans="1:26" ht="15.7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spans="1:26" ht="15.7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spans="1:26" ht="15.7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spans="1:26" ht="15.7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spans="1:26" ht="15.7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spans="1:26" ht="15.7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spans="1:26" ht="15.7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spans="1:26" ht="15.7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spans="1:26" ht="15.7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spans="1:26" ht="15.7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spans="1:26" ht="15.7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spans="1:26" ht="15.7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spans="1:26" ht="15.7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spans="1:26" ht="15.7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spans="1:26" ht="15.7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spans="1:26" ht="15.7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spans="1:26" ht="15.7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spans="1:26" ht="15.7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spans="1:26" ht="15.7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spans="1:26" ht="15.7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spans="1:26" ht="15.7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spans="1:26" ht="15.7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spans="1:26" ht="15.7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spans="1:26" ht="15.7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spans="1:26" ht="15.7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spans="1:26" ht="15.7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spans="1:26" ht="15.7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spans="1:26" ht="15.7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spans="1:26" ht="15.7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spans="1:26" ht="15.7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spans="1:26" ht="15.7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spans="1:26" ht="15.7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spans="1:26" ht="15.7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1:26" ht="15.7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spans="1:26" ht="15.7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spans="1:26" ht="15.7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spans="1:26" ht="15.7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spans="1:26" ht="15.7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spans="1:26" ht="15.7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spans="1:26" ht="15.7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spans="1:26" ht="15.7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spans="1:26" ht="15.7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spans="1:26" ht="15.7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spans="1:26" ht="15.7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spans="1:26" ht="15.7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spans="1:26" ht="15.7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spans="1:26" ht="15.7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spans="1:26" ht="15.7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spans="1:26" ht="15.7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spans="1:26" ht="15.7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spans="1:26" ht="15.7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spans="1:26" ht="15.7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spans="1:26" ht="15.7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spans="1:26" ht="15.7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spans="1:26" ht="15.7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spans="1:26" ht="15.7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spans="1:26" ht="15.7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spans="1:26" ht="15.7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spans="1:26" ht="15.7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spans="1:26" ht="15.7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spans="1:26" ht="15.7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spans="1:26" ht="15.7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spans="1:26" ht="15.7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spans="1:26" ht="15.7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spans="1:26" ht="15.7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spans="1:26" ht="15.7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spans="1:26" ht="15.7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spans="1:26" ht="15.7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spans="1:26" ht="15.7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spans="1:26" ht="15.7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spans="1:26" ht="15.7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spans="1:26" ht="15.7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spans="1:26" ht="15.7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spans="1:26" ht="15.7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spans="1:26" ht="15.7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spans="1:26" ht="15.7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spans="1:26" ht="15.7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spans="1:26" ht="15.7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spans="1:26" ht="15.7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spans="1:26" ht="15.7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spans="1:26" ht="15.7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spans="1:26" ht="15.7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spans="1:26" ht="15.7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spans="1:26" ht="15.7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spans="1:26" ht="15.7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spans="1:26" ht="15.7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spans="1:26" ht="15.7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spans="1:26" ht="15.7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spans="1:26" ht="15.7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spans="1:26" ht="15.7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spans="1:26" ht="15.7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spans="1:26" ht="15.7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spans="1:26" ht="15.7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spans="1:26" ht="15.7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spans="1:26" ht="15.7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spans="1:26" ht="15.7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spans="1:26" ht="15.7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spans="1:26" ht="15.7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spans="1:26" ht="15.7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spans="1:26" ht="15.7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spans="1:26" ht="15.7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spans="1:26" ht="15.7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spans="1:26" ht="15.7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spans="1:26" ht="15.7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spans="1:26" ht="15.7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spans="1:26" ht="15.7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spans="1:26" ht="15.7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spans="1:26" ht="15.7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spans="1:26" ht="15.7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spans="1:26" ht="15.7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spans="1:26" ht="15.7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spans="1:26" ht="15.7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spans="1:26" ht="15.7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spans="1:26" ht="15.7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spans="1:26" ht="15.7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spans="1:26" ht="15.7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spans="1:26" ht="15.7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spans="1:26" ht="15.7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spans="1:26" ht="15.7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spans="1:26" ht="15.7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spans="1:26" ht="15.7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spans="1:26" ht="15.7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spans="1:26" ht="15.7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spans="1:26" ht="15.7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spans="1:26" ht="15.7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spans="1:26" ht="15.7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spans="1:26" ht="15.7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spans="1:26" ht="15.7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spans="1:26" ht="15.7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spans="1:26" ht="15.7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spans="1:26" ht="15.7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spans="1:26" ht="15.7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spans="1:26" ht="15.7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spans="1:26" ht="15.7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spans="1:26" ht="15.7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spans="1:26" ht="15.7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spans="1:26" ht="15.7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spans="1:26" ht="15.7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spans="1:26" ht="15.7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spans="1:26" ht="15.7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spans="1:26" ht="15.7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spans="1:26" ht="15.7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spans="1:26" ht="15.7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spans="1:26" ht="15.7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spans="1:26" ht="15.7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spans="1:26" ht="15.7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spans="1:26" ht="15.7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spans="1:26" ht="15.7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spans="1:26" ht="15.7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spans="1:26" ht="15.7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spans="1:26" ht="15.7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spans="1:26" ht="15.7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spans="1:26" ht="15.7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spans="1:26" ht="15.7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spans="1:26" ht="15.7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spans="1:26" ht="15.7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spans="1:26" ht="15.7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spans="1:26" ht="15.7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spans="1:26" ht="15.7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spans="1:26" ht="15.7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spans="1:26" ht="15.7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spans="1:26" ht="15.7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spans="1:26" ht="15.7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spans="1:26" ht="15.7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spans="1:26" ht="15.7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spans="1:26" ht="15.7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spans="1:26" ht="15.7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spans="1:26" ht="15.7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spans="1:26" ht="15.7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spans="1:26" ht="15.7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spans="1:26" ht="15.7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spans="1:26" ht="15.7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spans="1:26" ht="15.7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spans="1:26" ht="15.7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spans="1:26" ht="15.7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spans="1:26" ht="15.7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spans="1:26" ht="15.7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spans="1:26" ht="15.7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spans="1:26" ht="15.7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spans="1:26" ht="15.7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spans="1:26" ht="15.7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spans="1:26" ht="15.7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spans="1:26" ht="15.7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spans="1:26" ht="15.7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spans="1:26" ht="15.7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spans="1:26" ht="15.7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spans="1:26" ht="15.7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spans="1:26" ht="15.7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spans="1:26" ht="15.7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spans="1:26" ht="15.7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spans="1:26" ht="15.7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spans="1:26" ht="15.7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spans="1:26" ht="15.7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spans="1:26" ht="15.7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spans="1:26" ht="15.7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spans="1:26" ht="15.7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spans="1:26" ht="15.7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spans="1:26" ht="15.7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spans="1:26" ht="15.7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spans="1:26" ht="15.7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spans="1:26" ht="15.7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spans="1:26" ht="15.7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spans="1:26" ht="15.7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spans="1:26" ht="15.7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spans="1:26" ht="15.7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spans="1:26" ht="15.7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spans="1:26" ht="15.7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spans="1:26" ht="15.7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spans="1:26" ht="15.7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spans="1:26" ht="15.7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spans="1:26" ht="15.7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spans="1:26" ht="15.7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spans="1:26" ht="15.7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spans="1:26" ht="15.7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spans="1:26" ht="15.7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spans="1:26" ht="15.7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spans="1:26" ht="15.7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spans="1:26" ht="15.7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spans="1:26" ht="15.7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spans="1:26" ht="15.7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spans="1:26" ht="15.7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spans="1:26" ht="15.7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spans="1:26" ht="15.7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spans="1:26" ht="15.7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spans="1:26" ht="15.7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spans="1:26" ht="15.7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spans="1:26" ht="15.7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spans="1:26" ht="15.7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 spans="1:26" ht="15.75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 spans="1:26" ht="15.75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 spans="1:26" ht="15.75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 spans="1:26" ht="15.75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 spans="1:26" ht="15.75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1000"/>
  <sheetViews>
    <sheetView workbookViewId="0"/>
  </sheetViews>
  <sheetFormatPr defaultColWidth="12.5703125" defaultRowHeight="15" customHeight="1"/>
  <cols>
    <col min="1" max="8" width="8.5703125" customWidth="1"/>
    <col min="9" max="9" width="10.5703125" customWidth="1"/>
    <col min="10" max="22" width="8.5703125" customWidth="1"/>
    <col min="23" max="23" width="9" customWidth="1"/>
    <col min="24" max="24" width="8.5703125" customWidth="1"/>
    <col min="25" max="25" width="9.42578125" customWidth="1"/>
    <col min="26" max="26" width="19.5703125" customWidth="1"/>
    <col min="27" max="27" width="5.5703125" customWidth="1"/>
    <col min="28" max="51" width="8.5703125" customWidth="1"/>
  </cols>
  <sheetData>
    <row r="1" spans="1:51" ht="12.75" customHeight="1">
      <c r="A1" s="63"/>
      <c r="B1" s="93" t="s">
        <v>67</v>
      </c>
      <c r="C1" s="93" t="s">
        <v>67</v>
      </c>
      <c r="D1" s="93" t="s">
        <v>67</v>
      </c>
      <c r="E1" s="93" t="s">
        <v>67</v>
      </c>
      <c r="F1" s="93" t="s">
        <v>67</v>
      </c>
      <c r="G1" s="93" t="s">
        <v>67</v>
      </c>
      <c r="H1" s="93" t="s">
        <v>67</v>
      </c>
      <c r="I1" s="93" t="s">
        <v>67</v>
      </c>
      <c r="J1" s="93" t="s">
        <v>67</v>
      </c>
      <c r="K1" s="93" t="s">
        <v>67</v>
      </c>
      <c r="M1" s="94" t="s">
        <v>68</v>
      </c>
      <c r="O1" s="95">
        <v>1</v>
      </c>
      <c r="P1" s="95">
        <v>2</v>
      </c>
      <c r="Q1" s="95">
        <v>3</v>
      </c>
      <c r="R1" s="95">
        <v>4</v>
      </c>
      <c r="S1" s="95">
        <v>5</v>
      </c>
      <c r="T1" s="95">
        <v>6</v>
      </c>
      <c r="U1" s="95">
        <v>7</v>
      </c>
      <c r="V1" s="95">
        <v>8</v>
      </c>
      <c r="W1" s="95" t="s">
        <v>69</v>
      </c>
      <c r="X1" s="95">
        <v>9</v>
      </c>
      <c r="AA1" s="94" t="s">
        <v>70</v>
      </c>
      <c r="AB1" s="60" t="s">
        <v>71</v>
      </c>
      <c r="AC1" s="96" t="s">
        <v>72</v>
      </c>
      <c r="AE1" s="97" t="s">
        <v>73</v>
      </c>
      <c r="AF1" s="98">
        <v>1</v>
      </c>
      <c r="AG1" s="98">
        <v>2</v>
      </c>
      <c r="AH1" s="99">
        <v>3</v>
      </c>
      <c r="AI1" s="99">
        <v>4</v>
      </c>
      <c r="AJ1" s="99">
        <v>5</v>
      </c>
      <c r="AK1" s="99">
        <v>6</v>
      </c>
      <c r="AL1" s="99">
        <v>7</v>
      </c>
      <c r="AM1" s="99">
        <v>8</v>
      </c>
      <c r="AN1" s="99">
        <v>9</v>
      </c>
      <c r="AO1" s="99">
        <v>10</v>
      </c>
      <c r="AP1" s="99">
        <v>11</v>
      </c>
      <c r="AQ1" s="99">
        <v>12</v>
      </c>
      <c r="AR1" s="99">
        <v>13</v>
      </c>
      <c r="AS1" s="99">
        <v>14</v>
      </c>
      <c r="AT1" s="99">
        <v>15</v>
      </c>
      <c r="AU1" s="99">
        <v>16</v>
      </c>
      <c r="AV1" s="99">
        <v>17</v>
      </c>
      <c r="AW1" s="99">
        <v>18</v>
      </c>
      <c r="AX1" s="99">
        <v>19</v>
      </c>
      <c r="AY1" s="99">
        <v>20</v>
      </c>
    </row>
    <row r="2" spans="1:51" ht="12.75" customHeight="1">
      <c r="A2" s="63" t="s">
        <v>74</v>
      </c>
      <c r="B2" s="1">
        <v>1</v>
      </c>
      <c r="C2" s="1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88" t="s">
        <v>75</v>
      </c>
      <c r="K2" s="3">
        <v>9</v>
      </c>
      <c r="M2" s="60">
        <f t="shared" ref="M2:M17" si="0">N2/16</f>
        <v>6.25E-2</v>
      </c>
      <c r="N2" s="100">
        <v>1</v>
      </c>
      <c r="O2" s="101">
        <v>4.76</v>
      </c>
      <c r="P2" s="102">
        <v>4.82</v>
      </c>
      <c r="Q2" s="103">
        <v>4.84</v>
      </c>
      <c r="R2" s="103">
        <v>4.97</v>
      </c>
      <c r="S2" s="103">
        <v>5.04</v>
      </c>
      <c r="T2" s="103">
        <v>5.17</v>
      </c>
      <c r="U2" s="103">
        <v>5.26</v>
      </c>
      <c r="V2" s="103">
        <v>5.49</v>
      </c>
      <c r="W2" s="103">
        <v>6.36</v>
      </c>
      <c r="X2" s="103">
        <v>6.36</v>
      </c>
      <c r="Y2" s="104"/>
      <c r="Z2" s="104"/>
      <c r="AB2" s="60">
        <v>1</v>
      </c>
      <c r="AC2" s="96">
        <v>4.47</v>
      </c>
      <c r="AD2" s="86">
        <f t="shared" ref="AD2:AD23" si="1">AE2/16</f>
        <v>6.25E-2</v>
      </c>
      <c r="AE2" s="105">
        <v>1</v>
      </c>
      <c r="AF2" s="106">
        <v>19.399999999999999</v>
      </c>
      <c r="AG2" s="107">
        <v>20.149999999999999</v>
      </c>
      <c r="AH2" s="106">
        <v>22.65</v>
      </c>
      <c r="AI2" s="108">
        <v>22.05</v>
      </c>
      <c r="AJ2" s="108">
        <v>21.95</v>
      </c>
      <c r="AK2" s="108">
        <v>21.4</v>
      </c>
      <c r="AL2" s="108">
        <v>21.85</v>
      </c>
      <c r="AM2" s="108">
        <v>23.5</v>
      </c>
      <c r="AN2" s="108">
        <v>25.7</v>
      </c>
      <c r="AO2" s="108">
        <v>22.25</v>
      </c>
      <c r="AP2" s="108">
        <v>26.6</v>
      </c>
      <c r="AQ2" s="108">
        <v>24.8</v>
      </c>
      <c r="AR2" s="108">
        <v>27.75</v>
      </c>
      <c r="AS2" s="108">
        <v>22.4</v>
      </c>
      <c r="AT2" s="108">
        <v>24.6</v>
      </c>
      <c r="AU2" s="108">
        <v>21.8</v>
      </c>
      <c r="AV2" s="108">
        <v>24.15</v>
      </c>
      <c r="AW2" s="108">
        <v>23.05</v>
      </c>
      <c r="AX2" s="108">
        <v>23.2</v>
      </c>
      <c r="AY2" s="60">
        <v>23.05</v>
      </c>
    </row>
    <row r="3" spans="1:51" ht="12.75" customHeight="1">
      <c r="A3" s="5">
        <v>1</v>
      </c>
      <c r="B3" s="109">
        <v>7.41</v>
      </c>
      <c r="C3" s="109">
        <v>7.62</v>
      </c>
      <c r="D3" s="109">
        <v>8.14</v>
      </c>
      <c r="E3" s="109">
        <v>8.74</v>
      </c>
      <c r="F3" s="109">
        <v>10.71</v>
      </c>
      <c r="G3" s="109">
        <v>11.83</v>
      </c>
      <c r="H3" s="109">
        <v>12.36</v>
      </c>
      <c r="I3" s="109">
        <v>12.62</v>
      </c>
      <c r="J3" s="80">
        <v>15.22</v>
      </c>
      <c r="K3" s="86">
        <v>32.479999999999997</v>
      </c>
      <c r="M3" s="60">
        <f t="shared" si="0"/>
        <v>0.125</v>
      </c>
      <c r="N3" s="100">
        <v>2</v>
      </c>
      <c r="O3" s="101">
        <v>4.76</v>
      </c>
      <c r="P3" s="102">
        <v>4.82</v>
      </c>
      <c r="Q3" s="103">
        <v>4.84</v>
      </c>
      <c r="R3" s="103">
        <v>4.97</v>
      </c>
      <c r="S3" s="103">
        <v>5.04</v>
      </c>
      <c r="T3" s="103">
        <v>5.17</v>
      </c>
      <c r="U3" s="103">
        <v>5.26</v>
      </c>
      <c r="V3" s="103">
        <v>5.49</v>
      </c>
      <c r="W3" s="103">
        <v>6.36</v>
      </c>
      <c r="X3" s="103">
        <v>6.36</v>
      </c>
      <c r="Y3" s="104"/>
      <c r="Z3" s="104"/>
      <c r="AB3" s="60">
        <v>2</v>
      </c>
      <c r="AC3" s="96">
        <v>5.22</v>
      </c>
      <c r="AD3" s="86">
        <f t="shared" si="1"/>
        <v>0.125</v>
      </c>
      <c r="AE3" s="110">
        <v>2</v>
      </c>
      <c r="AF3" s="106">
        <v>19.399999999999999</v>
      </c>
      <c r="AG3" s="107">
        <v>20.149999999999999</v>
      </c>
      <c r="AH3" s="106">
        <v>22.65</v>
      </c>
      <c r="AI3" s="108">
        <v>22.05</v>
      </c>
      <c r="AJ3" s="108">
        <v>21.95</v>
      </c>
      <c r="AK3" s="108">
        <v>21.4</v>
      </c>
      <c r="AL3" s="108">
        <v>21.85</v>
      </c>
      <c r="AM3" s="108">
        <v>23.5</v>
      </c>
      <c r="AN3" s="108">
        <v>25.7</v>
      </c>
      <c r="AO3" s="108">
        <v>22.25</v>
      </c>
      <c r="AP3" s="108">
        <v>26.6</v>
      </c>
      <c r="AQ3" s="108">
        <v>24.8</v>
      </c>
      <c r="AR3" s="108">
        <v>27.75</v>
      </c>
      <c r="AS3" s="108">
        <v>22.4</v>
      </c>
      <c r="AT3" s="108">
        <v>24.6</v>
      </c>
      <c r="AU3" s="108">
        <v>21.8</v>
      </c>
      <c r="AV3" s="108">
        <v>24.15</v>
      </c>
      <c r="AW3" s="108">
        <v>23.05</v>
      </c>
      <c r="AX3" s="108">
        <v>23.2</v>
      </c>
      <c r="AY3" s="60">
        <v>23.05</v>
      </c>
    </row>
    <row r="4" spans="1:51" ht="12.75" customHeight="1">
      <c r="A4" s="9">
        <v>2</v>
      </c>
      <c r="B4" s="111">
        <v>7.67</v>
      </c>
      <c r="C4" s="111">
        <v>7.92</v>
      </c>
      <c r="D4" s="111">
        <v>8.42</v>
      </c>
      <c r="E4" s="81">
        <v>9.33</v>
      </c>
      <c r="F4" s="81">
        <v>12.05</v>
      </c>
      <c r="G4" s="81">
        <v>12.72</v>
      </c>
      <c r="H4" s="81">
        <v>13.56</v>
      </c>
      <c r="I4" s="81">
        <v>13.81</v>
      </c>
      <c r="J4" s="112">
        <v>15.22</v>
      </c>
      <c r="K4" s="86">
        <v>32.479999999999997</v>
      </c>
      <c r="M4" s="60">
        <f t="shared" si="0"/>
        <v>0.1875</v>
      </c>
      <c r="N4" s="100">
        <v>3</v>
      </c>
      <c r="O4" s="101">
        <v>4.76</v>
      </c>
      <c r="P4" s="102">
        <v>4.82</v>
      </c>
      <c r="Q4" s="103">
        <v>4.84</v>
      </c>
      <c r="R4" s="103">
        <v>4.97</v>
      </c>
      <c r="S4" s="103">
        <v>5.04</v>
      </c>
      <c r="T4" s="103">
        <v>5.17</v>
      </c>
      <c r="U4" s="103">
        <v>5.26</v>
      </c>
      <c r="V4" s="103">
        <v>5.49</v>
      </c>
      <c r="W4" s="103">
        <v>6.36</v>
      </c>
      <c r="X4" s="103">
        <v>6.36</v>
      </c>
      <c r="Y4" s="104"/>
      <c r="Z4" s="104"/>
      <c r="AB4" s="60">
        <v>3</v>
      </c>
      <c r="AC4" s="96">
        <v>5.97</v>
      </c>
      <c r="AD4" s="86">
        <f t="shared" si="1"/>
        <v>0.1875</v>
      </c>
      <c r="AE4" s="110">
        <v>3</v>
      </c>
      <c r="AF4" s="106">
        <v>19.399999999999999</v>
      </c>
      <c r="AG4" s="107">
        <v>20.149999999999999</v>
      </c>
      <c r="AH4" s="106">
        <v>22.65</v>
      </c>
      <c r="AI4" s="108">
        <v>22.05</v>
      </c>
      <c r="AJ4" s="108">
        <v>21.95</v>
      </c>
      <c r="AK4" s="108">
        <v>21.4</v>
      </c>
      <c r="AL4" s="108">
        <v>21.85</v>
      </c>
      <c r="AM4" s="108">
        <v>23.5</v>
      </c>
      <c r="AN4" s="108">
        <v>25.7</v>
      </c>
      <c r="AO4" s="108">
        <v>22.25</v>
      </c>
      <c r="AP4" s="108">
        <v>26.6</v>
      </c>
      <c r="AQ4" s="108">
        <v>24.8</v>
      </c>
      <c r="AR4" s="108">
        <v>27.75</v>
      </c>
      <c r="AS4" s="108">
        <v>22.4</v>
      </c>
      <c r="AT4" s="108">
        <v>24.6</v>
      </c>
      <c r="AU4" s="108">
        <v>21.8</v>
      </c>
      <c r="AV4" s="108">
        <v>24.15</v>
      </c>
      <c r="AW4" s="108">
        <v>23.05</v>
      </c>
      <c r="AX4" s="108">
        <v>23.2</v>
      </c>
      <c r="AY4" s="60">
        <v>23.05</v>
      </c>
    </row>
    <row r="5" spans="1:51" ht="12.75" customHeight="1">
      <c r="A5" s="13">
        <v>3</v>
      </c>
      <c r="B5" s="113">
        <v>8.43</v>
      </c>
      <c r="C5" s="113">
        <v>8.73</v>
      </c>
      <c r="D5" s="113">
        <v>9.49</v>
      </c>
      <c r="E5" s="78">
        <v>11.01</v>
      </c>
      <c r="F5" s="78">
        <v>14.98</v>
      </c>
      <c r="G5" s="78">
        <v>16.440000000000001</v>
      </c>
      <c r="H5" s="78">
        <v>17.98</v>
      </c>
      <c r="I5" s="113">
        <v>18.34</v>
      </c>
      <c r="J5" s="82">
        <v>16.37</v>
      </c>
      <c r="K5" s="86">
        <v>34.94</v>
      </c>
      <c r="M5" s="60">
        <f t="shared" si="0"/>
        <v>0.25</v>
      </c>
      <c r="N5" s="100">
        <v>4</v>
      </c>
      <c r="O5" s="101">
        <v>4.76</v>
      </c>
      <c r="P5" s="102">
        <v>4.82</v>
      </c>
      <c r="Q5" s="103">
        <v>4.84</v>
      </c>
      <c r="R5" s="103">
        <v>4.97</v>
      </c>
      <c r="S5" s="103">
        <v>5.04</v>
      </c>
      <c r="T5" s="103">
        <v>5.17</v>
      </c>
      <c r="U5" s="103">
        <v>5.26</v>
      </c>
      <c r="V5" s="103">
        <v>5.49</v>
      </c>
      <c r="W5" s="103">
        <v>6.36</v>
      </c>
      <c r="X5" s="103">
        <v>6.36</v>
      </c>
      <c r="Y5" s="104"/>
      <c r="Z5" s="104"/>
      <c r="AB5" s="60">
        <v>4</v>
      </c>
      <c r="AC5" s="96">
        <v>6.72</v>
      </c>
      <c r="AD5" s="86">
        <f t="shared" si="1"/>
        <v>0.25</v>
      </c>
      <c r="AE5" s="110">
        <v>4</v>
      </c>
      <c r="AF5" s="106">
        <v>19.399999999999999</v>
      </c>
      <c r="AG5" s="107">
        <v>20.149999999999999</v>
      </c>
      <c r="AH5" s="106">
        <v>22.65</v>
      </c>
      <c r="AI5" s="108">
        <v>22.05</v>
      </c>
      <c r="AJ5" s="108">
        <v>21.95</v>
      </c>
      <c r="AK5" s="108">
        <v>21.4</v>
      </c>
      <c r="AL5" s="108">
        <v>21.85</v>
      </c>
      <c r="AM5" s="108">
        <v>23.5</v>
      </c>
      <c r="AN5" s="108">
        <v>25.7</v>
      </c>
      <c r="AO5" s="108">
        <v>22.25</v>
      </c>
      <c r="AP5" s="108">
        <v>26.6</v>
      </c>
      <c r="AQ5" s="108">
        <v>24.8</v>
      </c>
      <c r="AR5" s="108">
        <v>27.75</v>
      </c>
      <c r="AS5" s="108">
        <v>22.4</v>
      </c>
      <c r="AT5" s="108">
        <v>24.6</v>
      </c>
      <c r="AU5" s="108">
        <v>21.8</v>
      </c>
      <c r="AV5" s="108">
        <v>24.15</v>
      </c>
      <c r="AW5" s="108">
        <v>23.05</v>
      </c>
      <c r="AX5" s="108">
        <v>23.2</v>
      </c>
      <c r="AY5" s="60">
        <v>23.05</v>
      </c>
    </row>
    <row r="6" spans="1:51" ht="12.75" customHeight="1">
      <c r="A6" s="13">
        <v>4</v>
      </c>
      <c r="B6" s="113">
        <v>9.84</v>
      </c>
      <c r="C6" s="113">
        <v>10.08</v>
      </c>
      <c r="D6" s="113">
        <v>11.04</v>
      </c>
      <c r="E6" s="78">
        <v>12.89</v>
      </c>
      <c r="F6" s="113">
        <v>17.47</v>
      </c>
      <c r="G6" s="82">
        <v>20.56</v>
      </c>
      <c r="H6" s="78">
        <v>22.64</v>
      </c>
      <c r="I6" s="78">
        <v>23.1</v>
      </c>
      <c r="J6" s="82">
        <v>20.57</v>
      </c>
      <c r="K6" s="86">
        <v>43.91</v>
      </c>
      <c r="M6" s="60">
        <f t="shared" si="0"/>
        <v>0.3125</v>
      </c>
      <c r="N6" s="100">
        <v>5</v>
      </c>
      <c r="O6" s="114">
        <v>5.13</v>
      </c>
      <c r="P6" s="114">
        <v>5.23</v>
      </c>
      <c r="Q6" s="114">
        <v>5.28</v>
      </c>
      <c r="R6" s="114">
        <v>5.36</v>
      </c>
      <c r="S6" s="114">
        <v>5.42</v>
      </c>
      <c r="T6" s="114">
        <v>5.49</v>
      </c>
      <c r="U6" s="114">
        <v>5.59</v>
      </c>
      <c r="V6" s="114">
        <v>5.74</v>
      </c>
      <c r="W6" s="114">
        <v>6.74</v>
      </c>
      <c r="X6" s="114">
        <v>6.74</v>
      </c>
      <c r="Y6" s="104"/>
      <c r="Z6" s="104"/>
      <c r="AB6" s="60">
        <v>5</v>
      </c>
      <c r="AC6" s="96">
        <v>7.47</v>
      </c>
      <c r="AD6" s="86">
        <f t="shared" si="1"/>
        <v>0.3125</v>
      </c>
      <c r="AE6" s="110">
        <v>5</v>
      </c>
      <c r="AF6" s="106">
        <v>19.399999999999999</v>
      </c>
      <c r="AG6" s="107">
        <v>20.149999999999999</v>
      </c>
      <c r="AH6" s="106">
        <v>22.65</v>
      </c>
      <c r="AI6" s="108">
        <v>22.05</v>
      </c>
      <c r="AJ6" s="108">
        <v>21.95</v>
      </c>
      <c r="AK6" s="108">
        <v>21.4</v>
      </c>
      <c r="AL6" s="108">
        <v>21.85</v>
      </c>
      <c r="AM6" s="108">
        <v>23.5</v>
      </c>
      <c r="AN6" s="108">
        <v>25.7</v>
      </c>
      <c r="AO6" s="108">
        <v>22.25</v>
      </c>
      <c r="AP6" s="108">
        <v>26.6</v>
      </c>
      <c r="AQ6" s="108">
        <v>24.8</v>
      </c>
      <c r="AR6" s="108">
        <v>27.75</v>
      </c>
      <c r="AS6" s="108">
        <v>22.4</v>
      </c>
      <c r="AT6" s="108">
        <v>24.6</v>
      </c>
      <c r="AU6" s="108">
        <v>21.8</v>
      </c>
      <c r="AV6" s="108">
        <v>24.15</v>
      </c>
      <c r="AW6" s="108">
        <v>23.05</v>
      </c>
      <c r="AX6" s="108">
        <v>23.2</v>
      </c>
      <c r="AY6" s="60">
        <v>23.05</v>
      </c>
    </row>
    <row r="7" spans="1:51" ht="12.75" customHeight="1">
      <c r="A7" s="16">
        <v>5</v>
      </c>
      <c r="B7" s="115">
        <v>10.23</v>
      </c>
      <c r="C7" s="115">
        <v>10.43</v>
      </c>
      <c r="D7" s="115">
        <v>11.52</v>
      </c>
      <c r="E7" s="79">
        <v>13.54</v>
      </c>
      <c r="F7" s="78">
        <v>18.93</v>
      </c>
      <c r="G7" s="78">
        <v>22.29</v>
      </c>
      <c r="H7" s="78">
        <v>24.78</v>
      </c>
      <c r="I7" s="78">
        <v>25.31</v>
      </c>
      <c r="J7" s="116">
        <v>26.82</v>
      </c>
      <c r="K7" s="86">
        <v>57.23</v>
      </c>
      <c r="M7" s="60">
        <f t="shared" si="0"/>
        <v>0.375</v>
      </c>
      <c r="N7" s="100">
        <v>6</v>
      </c>
      <c r="O7" s="114">
        <v>5.13</v>
      </c>
      <c r="P7" s="114">
        <v>5.23</v>
      </c>
      <c r="Q7" s="114">
        <v>5.28</v>
      </c>
      <c r="R7" s="114">
        <v>5.36</v>
      </c>
      <c r="S7" s="114">
        <v>5.42</v>
      </c>
      <c r="T7" s="114">
        <v>5.49</v>
      </c>
      <c r="U7" s="114">
        <v>5.59</v>
      </c>
      <c r="V7" s="114">
        <v>5.74</v>
      </c>
      <c r="W7" s="114">
        <v>6.74</v>
      </c>
      <c r="X7" s="114">
        <v>6.74</v>
      </c>
      <c r="Y7" s="104"/>
      <c r="Z7" s="104"/>
      <c r="AB7" s="60">
        <v>6</v>
      </c>
      <c r="AC7" s="96">
        <v>8.2200000000000006</v>
      </c>
      <c r="AD7" s="86">
        <f t="shared" si="1"/>
        <v>0.375</v>
      </c>
      <c r="AE7" s="110">
        <v>6</v>
      </c>
      <c r="AF7" s="106">
        <v>19.399999999999999</v>
      </c>
      <c r="AG7" s="107">
        <v>20.149999999999999</v>
      </c>
      <c r="AH7" s="106">
        <v>22.65</v>
      </c>
      <c r="AI7" s="108">
        <v>22.05</v>
      </c>
      <c r="AJ7" s="108">
        <v>21.95</v>
      </c>
      <c r="AK7" s="108">
        <v>21.4</v>
      </c>
      <c r="AL7" s="108">
        <v>21.85</v>
      </c>
      <c r="AM7" s="108">
        <v>23.5</v>
      </c>
      <c r="AN7" s="108">
        <v>25.7</v>
      </c>
      <c r="AO7" s="108">
        <v>22.25</v>
      </c>
      <c r="AP7" s="108">
        <v>26.6</v>
      </c>
      <c r="AQ7" s="108">
        <v>24.8</v>
      </c>
      <c r="AR7" s="108">
        <v>27.75</v>
      </c>
      <c r="AS7" s="108">
        <v>22.4</v>
      </c>
      <c r="AT7" s="108">
        <v>24.6</v>
      </c>
      <c r="AU7" s="108">
        <v>21.8</v>
      </c>
      <c r="AV7" s="108">
        <v>24.15</v>
      </c>
      <c r="AW7" s="108">
        <v>23.05</v>
      </c>
      <c r="AX7" s="108">
        <v>23.2</v>
      </c>
      <c r="AY7" s="60">
        <v>23.05</v>
      </c>
    </row>
    <row r="8" spans="1:51" ht="12.75" customHeight="1">
      <c r="A8" s="19">
        <v>6</v>
      </c>
      <c r="B8" s="117">
        <v>10.79</v>
      </c>
      <c r="C8" s="117">
        <v>10.93</v>
      </c>
      <c r="D8" s="117">
        <v>12.14</v>
      </c>
      <c r="E8" s="118">
        <v>14.58</v>
      </c>
      <c r="F8" s="118">
        <v>20.36</v>
      </c>
      <c r="G8" s="119">
        <v>24</v>
      </c>
      <c r="H8" s="118">
        <v>26.93</v>
      </c>
      <c r="I8" s="118">
        <v>27.89</v>
      </c>
      <c r="J8" s="83">
        <v>29.18</v>
      </c>
      <c r="K8" s="86">
        <v>62.27</v>
      </c>
      <c r="M8" s="60">
        <f t="shared" si="0"/>
        <v>0.4375</v>
      </c>
      <c r="N8" s="100">
        <v>7</v>
      </c>
      <c r="O8" s="114">
        <v>5.13</v>
      </c>
      <c r="P8" s="114">
        <v>5.23</v>
      </c>
      <c r="Q8" s="114">
        <v>5.28</v>
      </c>
      <c r="R8" s="114">
        <v>5.36</v>
      </c>
      <c r="S8" s="114">
        <v>5.42</v>
      </c>
      <c r="T8" s="114">
        <v>5.49</v>
      </c>
      <c r="U8" s="114">
        <v>5.59</v>
      </c>
      <c r="V8" s="114">
        <v>5.74</v>
      </c>
      <c r="W8" s="114">
        <v>6.74</v>
      </c>
      <c r="X8" s="114">
        <v>6.74</v>
      </c>
      <c r="Y8" s="104"/>
      <c r="Z8" s="104"/>
      <c r="AB8" s="60">
        <v>7</v>
      </c>
      <c r="AC8" s="96">
        <v>8.9700000000000006</v>
      </c>
      <c r="AD8" s="86">
        <f t="shared" si="1"/>
        <v>0.4375</v>
      </c>
      <c r="AE8" s="110">
        <v>7</v>
      </c>
      <c r="AF8" s="106">
        <v>19.399999999999999</v>
      </c>
      <c r="AG8" s="107">
        <v>20.149999999999999</v>
      </c>
      <c r="AH8" s="106">
        <v>22.65</v>
      </c>
      <c r="AI8" s="108">
        <v>22.05</v>
      </c>
      <c r="AJ8" s="108">
        <v>21.95</v>
      </c>
      <c r="AK8" s="108">
        <v>21.4</v>
      </c>
      <c r="AL8" s="108">
        <v>21.85</v>
      </c>
      <c r="AM8" s="108">
        <v>23.5</v>
      </c>
      <c r="AN8" s="108">
        <v>25.7</v>
      </c>
      <c r="AO8" s="108">
        <v>22.25</v>
      </c>
      <c r="AP8" s="108">
        <v>26.6</v>
      </c>
      <c r="AQ8" s="108">
        <v>24.8</v>
      </c>
      <c r="AR8" s="108">
        <v>27.75</v>
      </c>
      <c r="AS8" s="108">
        <v>22.4</v>
      </c>
      <c r="AT8" s="108">
        <v>24.6</v>
      </c>
      <c r="AU8" s="108">
        <v>21.8</v>
      </c>
      <c r="AV8" s="108">
        <v>24.15</v>
      </c>
      <c r="AW8" s="108">
        <v>23.05</v>
      </c>
      <c r="AX8" s="108">
        <v>23.2</v>
      </c>
      <c r="AY8" s="60">
        <v>23.05</v>
      </c>
    </row>
    <row r="9" spans="1:51" ht="12.75" customHeight="1">
      <c r="A9" s="23">
        <v>7</v>
      </c>
      <c r="B9" s="120">
        <v>11.19</v>
      </c>
      <c r="C9" s="120">
        <v>11.34</v>
      </c>
      <c r="D9" s="120">
        <v>13.14</v>
      </c>
      <c r="E9" s="121">
        <v>15.62</v>
      </c>
      <c r="F9" s="121">
        <v>22.03</v>
      </c>
      <c r="G9" s="122">
        <v>25.84</v>
      </c>
      <c r="H9" s="121">
        <v>29.73</v>
      </c>
      <c r="I9" s="121">
        <v>30.81</v>
      </c>
      <c r="J9" s="76">
        <v>31.9</v>
      </c>
      <c r="K9" s="86">
        <v>68.08</v>
      </c>
      <c r="M9" s="60">
        <f t="shared" si="0"/>
        <v>0.5</v>
      </c>
      <c r="N9" s="100">
        <v>8</v>
      </c>
      <c r="O9" s="114">
        <v>5.13</v>
      </c>
      <c r="P9" s="114">
        <v>5.23</v>
      </c>
      <c r="Q9" s="114">
        <v>5.28</v>
      </c>
      <c r="R9" s="114">
        <v>5.36</v>
      </c>
      <c r="S9" s="114">
        <v>5.42</v>
      </c>
      <c r="T9" s="114">
        <v>5.49</v>
      </c>
      <c r="U9" s="114">
        <v>5.59</v>
      </c>
      <c r="V9" s="114">
        <v>5.74</v>
      </c>
      <c r="W9" s="114">
        <v>6.74</v>
      </c>
      <c r="X9" s="114">
        <v>6.74</v>
      </c>
      <c r="Y9" s="104"/>
      <c r="Z9" s="104"/>
      <c r="AB9" s="60">
        <v>8</v>
      </c>
      <c r="AC9" s="96">
        <v>9.7200000000000006</v>
      </c>
      <c r="AD9" s="86">
        <f t="shared" si="1"/>
        <v>0.5</v>
      </c>
      <c r="AE9" s="110">
        <v>8</v>
      </c>
      <c r="AF9" s="106">
        <v>19.399999999999999</v>
      </c>
      <c r="AG9" s="107">
        <v>20.149999999999999</v>
      </c>
      <c r="AH9" s="106">
        <v>22.65</v>
      </c>
      <c r="AI9" s="108">
        <v>22.05</v>
      </c>
      <c r="AJ9" s="108">
        <v>21.95</v>
      </c>
      <c r="AK9" s="108">
        <v>21.4</v>
      </c>
      <c r="AL9" s="108">
        <v>21.85</v>
      </c>
      <c r="AM9" s="108">
        <v>23.5</v>
      </c>
      <c r="AN9" s="108">
        <v>25.7</v>
      </c>
      <c r="AO9" s="108">
        <v>22.25</v>
      </c>
      <c r="AP9" s="108">
        <v>26.6</v>
      </c>
      <c r="AQ9" s="108">
        <v>24.8</v>
      </c>
      <c r="AR9" s="108">
        <v>27.75</v>
      </c>
      <c r="AS9" s="108">
        <v>22.4</v>
      </c>
      <c r="AT9" s="108">
        <v>24.6</v>
      </c>
      <c r="AU9" s="108">
        <v>21.8</v>
      </c>
      <c r="AV9" s="108">
        <v>24.15</v>
      </c>
      <c r="AW9" s="108">
        <v>23.05</v>
      </c>
      <c r="AX9" s="108">
        <v>23.2</v>
      </c>
      <c r="AY9" s="60">
        <v>23.05</v>
      </c>
    </row>
    <row r="10" spans="1:51" ht="12.75" customHeight="1">
      <c r="A10" s="19">
        <v>8</v>
      </c>
      <c r="B10" s="120">
        <v>11.69</v>
      </c>
      <c r="C10" s="120">
        <v>11.94</v>
      </c>
      <c r="D10" s="120">
        <v>13.94</v>
      </c>
      <c r="E10" s="121">
        <v>16.57</v>
      </c>
      <c r="F10" s="121">
        <v>23.12</v>
      </c>
      <c r="G10" s="122">
        <v>26.98</v>
      </c>
      <c r="H10" s="121">
        <v>31.49</v>
      </c>
      <c r="I10" s="121">
        <v>33.03</v>
      </c>
      <c r="J10" s="76">
        <v>34.97</v>
      </c>
      <c r="K10" s="86">
        <v>74.63</v>
      </c>
      <c r="M10" s="60">
        <f t="shared" si="0"/>
        <v>0.5625</v>
      </c>
      <c r="N10" s="100">
        <v>9</v>
      </c>
      <c r="O10" s="114">
        <v>5.93</v>
      </c>
      <c r="P10" s="114">
        <v>6.04</v>
      </c>
      <c r="Q10" s="114">
        <v>6.11</v>
      </c>
      <c r="R10" s="114">
        <v>6.18</v>
      </c>
      <c r="S10" s="114">
        <v>6.3</v>
      </c>
      <c r="T10" s="114">
        <v>6.52</v>
      </c>
      <c r="U10" s="114">
        <v>6.67</v>
      </c>
      <c r="V10" s="114">
        <v>6.88</v>
      </c>
      <c r="W10" s="114">
        <v>7.13</v>
      </c>
      <c r="X10" s="114">
        <v>7.13</v>
      </c>
      <c r="Y10" s="104"/>
      <c r="Z10" s="104"/>
      <c r="AB10" s="60">
        <v>9</v>
      </c>
      <c r="AC10" s="96">
        <v>10.47</v>
      </c>
      <c r="AD10" s="86">
        <f t="shared" si="1"/>
        <v>0.75</v>
      </c>
      <c r="AE10" s="110">
        <v>12</v>
      </c>
      <c r="AF10" s="106">
        <v>26</v>
      </c>
      <c r="AG10" s="107">
        <v>26.6</v>
      </c>
      <c r="AH10" s="106">
        <v>37.35</v>
      </c>
      <c r="AI10" s="108">
        <v>38.35</v>
      </c>
      <c r="AJ10" s="108">
        <v>38.299999999999997</v>
      </c>
      <c r="AK10" s="108">
        <v>34.25</v>
      </c>
      <c r="AL10" s="108">
        <v>29.95</v>
      </c>
      <c r="AM10" s="108">
        <v>31.15</v>
      </c>
      <c r="AN10" s="108">
        <v>35.9</v>
      </c>
      <c r="AO10" s="108">
        <v>31.15</v>
      </c>
      <c r="AP10" s="108">
        <v>40.450000000000003</v>
      </c>
      <c r="AQ10" s="108">
        <v>41.25</v>
      </c>
      <c r="AR10" s="108">
        <v>37.4</v>
      </c>
      <c r="AS10" s="108">
        <v>32.049999999999997</v>
      </c>
      <c r="AT10" s="108">
        <v>29.4</v>
      </c>
      <c r="AU10" s="108">
        <v>29.95</v>
      </c>
      <c r="AV10" s="108">
        <v>33.950000000000003</v>
      </c>
      <c r="AW10" s="108">
        <v>32.049999999999997</v>
      </c>
      <c r="AX10" s="108">
        <v>31.8</v>
      </c>
      <c r="AY10" s="60">
        <v>31.95</v>
      </c>
    </row>
    <row r="11" spans="1:51" ht="12.75" customHeight="1">
      <c r="A11" s="19">
        <v>9</v>
      </c>
      <c r="B11" s="120">
        <v>12.51</v>
      </c>
      <c r="C11" s="120">
        <v>12.76</v>
      </c>
      <c r="D11" s="120">
        <v>14.68</v>
      </c>
      <c r="E11" s="121">
        <v>17.47</v>
      </c>
      <c r="F11" s="121">
        <v>23.89</v>
      </c>
      <c r="G11" s="122">
        <v>28.53</v>
      </c>
      <c r="H11" s="121">
        <v>33.06</v>
      </c>
      <c r="I11" s="121">
        <v>35.130000000000003</v>
      </c>
      <c r="J11" s="76">
        <v>37.15</v>
      </c>
      <c r="K11" s="86">
        <v>79.28</v>
      </c>
      <c r="M11" s="60">
        <f t="shared" si="0"/>
        <v>0.625</v>
      </c>
      <c r="N11" s="100">
        <v>10</v>
      </c>
      <c r="O11" s="114">
        <v>5.93</v>
      </c>
      <c r="P11" s="114">
        <v>6.04</v>
      </c>
      <c r="Q11" s="114">
        <v>6.11</v>
      </c>
      <c r="R11" s="114">
        <v>6.18</v>
      </c>
      <c r="S11" s="114">
        <v>6.3</v>
      </c>
      <c r="T11" s="114">
        <v>6.52</v>
      </c>
      <c r="U11" s="114">
        <v>6.67</v>
      </c>
      <c r="V11" s="114">
        <v>6.88</v>
      </c>
      <c r="W11" s="114">
        <v>7.13</v>
      </c>
      <c r="X11" s="114">
        <v>7.13</v>
      </c>
      <c r="Y11" s="104"/>
      <c r="Z11" s="104"/>
      <c r="AB11" s="60">
        <v>10</v>
      </c>
      <c r="AC11" s="96">
        <v>11.22</v>
      </c>
      <c r="AD11" s="86">
        <f t="shared" si="1"/>
        <v>1</v>
      </c>
      <c r="AE11" s="110">
        <v>16</v>
      </c>
      <c r="AF11" s="106">
        <v>26</v>
      </c>
      <c r="AG11" s="107">
        <v>26.6</v>
      </c>
      <c r="AH11" s="106">
        <v>37.35</v>
      </c>
      <c r="AI11" s="108">
        <v>38.35</v>
      </c>
      <c r="AJ11" s="108">
        <v>38.299999999999997</v>
      </c>
      <c r="AK11" s="108">
        <v>34.25</v>
      </c>
      <c r="AL11" s="108">
        <v>29.95</v>
      </c>
      <c r="AM11" s="108">
        <v>31.15</v>
      </c>
      <c r="AN11" s="108">
        <v>35.9</v>
      </c>
      <c r="AO11" s="108">
        <v>31.15</v>
      </c>
      <c r="AP11" s="108">
        <v>40.450000000000003</v>
      </c>
      <c r="AQ11" s="108">
        <v>41.25</v>
      </c>
      <c r="AR11" s="108">
        <v>37.4</v>
      </c>
      <c r="AS11" s="108">
        <v>32.049999999999997</v>
      </c>
      <c r="AT11" s="108">
        <v>29.4</v>
      </c>
      <c r="AU11" s="108">
        <v>29.95</v>
      </c>
      <c r="AV11" s="108">
        <v>33.950000000000003</v>
      </c>
      <c r="AW11" s="108">
        <v>32.049999999999997</v>
      </c>
      <c r="AX11" s="108">
        <v>31.8</v>
      </c>
      <c r="AY11" s="60">
        <v>31.95</v>
      </c>
    </row>
    <row r="12" spans="1:51" ht="12.75" customHeight="1">
      <c r="A12" s="27">
        <v>10</v>
      </c>
      <c r="B12" s="120">
        <v>13.32</v>
      </c>
      <c r="C12" s="120">
        <v>13.57</v>
      </c>
      <c r="D12" s="123">
        <v>15.35</v>
      </c>
      <c r="E12" s="124">
        <v>18.18</v>
      </c>
      <c r="F12" s="124">
        <v>24.9</v>
      </c>
      <c r="G12" s="125">
        <v>29.94</v>
      </c>
      <c r="H12" s="124">
        <v>34.590000000000003</v>
      </c>
      <c r="I12" s="124">
        <v>37.369999999999997</v>
      </c>
      <c r="J12" s="77">
        <v>39.25</v>
      </c>
      <c r="K12" s="86">
        <v>83.75</v>
      </c>
      <c r="M12" s="60">
        <f t="shared" si="0"/>
        <v>0.6875</v>
      </c>
      <c r="N12" s="100">
        <v>11</v>
      </c>
      <c r="O12" s="114">
        <v>5.93</v>
      </c>
      <c r="P12" s="114">
        <v>6.04</v>
      </c>
      <c r="Q12" s="114">
        <v>6.11</v>
      </c>
      <c r="R12" s="114">
        <v>6.18</v>
      </c>
      <c r="S12" s="114">
        <v>6.3</v>
      </c>
      <c r="T12" s="114">
        <v>6.52</v>
      </c>
      <c r="U12" s="114">
        <v>6.67</v>
      </c>
      <c r="V12" s="114">
        <v>6.88</v>
      </c>
      <c r="W12" s="114">
        <v>7.13</v>
      </c>
      <c r="X12" s="114">
        <v>7.13</v>
      </c>
      <c r="Y12" s="104"/>
      <c r="Z12" s="104"/>
      <c r="AB12" s="60">
        <v>11</v>
      </c>
      <c r="AC12" s="96">
        <v>11.97</v>
      </c>
      <c r="AD12" s="86">
        <f t="shared" si="1"/>
        <v>1.25</v>
      </c>
      <c r="AE12" s="110">
        <v>20</v>
      </c>
      <c r="AF12" s="106">
        <v>17.850000000000001</v>
      </c>
      <c r="AG12" s="107">
        <v>18.05</v>
      </c>
      <c r="AH12" s="106">
        <v>20</v>
      </c>
      <c r="AI12" s="108">
        <v>19.05</v>
      </c>
      <c r="AJ12" s="108">
        <v>19.05</v>
      </c>
      <c r="AK12" s="108">
        <v>19.05</v>
      </c>
      <c r="AL12" s="108">
        <v>19.3</v>
      </c>
      <c r="AM12" s="108">
        <v>21.35</v>
      </c>
      <c r="AN12" s="108">
        <v>22.5</v>
      </c>
      <c r="AO12" s="108">
        <v>19.350000000000001</v>
      </c>
      <c r="AP12" s="108">
        <v>23.8</v>
      </c>
      <c r="AQ12" s="108">
        <v>22.6</v>
      </c>
      <c r="AR12" s="108">
        <v>24.35</v>
      </c>
      <c r="AS12" s="108">
        <v>19.899999999999999</v>
      </c>
      <c r="AT12" s="108">
        <v>22.05</v>
      </c>
      <c r="AU12" s="108">
        <v>20.6</v>
      </c>
      <c r="AV12" s="108">
        <v>21.05</v>
      </c>
      <c r="AW12" s="108">
        <v>21.85</v>
      </c>
      <c r="AX12" s="108">
        <v>20.55</v>
      </c>
      <c r="AY12" s="60">
        <v>21</v>
      </c>
    </row>
    <row r="13" spans="1:51" ht="12.75" customHeight="1">
      <c r="A13" s="13">
        <v>11</v>
      </c>
      <c r="B13" s="111">
        <v>13.74</v>
      </c>
      <c r="C13" s="111">
        <v>14.03</v>
      </c>
      <c r="D13" s="113">
        <v>15.66</v>
      </c>
      <c r="E13" s="113">
        <v>18.79</v>
      </c>
      <c r="F13" s="113">
        <v>25.98</v>
      </c>
      <c r="G13" s="126">
        <v>30.56</v>
      </c>
      <c r="H13" s="113">
        <v>35.54</v>
      </c>
      <c r="I13" s="113">
        <v>38.47</v>
      </c>
      <c r="J13" s="78">
        <v>41.28</v>
      </c>
      <c r="K13" s="86">
        <v>88.1</v>
      </c>
      <c r="M13" s="60">
        <f t="shared" si="0"/>
        <v>0.75</v>
      </c>
      <c r="N13" s="100">
        <v>12</v>
      </c>
      <c r="O13" s="114">
        <v>5.93</v>
      </c>
      <c r="P13" s="114">
        <v>6.04</v>
      </c>
      <c r="Q13" s="114">
        <v>6.11</v>
      </c>
      <c r="R13" s="114">
        <v>6.18</v>
      </c>
      <c r="S13" s="114">
        <v>6.3</v>
      </c>
      <c r="T13" s="114">
        <v>6.52</v>
      </c>
      <c r="U13" s="114">
        <v>6.67</v>
      </c>
      <c r="V13" s="114">
        <v>6.88</v>
      </c>
      <c r="W13" s="114">
        <v>7.13</v>
      </c>
      <c r="X13" s="114">
        <v>7.13</v>
      </c>
      <c r="Y13" s="104"/>
      <c r="Z13" s="104"/>
      <c r="AB13" s="60">
        <v>12</v>
      </c>
      <c r="AC13" s="96">
        <v>12.72</v>
      </c>
      <c r="AD13" s="86">
        <f t="shared" si="1"/>
        <v>1.5</v>
      </c>
      <c r="AE13" s="110">
        <v>24</v>
      </c>
      <c r="AF13" s="106">
        <v>29.05</v>
      </c>
      <c r="AG13" s="107">
        <v>29.7</v>
      </c>
      <c r="AH13" s="106">
        <v>41.7</v>
      </c>
      <c r="AI13" s="108">
        <v>42.8</v>
      </c>
      <c r="AJ13" s="108">
        <v>42.75</v>
      </c>
      <c r="AK13" s="108">
        <v>38.299999999999997</v>
      </c>
      <c r="AL13" s="108">
        <v>33.450000000000003</v>
      </c>
      <c r="AM13" s="108">
        <v>34.799999999999997</v>
      </c>
      <c r="AN13" s="108">
        <v>40.200000000000003</v>
      </c>
      <c r="AO13" s="108">
        <v>34.799999999999997</v>
      </c>
      <c r="AP13" s="108">
        <v>45.15</v>
      </c>
      <c r="AQ13" s="108">
        <v>46.05</v>
      </c>
      <c r="AR13" s="108">
        <v>41.75</v>
      </c>
      <c r="AS13" s="108">
        <v>35.15</v>
      </c>
      <c r="AT13" s="108">
        <v>32.85</v>
      </c>
      <c r="AU13" s="108">
        <v>32.85</v>
      </c>
      <c r="AV13" s="108">
        <v>37.9</v>
      </c>
      <c r="AW13" s="108">
        <v>35.15</v>
      </c>
      <c r="AX13" s="108">
        <v>35.5</v>
      </c>
      <c r="AY13" s="60">
        <v>35.700000000000003</v>
      </c>
    </row>
    <row r="14" spans="1:51" ht="12.75" customHeight="1">
      <c r="A14" s="13">
        <v>12</v>
      </c>
      <c r="B14" s="113">
        <v>14.41</v>
      </c>
      <c r="C14" s="113">
        <v>14.69</v>
      </c>
      <c r="D14" s="113">
        <v>16.239999999999998</v>
      </c>
      <c r="E14" s="113">
        <v>19.5</v>
      </c>
      <c r="F14" s="113">
        <v>26.39</v>
      </c>
      <c r="G14" s="126">
        <v>31.37</v>
      </c>
      <c r="H14" s="113">
        <v>37.21</v>
      </c>
      <c r="I14" s="113">
        <v>40.520000000000003</v>
      </c>
      <c r="J14" s="78">
        <v>44.05</v>
      </c>
      <c r="K14" s="86">
        <v>94.01</v>
      </c>
      <c r="M14" s="60">
        <f t="shared" si="0"/>
        <v>0.8125</v>
      </c>
      <c r="N14" s="100">
        <v>13</v>
      </c>
      <c r="O14" s="114">
        <v>6.01</v>
      </c>
      <c r="P14" s="114">
        <v>6.11</v>
      </c>
      <c r="Q14" s="114">
        <v>6.2</v>
      </c>
      <c r="R14" s="114">
        <v>6.74</v>
      </c>
      <c r="S14" s="114">
        <v>7.32</v>
      </c>
      <c r="T14" s="114">
        <v>7.6</v>
      </c>
      <c r="U14" s="114">
        <v>7.8</v>
      </c>
      <c r="V14" s="114">
        <v>8.1199999999999992</v>
      </c>
      <c r="W14" s="114">
        <v>8.4</v>
      </c>
      <c r="X14" s="114">
        <v>8.4</v>
      </c>
      <c r="Y14" s="104"/>
      <c r="Z14" s="104"/>
      <c r="AB14" s="60">
        <v>13</v>
      </c>
      <c r="AC14" s="96">
        <v>13.47</v>
      </c>
      <c r="AD14" s="86">
        <f t="shared" si="1"/>
        <v>1.75</v>
      </c>
      <c r="AE14" s="110">
        <v>28</v>
      </c>
      <c r="AF14" s="106">
        <v>29.05</v>
      </c>
      <c r="AG14" s="107">
        <v>29.7</v>
      </c>
      <c r="AH14" s="106">
        <v>41.7</v>
      </c>
      <c r="AI14" s="108">
        <v>42.8</v>
      </c>
      <c r="AJ14" s="108">
        <v>42.75</v>
      </c>
      <c r="AK14" s="108">
        <v>38.299999999999997</v>
      </c>
      <c r="AL14" s="108">
        <v>33.450000000000003</v>
      </c>
      <c r="AM14" s="108">
        <v>34.799999999999997</v>
      </c>
      <c r="AN14" s="108">
        <v>40.200000000000003</v>
      </c>
      <c r="AO14" s="108">
        <v>34.799999999999997</v>
      </c>
      <c r="AP14" s="108">
        <v>45.15</v>
      </c>
      <c r="AQ14" s="108">
        <v>46.05</v>
      </c>
      <c r="AR14" s="108">
        <v>41.75</v>
      </c>
      <c r="AS14" s="108">
        <v>35.15</v>
      </c>
      <c r="AT14" s="108">
        <v>32.85</v>
      </c>
      <c r="AU14" s="108">
        <v>32.85</v>
      </c>
      <c r="AV14" s="108">
        <v>37.9</v>
      </c>
      <c r="AW14" s="108">
        <v>35.15</v>
      </c>
      <c r="AX14" s="108">
        <v>35.5</v>
      </c>
      <c r="AY14" s="60">
        <v>35.700000000000003</v>
      </c>
    </row>
    <row r="15" spans="1:51" ht="12.75" customHeight="1">
      <c r="A15" s="13">
        <v>13</v>
      </c>
      <c r="B15" s="113">
        <v>15.03</v>
      </c>
      <c r="C15" s="113">
        <v>15.33</v>
      </c>
      <c r="D15" s="113">
        <v>16.850000000000001</v>
      </c>
      <c r="E15" s="113">
        <v>19.88</v>
      </c>
      <c r="F15" s="113">
        <v>27.59</v>
      </c>
      <c r="G15" s="126">
        <v>32.79</v>
      </c>
      <c r="H15" s="113">
        <v>39.01</v>
      </c>
      <c r="I15" s="113">
        <v>42.66</v>
      </c>
      <c r="J15" s="78">
        <v>46.25</v>
      </c>
      <c r="K15" s="86">
        <v>98.69</v>
      </c>
      <c r="M15" s="60">
        <f t="shared" si="0"/>
        <v>0.875</v>
      </c>
      <c r="N15" s="100">
        <v>14</v>
      </c>
      <c r="O15" s="114">
        <v>6.01</v>
      </c>
      <c r="P15" s="114">
        <v>6.11</v>
      </c>
      <c r="Q15" s="114">
        <v>6.2</v>
      </c>
      <c r="R15" s="114">
        <v>6.74</v>
      </c>
      <c r="S15" s="114">
        <v>7.32</v>
      </c>
      <c r="T15" s="114">
        <v>7.6</v>
      </c>
      <c r="U15" s="114">
        <v>7.8</v>
      </c>
      <c r="V15" s="114">
        <v>8.1199999999999992</v>
      </c>
      <c r="W15" s="114">
        <v>8.4</v>
      </c>
      <c r="X15" s="114">
        <v>8.4</v>
      </c>
      <c r="Y15" s="104"/>
      <c r="Z15" s="104"/>
      <c r="AB15" s="60">
        <v>14</v>
      </c>
      <c r="AC15" s="96">
        <v>14.22</v>
      </c>
      <c r="AD15" s="86">
        <f t="shared" si="1"/>
        <v>2</v>
      </c>
      <c r="AE15" s="110">
        <v>32</v>
      </c>
      <c r="AF15" s="106">
        <v>29.05</v>
      </c>
      <c r="AG15" s="107">
        <v>29.7</v>
      </c>
      <c r="AH15" s="106">
        <v>41.7</v>
      </c>
      <c r="AI15" s="108">
        <v>42.8</v>
      </c>
      <c r="AJ15" s="108">
        <v>42.75</v>
      </c>
      <c r="AK15" s="108">
        <v>38.299999999999997</v>
      </c>
      <c r="AL15" s="108">
        <v>33.450000000000003</v>
      </c>
      <c r="AM15" s="108">
        <v>34.799999999999997</v>
      </c>
      <c r="AN15" s="108">
        <v>40.200000000000003</v>
      </c>
      <c r="AO15" s="108">
        <v>34.799999999999997</v>
      </c>
      <c r="AP15" s="108">
        <v>45.15</v>
      </c>
      <c r="AQ15" s="108">
        <v>46.05</v>
      </c>
      <c r="AR15" s="108">
        <v>41.75</v>
      </c>
      <c r="AS15" s="108">
        <v>35.15</v>
      </c>
      <c r="AT15" s="108">
        <v>32.85</v>
      </c>
      <c r="AU15" s="108">
        <v>32.85</v>
      </c>
      <c r="AV15" s="108">
        <v>37.9</v>
      </c>
      <c r="AW15" s="108">
        <v>35.15</v>
      </c>
      <c r="AX15" s="108">
        <v>35.5</v>
      </c>
      <c r="AY15" s="60">
        <v>35.700000000000003</v>
      </c>
    </row>
    <row r="16" spans="1:51" ht="12.75" customHeight="1">
      <c r="A16" s="13">
        <v>14</v>
      </c>
      <c r="B16" s="113">
        <v>15.62</v>
      </c>
      <c r="C16" s="113">
        <v>15.93</v>
      </c>
      <c r="D16" s="113">
        <v>17.48</v>
      </c>
      <c r="E16" s="113">
        <v>20.67</v>
      </c>
      <c r="F16" s="113">
        <v>28.92</v>
      </c>
      <c r="G16" s="126">
        <v>34.39</v>
      </c>
      <c r="H16" s="113">
        <v>41.02</v>
      </c>
      <c r="I16" s="113">
        <v>44.94</v>
      </c>
      <c r="J16" s="78">
        <v>48.54</v>
      </c>
      <c r="K16" s="86">
        <v>103.58</v>
      </c>
      <c r="M16" s="60">
        <f t="shared" si="0"/>
        <v>0.9375</v>
      </c>
      <c r="N16" s="100">
        <v>15</v>
      </c>
      <c r="O16" s="114">
        <v>6.01</v>
      </c>
      <c r="P16" s="114">
        <v>6.11</v>
      </c>
      <c r="Q16" s="114">
        <v>6.2</v>
      </c>
      <c r="R16" s="114">
        <v>6.74</v>
      </c>
      <c r="S16" s="114">
        <v>7.32</v>
      </c>
      <c r="T16" s="114">
        <v>7.6</v>
      </c>
      <c r="U16" s="114">
        <v>7.8</v>
      </c>
      <c r="V16" s="114">
        <v>8.1199999999999992</v>
      </c>
      <c r="W16" s="114">
        <v>8.4</v>
      </c>
      <c r="X16" s="114">
        <v>8.4</v>
      </c>
      <c r="Y16" s="104"/>
      <c r="Z16" s="104"/>
      <c r="AB16" s="60">
        <v>15</v>
      </c>
      <c r="AC16" s="96">
        <v>14.97</v>
      </c>
      <c r="AD16" s="86">
        <f t="shared" si="1"/>
        <v>2.25</v>
      </c>
      <c r="AE16" s="110">
        <v>36</v>
      </c>
      <c r="AF16" s="127">
        <v>38.5</v>
      </c>
      <c r="AG16" s="128">
        <v>39</v>
      </c>
      <c r="AH16" s="129">
        <v>61.7</v>
      </c>
      <c r="AI16" s="127">
        <v>59.75</v>
      </c>
      <c r="AJ16" s="127">
        <v>57.3</v>
      </c>
      <c r="AK16" s="127">
        <v>56.95</v>
      </c>
      <c r="AL16" s="127">
        <v>48.9</v>
      </c>
      <c r="AM16" s="127">
        <v>50.1</v>
      </c>
      <c r="AN16" s="127">
        <v>58.3</v>
      </c>
      <c r="AO16" s="127">
        <v>50.15</v>
      </c>
      <c r="AP16" s="127">
        <v>63.15</v>
      </c>
      <c r="AQ16" s="127">
        <v>65.25</v>
      </c>
      <c r="AR16" s="127">
        <v>56.4</v>
      </c>
      <c r="AS16" s="127">
        <v>48.8</v>
      </c>
      <c r="AT16" s="127">
        <v>47.75</v>
      </c>
      <c r="AU16" s="127">
        <v>48.6</v>
      </c>
      <c r="AV16" s="127">
        <v>56.45</v>
      </c>
      <c r="AW16" s="127">
        <v>51.65</v>
      </c>
      <c r="AX16" s="127">
        <v>50.7</v>
      </c>
      <c r="AY16" s="127">
        <v>49.25</v>
      </c>
    </row>
    <row r="17" spans="1:51" ht="12.75" customHeight="1">
      <c r="A17" s="13">
        <v>15</v>
      </c>
      <c r="B17" s="115">
        <v>16.170000000000002</v>
      </c>
      <c r="C17" s="115">
        <v>16.52</v>
      </c>
      <c r="D17" s="115">
        <v>18.14</v>
      </c>
      <c r="E17" s="115">
        <v>21.51</v>
      </c>
      <c r="F17" s="115">
        <v>30.41</v>
      </c>
      <c r="G17" s="130">
        <v>36.159999999999997</v>
      </c>
      <c r="H17" s="115">
        <v>43.2</v>
      </c>
      <c r="I17" s="115">
        <v>47.36</v>
      </c>
      <c r="J17" s="79">
        <v>51</v>
      </c>
      <c r="K17" s="86">
        <v>108.83</v>
      </c>
      <c r="M17" s="131">
        <f t="shared" si="0"/>
        <v>0.99993750000000003</v>
      </c>
      <c r="N17" s="132">
        <v>15.999000000000001</v>
      </c>
      <c r="O17" s="114">
        <v>6.01</v>
      </c>
      <c r="P17" s="114">
        <v>6.11</v>
      </c>
      <c r="Q17" s="114">
        <v>6.2</v>
      </c>
      <c r="R17" s="114">
        <v>6.74</v>
      </c>
      <c r="S17" s="114">
        <v>7.32</v>
      </c>
      <c r="T17" s="114">
        <v>7.6</v>
      </c>
      <c r="U17" s="114">
        <v>7.8</v>
      </c>
      <c r="V17" s="114">
        <v>8.1199999999999992</v>
      </c>
      <c r="W17" s="114">
        <v>8.4</v>
      </c>
      <c r="X17" s="114">
        <v>8.4</v>
      </c>
      <c r="Y17" s="104"/>
      <c r="Z17" s="104"/>
      <c r="AB17" s="60">
        <v>16</v>
      </c>
      <c r="AC17" s="96">
        <v>15.72</v>
      </c>
      <c r="AD17" s="86">
        <f t="shared" si="1"/>
        <v>2.5</v>
      </c>
      <c r="AE17" s="110">
        <v>40</v>
      </c>
      <c r="AF17" s="127">
        <v>38.5</v>
      </c>
      <c r="AG17" s="128">
        <v>39</v>
      </c>
      <c r="AH17" s="129">
        <v>61.7</v>
      </c>
      <c r="AI17" s="127">
        <v>59.75</v>
      </c>
      <c r="AJ17" s="127">
        <v>57.3</v>
      </c>
      <c r="AK17" s="127">
        <v>56.95</v>
      </c>
      <c r="AL17" s="127">
        <v>48.9</v>
      </c>
      <c r="AM17" s="127">
        <v>50.1</v>
      </c>
      <c r="AN17" s="127">
        <v>58.3</v>
      </c>
      <c r="AO17" s="127">
        <v>50.15</v>
      </c>
      <c r="AP17" s="127">
        <v>63.15</v>
      </c>
      <c r="AQ17" s="127">
        <v>65.25</v>
      </c>
      <c r="AR17" s="127">
        <v>56.4</v>
      </c>
      <c r="AS17" s="127">
        <v>48.8</v>
      </c>
      <c r="AT17" s="127">
        <v>47.75</v>
      </c>
      <c r="AU17" s="127">
        <v>48.6</v>
      </c>
      <c r="AV17" s="127">
        <v>56.45</v>
      </c>
      <c r="AW17" s="127">
        <v>51.65</v>
      </c>
      <c r="AX17" s="127">
        <v>50.7</v>
      </c>
      <c r="AY17" s="127">
        <v>49.25</v>
      </c>
    </row>
    <row r="18" spans="1:51" ht="12.75" customHeight="1">
      <c r="A18" s="31">
        <v>16</v>
      </c>
      <c r="B18" s="117">
        <v>16.71</v>
      </c>
      <c r="C18" s="117">
        <v>17.07</v>
      </c>
      <c r="D18" s="117">
        <v>18.82</v>
      </c>
      <c r="E18" s="121">
        <v>22.27</v>
      </c>
      <c r="F18" s="121">
        <v>32.1</v>
      </c>
      <c r="G18" s="122">
        <v>38.14</v>
      </c>
      <c r="H18" s="121">
        <v>45.62</v>
      </c>
      <c r="I18" s="121">
        <v>49.95</v>
      </c>
      <c r="J18" s="76">
        <v>53.6</v>
      </c>
      <c r="K18" s="86">
        <v>114.39</v>
      </c>
      <c r="N18" s="100">
        <v>1</v>
      </c>
      <c r="O18" s="60">
        <v>6.01</v>
      </c>
      <c r="P18" s="60">
        <v>6.11</v>
      </c>
      <c r="Q18" s="60">
        <v>6.2</v>
      </c>
      <c r="R18" s="60">
        <v>6.74</v>
      </c>
      <c r="S18" s="60">
        <v>7.32</v>
      </c>
      <c r="T18" s="60">
        <v>8.35</v>
      </c>
      <c r="U18" s="60">
        <v>8.6199999999999992</v>
      </c>
      <c r="V18" s="60">
        <v>9.35</v>
      </c>
      <c r="W18" s="60">
        <v>10.67</v>
      </c>
      <c r="X18" s="60">
        <v>10.67</v>
      </c>
      <c r="AB18" s="60">
        <v>17</v>
      </c>
      <c r="AC18" s="96">
        <v>16.47</v>
      </c>
      <c r="AD18" s="86">
        <f t="shared" si="1"/>
        <v>2.75</v>
      </c>
      <c r="AE18" s="110">
        <v>44</v>
      </c>
      <c r="AF18" s="127">
        <v>38.5</v>
      </c>
      <c r="AG18" s="128">
        <v>39</v>
      </c>
      <c r="AH18" s="129">
        <v>61.7</v>
      </c>
      <c r="AI18" s="127">
        <v>59.75</v>
      </c>
      <c r="AJ18" s="127">
        <v>57.3</v>
      </c>
      <c r="AK18" s="127">
        <v>56.95</v>
      </c>
      <c r="AL18" s="127">
        <v>48.9</v>
      </c>
      <c r="AM18" s="127">
        <v>50.1</v>
      </c>
      <c r="AN18" s="127">
        <v>58.3</v>
      </c>
      <c r="AO18" s="127">
        <v>50.15</v>
      </c>
      <c r="AP18" s="127">
        <v>63.15</v>
      </c>
      <c r="AQ18" s="127">
        <v>65.25</v>
      </c>
      <c r="AR18" s="127">
        <v>56.4</v>
      </c>
      <c r="AS18" s="127">
        <v>48.8</v>
      </c>
      <c r="AT18" s="127">
        <v>47.75</v>
      </c>
      <c r="AU18" s="127">
        <v>48.6</v>
      </c>
      <c r="AV18" s="127">
        <v>56.45</v>
      </c>
      <c r="AW18" s="127">
        <v>51.65</v>
      </c>
      <c r="AX18" s="127">
        <v>50.7</v>
      </c>
      <c r="AY18" s="127">
        <v>49.25</v>
      </c>
    </row>
    <row r="19" spans="1:51" ht="12.75" customHeight="1">
      <c r="A19" s="19">
        <v>17</v>
      </c>
      <c r="B19" s="120">
        <v>17.239999999999998</v>
      </c>
      <c r="C19" s="120">
        <v>17.64</v>
      </c>
      <c r="D19" s="120">
        <v>19.600000000000001</v>
      </c>
      <c r="E19" s="121">
        <v>24.23</v>
      </c>
      <c r="F19" s="121">
        <v>35.299999999999997</v>
      </c>
      <c r="G19" s="122">
        <v>40.19</v>
      </c>
      <c r="H19" s="121">
        <v>48.14</v>
      </c>
      <c r="I19" s="121">
        <v>52.56</v>
      </c>
      <c r="J19" s="76">
        <v>56.4</v>
      </c>
      <c r="K19" s="86">
        <v>120.37</v>
      </c>
      <c r="N19" s="100">
        <v>2</v>
      </c>
      <c r="O19" s="60">
        <v>6.01</v>
      </c>
      <c r="P19" s="60">
        <v>6.11</v>
      </c>
      <c r="Q19" s="60">
        <v>6.2</v>
      </c>
      <c r="R19" s="60">
        <v>6.74</v>
      </c>
      <c r="S19" s="60">
        <v>7.32</v>
      </c>
      <c r="T19" s="60">
        <v>8.5500000000000007</v>
      </c>
      <c r="U19" s="60">
        <v>8.9499999999999993</v>
      </c>
      <c r="V19" s="60">
        <v>9.9600000000000009</v>
      </c>
      <c r="W19" s="60">
        <v>12.87</v>
      </c>
      <c r="X19" s="60">
        <v>12.87</v>
      </c>
      <c r="AB19" s="60">
        <v>18</v>
      </c>
      <c r="AC19" s="96">
        <v>17.22</v>
      </c>
      <c r="AD19" s="86">
        <f t="shared" si="1"/>
        <v>3</v>
      </c>
      <c r="AE19" s="110">
        <v>48</v>
      </c>
      <c r="AF19" s="127">
        <v>38.5</v>
      </c>
      <c r="AG19" s="128">
        <v>39</v>
      </c>
      <c r="AH19" s="129">
        <v>61.7</v>
      </c>
      <c r="AI19" s="127">
        <v>59.75</v>
      </c>
      <c r="AJ19" s="127">
        <v>57.3</v>
      </c>
      <c r="AK19" s="127">
        <v>56.95</v>
      </c>
      <c r="AL19" s="127">
        <v>48.9</v>
      </c>
      <c r="AM19" s="127">
        <v>50.1</v>
      </c>
      <c r="AN19" s="127">
        <v>58.3</v>
      </c>
      <c r="AO19" s="127">
        <v>50.15</v>
      </c>
      <c r="AP19" s="127">
        <v>63.15</v>
      </c>
      <c r="AQ19" s="127">
        <v>65.25</v>
      </c>
      <c r="AR19" s="127">
        <v>56.4</v>
      </c>
      <c r="AS19" s="127">
        <v>48.8</v>
      </c>
      <c r="AT19" s="127">
        <v>47.75</v>
      </c>
      <c r="AU19" s="127">
        <v>48.6</v>
      </c>
      <c r="AV19" s="127">
        <v>56.45</v>
      </c>
      <c r="AW19" s="127">
        <v>51.65</v>
      </c>
      <c r="AX19" s="127">
        <v>50.7</v>
      </c>
      <c r="AY19" s="127">
        <v>49.25</v>
      </c>
    </row>
    <row r="20" spans="1:51" ht="12.75" customHeight="1">
      <c r="A20" s="19">
        <v>18</v>
      </c>
      <c r="B20" s="120">
        <v>17.68</v>
      </c>
      <c r="C20" s="120">
        <v>18.079999999999998</v>
      </c>
      <c r="D20" s="120">
        <v>20.420000000000002</v>
      </c>
      <c r="E20" s="121">
        <v>25.41</v>
      </c>
      <c r="F20" s="121">
        <v>37.36</v>
      </c>
      <c r="G20" s="122">
        <v>42.37</v>
      </c>
      <c r="H20" s="121">
        <v>50.8</v>
      </c>
      <c r="I20" s="121">
        <v>55.24</v>
      </c>
      <c r="J20" s="76">
        <v>59.22</v>
      </c>
      <c r="K20" s="86">
        <v>126.38</v>
      </c>
      <c r="N20" s="100">
        <v>3</v>
      </c>
      <c r="O20" s="60">
        <v>6.51</v>
      </c>
      <c r="P20" s="60">
        <v>6.51</v>
      </c>
      <c r="Q20" s="60">
        <v>6.84</v>
      </c>
      <c r="R20" s="60">
        <v>7.32</v>
      </c>
      <c r="S20" s="60">
        <v>8.6300000000000008</v>
      </c>
      <c r="T20" s="60">
        <v>10.32</v>
      </c>
      <c r="U20" s="60">
        <v>10.88</v>
      </c>
      <c r="V20" s="60">
        <v>12.13</v>
      </c>
      <c r="W20" s="60">
        <v>15.75</v>
      </c>
      <c r="X20" s="60">
        <v>15.75</v>
      </c>
      <c r="AB20" s="60">
        <v>19</v>
      </c>
      <c r="AC20" s="96">
        <v>17.97</v>
      </c>
      <c r="AD20" s="86">
        <f t="shared" si="1"/>
        <v>3.25</v>
      </c>
      <c r="AE20" s="110">
        <v>52</v>
      </c>
      <c r="AF20" s="127">
        <v>47.6</v>
      </c>
      <c r="AG20" s="128">
        <v>51.05</v>
      </c>
      <c r="AH20" s="129">
        <v>74.349999999999994</v>
      </c>
      <c r="AI20" s="127">
        <v>78.3</v>
      </c>
      <c r="AJ20" s="127">
        <v>72.599999999999994</v>
      </c>
      <c r="AK20" s="127">
        <v>69.849999999999994</v>
      </c>
      <c r="AL20" s="127">
        <v>66.25</v>
      </c>
      <c r="AM20" s="127">
        <v>67.5</v>
      </c>
      <c r="AN20" s="127">
        <v>75.55</v>
      </c>
      <c r="AO20" s="127">
        <v>68.650000000000006</v>
      </c>
      <c r="AP20" s="127">
        <v>80.849999999999994</v>
      </c>
      <c r="AQ20" s="127">
        <v>79.099999999999994</v>
      </c>
      <c r="AR20" s="127">
        <v>75.7</v>
      </c>
      <c r="AS20" s="127">
        <v>66.7</v>
      </c>
      <c r="AT20" s="127">
        <v>65.05</v>
      </c>
      <c r="AU20" s="127">
        <v>66.25</v>
      </c>
      <c r="AV20" s="127">
        <v>71.900000000000006</v>
      </c>
      <c r="AW20" s="127">
        <v>67.3</v>
      </c>
      <c r="AX20" s="127">
        <v>70</v>
      </c>
      <c r="AY20" s="127">
        <v>64.25</v>
      </c>
    </row>
    <row r="21" spans="1:51" ht="12.75" customHeight="1">
      <c r="A21" s="19">
        <v>19</v>
      </c>
      <c r="B21" s="120">
        <v>17.940000000000001</v>
      </c>
      <c r="C21" s="120">
        <v>18.36</v>
      </c>
      <c r="D21" s="120">
        <v>20.7</v>
      </c>
      <c r="E21" s="121">
        <v>25.94</v>
      </c>
      <c r="F21" s="121">
        <v>38.43</v>
      </c>
      <c r="G21" s="122">
        <v>43.57</v>
      </c>
      <c r="H21" s="121">
        <v>52.34</v>
      </c>
      <c r="I21" s="121">
        <v>57.09</v>
      </c>
      <c r="J21" s="76">
        <v>62.42</v>
      </c>
      <c r="K21" s="86">
        <v>133.22</v>
      </c>
      <c r="N21" s="100">
        <v>4</v>
      </c>
      <c r="O21" s="60">
        <v>6.83</v>
      </c>
      <c r="P21" s="60">
        <v>6.87</v>
      </c>
      <c r="Q21" s="60">
        <v>7.27</v>
      </c>
      <c r="R21" s="60">
        <v>8.09</v>
      </c>
      <c r="S21" s="60">
        <v>9.67</v>
      </c>
      <c r="T21" s="60">
        <v>11.73</v>
      </c>
      <c r="U21" s="60">
        <v>12.45</v>
      </c>
      <c r="V21" s="60">
        <v>14.07</v>
      </c>
      <c r="W21" s="60">
        <v>18.010000000000002</v>
      </c>
      <c r="X21" s="60">
        <v>18.010000000000002</v>
      </c>
      <c r="AB21" s="60">
        <v>20</v>
      </c>
      <c r="AC21" s="96">
        <v>18.72</v>
      </c>
      <c r="AD21" s="86">
        <f t="shared" si="1"/>
        <v>3.5</v>
      </c>
      <c r="AE21" s="110">
        <v>56</v>
      </c>
      <c r="AF21" s="127">
        <v>47.6</v>
      </c>
      <c r="AG21" s="128">
        <v>51.05</v>
      </c>
      <c r="AH21" s="129">
        <v>74.349999999999994</v>
      </c>
      <c r="AI21" s="127">
        <v>78.3</v>
      </c>
      <c r="AJ21" s="127">
        <v>72.599999999999994</v>
      </c>
      <c r="AK21" s="127">
        <v>69.849999999999994</v>
      </c>
      <c r="AL21" s="127">
        <v>66.25</v>
      </c>
      <c r="AM21" s="127">
        <v>67.5</v>
      </c>
      <c r="AN21" s="127">
        <v>75.55</v>
      </c>
      <c r="AO21" s="127">
        <v>68.650000000000006</v>
      </c>
      <c r="AP21" s="127">
        <v>80.849999999999994</v>
      </c>
      <c r="AQ21" s="127">
        <v>79.099999999999994</v>
      </c>
      <c r="AR21" s="127">
        <v>75.7</v>
      </c>
      <c r="AS21" s="127">
        <v>66.7</v>
      </c>
      <c r="AT21" s="127">
        <v>65.05</v>
      </c>
      <c r="AU21" s="127">
        <v>66.25</v>
      </c>
      <c r="AV21" s="127">
        <v>71.900000000000006</v>
      </c>
      <c r="AW21" s="127">
        <v>67.3</v>
      </c>
      <c r="AX21" s="127">
        <v>70</v>
      </c>
      <c r="AY21" s="127">
        <v>64.25</v>
      </c>
    </row>
    <row r="22" spans="1:51" ht="12.75" customHeight="1">
      <c r="A22" s="19">
        <v>20</v>
      </c>
      <c r="B22" s="123">
        <v>18.190000000000001</v>
      </c>
      <c r="C22" s="123">
        <v>18.62</v>
      </c>
      <c r="D22" s="123">
        <v>21.09</v>
      </c>
      <c r="E22" s="124">
        <v>26.46</v>
      </c>
      <c r="F22" s="124">
        <v>39.590000000000003</v>
      </c>
      <c r="G22" s="125">
        <v>45.08</v>
      </c>
      <c r="H22" s="124">
        <v>54.12</v>
      </c>
      <c r="I22" s="124">
        <v>59.12</v>
      </c>
      <c r="J22" s="77">
        <v>64.47</v>
      </c>
      <c r="K22" s="86">
        <v>137.58000000000001</v>
      </c>
      <c r="N22" s="100">
        <v>5</v>
      </c>
      <c r="O22" s="60">
        <v>6.97</v>
      </c>
      <c r="P22" s="60">
        <v>7.02</v>
      </c>
      <c r="Q22" s="60">
        <v>7.47</v>
      </c>
      <c r="R22" s="60">
        <v>8.36</v>
      </c>
      <c r="S22" s="60">
        <v>10.1</v>
      </c>
      <c r="T22" s="60">
        <v>12.3</v>
      </c>
      <c r="U22" s="60">
        <v>13.09</v>
      </c>
      <c r="V22" s="60">
        <v>14.89</v>
      </c>
      <c r="W22" s="60">
        <v>19.190000000000001</v>
      </c>
      <c r="X22" s="60">
        <v>19.190000000000001</v>
      </c>
      <c r="AB22" s="60">
        <v>21</v>
      </c>
      <c r="AC22" s="96">
        <v>19.47</v>
      </c>
      <c r="AD22" s="86">
        <f t="shared" si="1"/>
        <v>3.75</v>
      </c>
      <c r="AE22" s="110">
        <v>60</v>
      </c>
      <c r="AF22" s="127">
        <v>47.6</v>
      </c>
      <c r="AG22" s="128">
        <v>51.05</v>
      </c>
      <c r="AH22" s="129">
        <v>74.349999999999994</v>
      </c>
      <c r="AI22" s="127">
        <v>78.3</v>
      </c>
      <c r="AJ22" s="127">
        <v>72.599999999999994</v>
      </c>
      <c r="AK22" s="127">
        <v>69.849999999999994</v>
      </c>
      <c r="AL22" s="127">
        <v>66.25</v>
      </c>
      <c r="AM22" s="127">
        <v>67.5</v>
      </c>
      <c r="AN22" s="127">
        <v>75.55</v>
      </c>
      <c r="AO22" s="127">
        <v>68.650000000000006</v>
      </c>
      <c r="AP22" s="127">
        <v>80.849999999999994</v>
      </c>
      <c r="AQ22" s="127">
        <v>79.099999999999994</v>
      </c>
      <c r="AR22" s="127">
        <v>75.7</v>
      </c>
      <c r="AS22" s="127">
        <v>66.7</v>
      </c>
      <c r="AT22" s="127">
        <v>65.05</v>
      </c>
      <c r="AU22" s="127">
        <v>66.25</v>
      </c>
      <c r="AV22" s="127">
        <v>71.900000000000006</v>
      </c>
      <c r="AW22" s="127">
        <v>67.3</v>
      </c>
      <c r="AX22" s="127">
        <v>70</v>
      </c>
      <c r="AY22" s="127">
        <v>64.25</v>
      </c>
    </row>
    <row r="23" spans="1:51" ht="12.75" customHeight="1">
      <c r="A23" s="32">
        <v>21</v>
      </c>
      <c r="B23" s="111">
        <v>20.56</v>
      </c>
      <c r="C23" s="111">
        <v>20.69</v>
      </c>
      <c r="D23" s="111">
        <v>23.54</v>
      </c>
      <c r="E23" s="113">
        <v>28.29</v>
      </c>
      <c r="F23" s="113">
        <v>44.81</v>
      </c>
      <c r="G23" s="126">
        <v>53.02</v>
      </c>
      <c r="H23" s="113">
        <v>62.83</v>
      </c>
      <c r="I23" s="113">
        <v>68.06</v>
      </c>
      <c r="J23" s="78">
        <v>68.06</v>
      </c>
      <c r="K23" s="86">
        <v>145.25</v>
      </c>
      <c r="N23" s="100">
        <v>6</v>
      </c>
      <c r="O23" s="60">
        <v>7.22</v>
      </c>
      <c r="P23" s="60">
        <v>7.27</v>
      </c>
      <c r="Q23" s="60">
        <v>7.77</v>
      </c>
      <c r="R23" s="60">
        <v>8.77</v>
      </c>
      <c r="S23" s="60">
        <v>10.73</v>
      </c>
      <c r="T23" s="60">
        <v>13.17</v>
      </c>
      <c r="U23" s="60">
        <v>14.08</v>
      </c>
      <c r="V23" s="60">
        <v>16.13</v>
      </c>
      <c r="W23" s="60">
        <v>20.68</v>
      </c>
      <c r="X23" s="60">
        <v>20.68</v>
      </c>
      <c r="AB23" s="60">
        <v>22</v>
      </c>
      <c r="AC23" s="96">
        <v>20.22</v>
      </c>
      <c r="AD23" s="86">
        <f t="shared" si="1"/>
        <v>4</v>
      </c>
      <c r="AE23" s="133">
        <v>64</v>
      </c>
      <c r="AF23" s="127">
        <v>47.6</v>
      </c>
      <c r="AG23" s="128">
        <v>51.05</v>
      </c>
      <c r="AH23" s="129">
        <v>74.349999999999994</v>
      </c>
      <c r="AI23" s="127">
        <v>78.3</v>
      </c>
      <c r="AJ23" s="127">
        <v>72.599999999999994</v>
      </c>
      <c r="AK23" s="127">
        <v>69.849999999999994</v>
      </c>
      <c r="AL23" s="127">
        <v>66.25</v>
      </c>
      <c r="AM23" s="127">
        <v>67.5</v>
      </c>
      <c r="AN23" s="127">
        <v>75.55</v>
      </c>
      <c r="AO23" s="127">
        <v>68.650000000000006</v>
      </c>
      <c r="AP23" s="127">
        <v>80.849999999999994</v>
      </c>
      <c r="AQ23" s="127">
        <v>79.099999999999994</v>
      </c>
      <c r="AR23" s="127">
        <v>75.7</v>
      </c>
      <c r="AS23" s="127">
        <v>66.7</v>
      </c>
      <c r="AT23" s="127">
        <v>65.05</v>
      </c>
      <c r="AU23" s="127">
        <v>66.25</v>
      </c>
      <c r="AV23" s="127">
        <v>71.900000000000006</v>
      </c>
      <c r="AW23" s="127">
        <v>67.3</v>
      </c>
      <c r="AX23" s="127">
        <v>70</v>
      </c>
      <c r="AY23" s="127">
        <v>64.25</v>
      </c>
    </row>
    <row r="24" spans="1:51" ht="12.75" customHeight="1">
      <c r="A24" s="13">
        <v>22</v>
      </c>
      <c r="B24" s="113">
        <v>22.3</v>
      </c>
      <c r="C24" s="113">
        <v>22.93</v>
      </c>
      <c r="D24" s="113">
        <v>25.94</v>
      </c>
      <c r="E24" s="113">
        <v>31.08</v>
      </c>
      <c r="F24" s="113">
        <v>47.75</v>
      </c>
      <c r="G24" s="126">
        <v>57.77</v>
      </c>
      <c r="H24" s="113">
        <v>69.069999999999993</v>
      </c>
      <c r="I24" s="113">
        <v>76.400000000000006</v>
      </c>
      <c r="J24" s="78">
        <v>76.400000000000006</v>
      </c>
      <c r="K24" s="86">
        <v>163.05000000000001</v>
      </c>
      <c r="N24" s="100">
        <v>7</v>
      </c>
      <c r="O24" s="60">
        <v>7.34</v>
      </c>
      <c r="P24" s="60">
        <v>7.39</v>
      </c>
      <c r="Q24" s="60">
        <v>7.92</v>
      </c>
      <c r="R24" s="60">
        <v>8.99</v>
      </c>
      <c r="S24" s="60">
        <v>11.09</v>
      </c>
      <c r="T24" s="60">
        <v>13.66</v>
      </c>
      <c r="U24" s="60">
        <v>14.64</v>
      </c>
      <c r="V24" s="60">
        <v>16.82</v>
      </c>
      <c r="W24" s="60">
        <v>21.83</v>
      </c>
      <c r="X24" s="60">
        <v>21.83</v>
      </c>
      <c r="AB24" s="60">
        <v>23</v>
      </c>
      <c r="AC24" s="96">
        <v>20.97</v>
      </c>
    </row>
    <row r="25" spans="1:51" ht="12.75" customHeight="1">
      <c r="A25" s="13">
        <v>23</v>
      </c>
      <c r="B25" s="113">
        <v>24.03</v>
      </c>
      <c r="C25" s="113">
        <v>25.15</v>
      </c>
      <c r="D25" s="113">
        <v>28.33</v>
      </c>
      <c r="E25" s="113">
        <v>33.89</v>
      </c>
      <c r="F25" s="113">
        <v>50.68</v>
      </c>
      <c r="G25" s="126">
        <v>62.52</v>
      </c>
      <c r="H25" s="113">
        <v>75.31</v>
      </c>
      <c r="I25" s="113">
        <v>84.73</v>
      </c>
      <c r="J25" s="78">
        <v>84.73</v>
      </c>
      <c r="K25" s="86">
        <v>180.81</v>
      </c>
      <c r="N25" s="100">
        <v>8</v>
      </c>
      <c r="O25" s="60">
        <v>7.45</v>
      </c>
      <c r="P25" s="60">
        <v>7.5</v>
      </c>
      <c r="Q25" s="60">
        <v>8.06</v>
      </c>
      <c r="R25" s="60">
        <v>9.17</v>
      </c>
      <c r="S25" s="60">
        <v>11.4</v>
      </c>
      <c r="T25" s="60">
        <v>14.07</v>
      </c>
      <c r="U25" s="60">
        <v>15.12</v>
      </c>
      <c r="V25" s="60">
        <v>17.41</v>
      </c>
      <c r="W25" s="60">
        <v>22.9</v>
      </c>
      <c r="X25" s="60">
        <v>22.9</v>
      </c>
      <c r="AB25" s="60">
        <v>24</v>
      </c>
      <c r="AC25" s="96">
        <v>21.72</v>
      </c>
    </row>
    <row r="26" spans="1:51" ht="12.75" customHeight="1">
      <c r="A26" s="13">
        <v>24</v>
      </c>
      <c r="B26" s="113">
        <v>25.77</v>
      </c>
      <c r="C26" s="113">
        <v>27.39</v>
      </c>
      <c r="D26" s="113">
        <v>30.73</v>
      </c>
      <c r="E26" s="113">
        <v>36.69</v>
      </c>
      <c r="F26" s="113">
        <v>53.63</v>
      </c>
      <c r="G26" s="126">
        <v>67.260000000000005</v>
      </c>
      <c r="H26" s="113">
        <v>81.540000000000006</v>
      </c>
      <c r="I26" s="113">
        <v>93.06</v>
      </c>
      <c r="J26" s="78">
        <v>93.06</v>
      </c>
      <c r="K26" s="86">
        <v>198.61</v>
      </c>
      <c r="N26" s="100">
        <v>9</v>
      </c>
      <c r="O26" s="60">
        <v>7.6</v>
      </c>
      <c r="P26" s="60">
        <v>7.65</v>
      </c>
      <c r="Q26" s="60">
        <v>8.23</v>
      </c>
      <c r="R26" s="60">
        <v>9.4</v>
      </c>
      <c r="S26" s="60">
        <v>11.78</v>
      </c>
      <c r="T26" s="60">
        <v>14.58</v>
      </c>
      <c r="U26" s="60">
        <v>15.72</v>
      </c>
      <c r="V26" s="60">
        <v>18.16</v>
      </c>
      <c r="W26" s="60">
        <v>24.09</v>
      </c>
      <c r="X26" s="60">
        <v>24.09</v>
      </c>
      <c r="AB26" s="60">
        <v>25</v>
      </c>
      <c r="AC26" s="96">
        <v>22.47</v>
      </c>
    </row>
    <row r="27" spans="1:51" ht="12.75" customHeight="1">
      <c r="A27" s="16">
        <v>25</v>
      </c>
      <c r="B27" s="115">
        <v>27.5</v>
      </c>
      <c r="C27" s="115">
        <v>29.61</v>
      </c>
      <c r="D27" s="115">
        <v>33.11</v>
      </c>
      <c r="E27" s="115">
        <v>39.5</v>
      </c>
      <c r="F27" s="115">
        <v>56.57</v>
      </c>
      <c r="G27" s="130">
        <v>72.010000000000005</v>
      </c>
      <c r="H27" s="115">
        <v>87.78</v>
      </c>
      <c r="I27" s="115">
        <v>101.39</v>
      </c>
      <c r="J27" s="79">
        <v>101.39</v>
      </c>
      <c r="K27" s="86">
        <v>216.38</v>
      </c>
      <c r="N27" s="100">
        <v>10</v>
      </c>
      <c r="O27" s="60">
        <v>7.77</v>
      </c>
      <c r="P27" s="60">
        <v>7.83</v>
      </c>
      <c r="Q27" s="60">
        <v>8.43</v>
      </c>
      <c r="R27" s="60">
        <v>9.66</v>
      </c>
      <c r="S27" s="60">
        <v>12.18</v>
      </c>
      <c r="T27" s="60">
        <v>15.12</v>
      </c>
      <c r="U27" s="60">
        <v>16.350000000000001</v>
      </c>
      <c r="V27" s="60">
        <v>18.95</v>
      </c>
      <c r="W27" s="60">
        <v>25.34</v>
      </c>
      <c r="X27" s="60">
        <v>25.34</v>
      </c>
      <c r="AB27" s="60">
        <v>26</v>
      </c>
      <c r="AC27" s="96">
        <v>23.22</v>
      </c>
    </row>
    <row r="28" spans="1:51" ht="12.75" customHeight="1">
      <c r="A28" s="19">
        <v>26</v>
      </c>
      <c r="B28" s="117">
        <v>29.24</v>
      </c>
      <c r="C28" s="117">
        <v>31.85</v>
      </c>
      <c r="D28" s="117">
        <v>35.51</v>
      </c>
      <c r="E28" s="121">
        <v>42.29</v>
      </c>
      <c r="F28" s="121">
        <v>59.51</v>
      </c>
      <c r="G28" s="122">
        <v>76.77</v>
      </c>
      <c r="H28" s="121">
        <v>94.01</v>
      </c>
      <c r="I28" s="121">
        <v>109.73</v>
      </c>
      <c r="J28" s="76">
        <v>109.73</v>
      </c>
      <c r="K28" s="86">
        <v>234.18</v>
      </c>
      <c r="N28" s="100">
        <v>11</v>
      </c>
      <c r="O28" s="60">
        <v>8.23</v>
      </c>
      <c r="P28" s="60">
        <v>8.2899999999999991</v>
      </c>
      <c r="Q28" s="60">
        <v>8.9</v>
      </c>
      <c r="R28" s="60">
        <v>10.199999999999999</v>
      </c>
      <c r="S28" s="60">
        <v>12.82</v>
      </c>
      <c r="T28" s="60">
        <v>15.87</v>
      </c>
      <c r="U28" s="60">
        <v>17.23</v>
      </c>
      <c r="V28" s="60">
        <v>20.04</v>
      </c>
      <c r="W28" s="60">
        <v>27.37</v>
      </c>
      <c r="X28" s="60">
        <v>27.37</v>
      </c>
      <c r="AB28" s="60">
        <v>27</v>
      </c>
      <c r="AC28" s="96">
        <v>23.97</v>
      </c>
    </row>
    <row r="29" spans="1:51" ht="12.75" customHeight="1">
      <c r="A29" s="23">
        <v>27</v>
      </c>
      <c r="B29" s="120">
        <v>30.33</v>
      </c>
      <c r="C29" s="120">
        <v>33.17</v>
      </c>
      <c r="D29" s="120">
        <v>37.299999999999997</v>
      </c>
      <c r="E29" s="121">
        <v>45.15</v>
      </c>
      <c r="F29" s="121">
        <v>63.96</v>
      </c>
      <c r="G29" s="122">
        <v>83.72</v>
      </c>
      <c r="H29" s="121">
        <v>103.47</v>
      </c>
      <c r="I29" s="121">
        <v>121.13</v>
      </c>
      <c r="J29" s="76">
        <v>121.13</v>
      </c>
      <c r="K29" s="86">
        <v>258.52</v>
      </c>
      <c r="N29" s="100">
        <v>12</v>
      </c>
      <c r="O29" s="60">
        <v>8.44</v>
      </c>
      <c r="P29" s="60">
        <v>8.5</v>
      </c>
      <c r="Q29" s="60">
        <v>9.15</v>
      </c>
      <c r="R29" s="60">
        <v>10.51</v>
      </c>
      <c r="S29" s="60">
        <v>13.28</v>
      </c>
      <c r="T29" s="60">
        <v>16.510000000000002</v>
      </c>
      <c r="U29" s="60">
        <v>17.940000000000001</v>
      </c>
      <c r="V29" s="60">
        <v>20.92</v>
      </c>
      <c r="W29" s="60">
        <v>28.73</v>
      </c>
      <c r="X29" s="60">
        <v>28.73</v>
      </c>
      <c r="AB29" s="60">
        <v>28</v>
      </c>
      <c r="AC29" s="96">
        <v>24.72</v>
      </c>
    </row>
    <row r="30" spans="1:51" ht="12.75" customHeight="1">
      <c r="A30" s="23">
        <v>28</v>
      </c>
      <c r="B30" s="120">
        <v>31.43</v>
      </c>
      <c r="C30" s="120">
        <v>34.479999999999997</v>
      </c>
      <c r="D30" s="120">
        <v>39.1</v>
      </c>
      <c r="E30" s="121">
        <v>48.05</v>
      </c>
      <c r="F30" s="121">
        <v>68.400000000000006</v>
      </c>
      <c r="G30" s="122">
        <v>86.96</v>
      </c>
      <c r="H30" s="121">
        <v>105.53</v>
      </c>
      <c r="I30" s="122">
        <v>123.92</v>
      </c>
      <c r="J30" s="76">
        <v>123.92</v>
      </c>
      <c r="K30" s="86">
        <v>264.45999999999998</v>
      </c>
      <c r="N30" s="100">
        <v>13</v>
      </c>
      <c r="O30" s="60">
        <v>8.64</v>
      </c>
      <c r="P30" s="60">
        <v>8.7200000000000006</v>
      </c>
      <c r="Q30" s="60">
        <v>9.39</v>
      </c>
      <c r="R30" s="60">
        <v>10.82</v>
      </c>
      <c r="S30" s="60">
        <v>13.75</v>
      </c>
      <c r="T30" s="60">
        <v>17.16</v>
      </c>
      <c r="U30" s="60">
        <v>18.68</v>
      </c>
      <c r="V30" s="60">
        <v>21.83</v>
      </c>
      <c r="W30" s="60">
        <v>30.11</v>
      </c>
      <c r="X30" s="60">
        <v>30.11</v>
      </c>
      <c r="AB30" s="60">
        <v>29</v>
      </c>
      <c r="AC30" s="96">
        <v>25.47</v>
      </c>
    </row>
    <row r="31" spans="1:51" ht="12.75" customHeight="1">
      <c r="A31" s="23">
        <v>29</v>
      </c>
      <c r="B31" s="120">
        <v>32.31</v>
      </c>
      <c r="C31" s="120">
        <v>35.5</v>
      </c>
      <c r="D31" s="120">
        <v>40.28</v>
      </c>
      <c r="E31" s="121">
        <v>49.51</v>
      </c>
      <c r="F31" s="121">
        <v>70.66</v>
      </c>
      <c r="G31" s="122">
        <v>89.12</v>
      </c>
      <c r="H31" s="121">
        <v>107.57</v>
      </c>
      <c r="I31" s="122">
        <v>126.84</v>
      </c>
      <c r="J31" s="76">
        <v>126.84</v>
      </c>
      <c r="K31" s="86">
        <v>270.68</v>
      </c>
      <c r="N31" s="100">
        <v>14</v>
      </c>
      <c r="O31" s="60">
        <v>8.85</v>
      </c>
      <c r="P31" s="60">
        <v>8.94</v>
      </c>
      <c r="Q31" s="60">
        <v>9.6199999999999992</v>
      </c>
      <c r="R31" s="60">
        <v>11.14</v>
      </c>
      <c r="S31" s="60">
        <v>14.24</v>
      </c>
      <c r="T31" s="60">
        <v>17.809999999999999</v>
      </c>
      <c r="U31" s="60">
        <v>19.420000000000002</v>
      </c>
      <c r="V31" s="60">
        <v>22.77</v>
      </c>
      <c r="W31" s="60">
        <v>31.53</v>
      </c>
      <c r="X31" s="60">
        <v>31.53</v>
      </c>
      <c r="AB31" s="60">
        <v>30</v>
      </c>
      <c r="AC31" s="96">
        <v>26.22</v>
      </c>
    </row>
    <row r="32" spans="1:51" ht="12.75" customHeight="1">
      <c r="A32" s="23">
        <v>30</v>
      </c>
      <c r="B32" s="123">
        <v>33.159999999999997</v>
      </c>
      <c r="C32" s="123">
        <v>36.479999999999997</v>
      </c>
      <c r="D32" s="123">
        <v>41.46</v>
      </c>
      <c r="E32" s="124">
        <v>50.94</v>
      </c>
      <c r="F32" s="124">
        <v>72.91</v>
      </c>
      <c r="G32" s="125">
        <v>91.27</v>
      </c>
      <c r="H32" s="124">
        <v>109.61</v>
      </c>
      <c r="I32" s="125">
        <v>129.43</v>
      </c>
      <c r="J32" s="77">
        <v>129.43</v>
      </c>
      <c r="K32" s="86">
        <v>276.22000000000003</v>
      </c>
      <c r="N32" s="100">
        <v>15</v>
      </c>
      <c r="O32" s="60">
        <v>9.0399999999999991</v>
      </c>
      <c r="P32" s="60">
        <v>9.1300000000000008</v>
      </c>
      <c r="Q32" s="60">
        <v>9.85</v>
      </c>
      <c r="R32" s="60">
        <v>11.44</v>
      </c>
      <c r="S32" s="60">
        <v>14.71</v>
      </c>
      <c r="T32" s="60">
        <v>18.489999999999998</v>
      </c>
      <c r="U32" s="60">
        <v>20.18</v>
      </c>
      <c r="V32" s="60">
        <v>23.71</v>
      </c>
      <c r="W32" s="60">
        <v>32.909999999999997</v>
      </c>
      <c r="X32" s="60">
        <v>32.909999999999997</v>
      </c>
      <c r="AB32" s="60">
        <v>31</v>
      </c>
      <c r="AC32" s="96">
        <v>26.97</v>
      </c>
    </row>
    <row r="33" spans="1:29" ht="12.75" customHeight="1">
      <c r="A33" s="9">
        <v>31</v>
      </c>
      <c r="B33" s="111">
        <v>34.03</v>
      </c>
      <c r="C33" s="111">
        <v>37.450000000000003</v>
      </c>
      <c r="D33" s="111">
        <v>42.63</v>
      </c>
      <c r="E33" s="113">
        <v>52.38</v>
      </c>
      <c r="F33" s="113">
        <v>75.150000000000006</v>
      </c>
      <c r="G33" s="126">
        <v>93.4</v>
      </c>
      <c r="H33" s="113">
        <v>111.65</v>
      </c>
      <c r="I33" s="126">
        <v>131.81</v>
      </c>
      <c r="J33" s="78">
        <v>131.81</v>
      </c>
      <c r="K33" s="86">
        <v>281.31</v>
      </c>
      <c r="N33" s="100">
        <v>16</v>
      </c>
      <c r="O33" s="60">
        <v>9.23</v>
      </c>
      <c r="P33" s="60">
        <v>9.33</v>
      </c>
      <c r="Q33" s="60">
        <v>10.07</v>
      </c>
      <c r="R33" s="60">
        <v>11.74</v>
      </c>
      <c r="S33" s="60">
        <v>15.21</v>
      </c>
      <c r="T33" s="60">
        <v>19.170000000000002</v>
      </c>
      <c r="U33" s="60">
        <v>20.94</v>
      </c>
      <c r="V33" s="60">
        <v>24.65</v>
      </c>
      <c r="W33" s="60">
        <v>34.29</v>
      </c>
      <c r="X33" s="60">
        <v>34.29</v>
      </c>
      <c r="AB33" s="60">
        <v>32</v>
      </c>
      <c r="AC33" s="96">
        <v>27.72</v>
      </c>
    </row>
    <row r="34" spans="1:29" ht="12.75" customHeight="1">
      <c r="A34" s="33">
        <v>32</v>
      </c>
      <c r="B34" s="113">
        <v>34.86</v>
      </c>
      <c r="C34" s="113">
        <v>38.43</v>
      </c>
      <c r="D34" s="113">
        <v>43.76</v>
      </c>
      <c r="E34" s="113">
        <v>53.77</v>
      </c>
      <c r="F34" s="113">
        <v>77.319999999999993</v>
      </c>
      <c r="G34" s="126">
        <v>95.52</v>
      </c>
      <c r="H34" s="113">
        <v>113.7</v>
      </c>
      <c r="I34" s="126">
        <v>134.30000000000001</v>
      </c>
      <c r="J34" s="78">
        <v>134.30000000000001</v>
      </c>
      <c r="K34" s="86">
        <v>286.61</v>
      </c>
      <c r="N34" s="100">
        <v>17</v>
      </c>
      <c r="O34" s="60">
        <v>9.41</v>
      </c>
      <c r="P34" s="60">
        <v>9.52</v>
      </c>
      <c r="Q34" s="60">
        <v>10.31</v>
      </c>
      <c r="R34" s="60">
        <v>12.06</v>
      </c>
      <c r="S34" s="60">
        <v>15.64</v>
      </c>
      <c r="T34" s="60">
        <v>19.79</v>
      </c>
      <c r="U34" s="60">
        <v>21.63</v>
      </c>
      <c r="V34" s="60">
        <v>25.51</v>
      </c>
      <c r="W34" s="60">
        <v>35.42</v>
      </c>
      <c r="X34" s="60">
        <v>35.42</v>
      </c>
      <c r="AB34" s="60">
        <v>33</v>
      </c>
      <c r="AC34" s="96">
        <v>28.47</v>
      </c>
    </row>
    <row r="35" spans="1:29" ht="12.75" customHeight="1">
      <c r="A35" s="33">
        <v>33</v>
      </c>
      <c r="B35" s="113">
        <v>35.700000000000003</v>
      </c>
      <c r="C35" s="113">
        <v>39.380000000000003</v>
      </c>
      <c r="D35" s="113">
        <v>44.88</v>
      </c>
      <c r="E35" s="113">
        <v>55.14</v>
      </c>
      <c r="F35" s="113">
        <v>79.48</v>
      </c>
      <c r="G35" s="126">
        <v>97.62</v>
      </c>
      <c r="H35" s="113">
        <v>115.74</v>
      </c>
      <c r="I35" s="126">
        <v>136.61000000000001</v>
      </c>
      <c r="J35" s="78">
        <v>136.61000000000001</v>
      </c>
      <c r="K35" s="86">
        <v>291.55</v>
      </c>
      <c r="N35" s="100">
        <v>18</v>
      </c>
      <c r="O35" s="60">
        <v>9.61</v>
      </c>
      <c r="P35" s="60">
        <v>9.7100000000000009</v>
      </c>
      <c r="Q35" s="60">
        <v>10.55</v>
      </c>
      <c r="R35" s="60">
        <v>12.37</v>
      </c>
      <c r="S35" s="60">
        <v>16.11</v>
      </c>
      <c r="T35" s="60">
        <v>20.440000000000001</v>
      </c>
      <c r="U35" s="60">
        <v>22.36</v>
      </c>
      <c r="V35" s="60">
        <v>26.43</v>
      </c>
      <c r="W35" s="60">
        <v>36.64</v>
      </c>
      <c r="X35" s="60">
        <v>36.64</v>
      </c>
      <c r="AB35" s="60">
        <v>34</v>
      </c>
      <c r="AC35" s="96">
        <v>29.22</v>
      </c>
    </row>
    <row r="36" spans="1:29" ht="12.75" customHeight="1">
      <c r="A36" s="33">
        <v>34</v>
      </c>
      <c r="B36" s="113">
        <v>36.549999999999997</v>
      </c>
      <c r="C36" s="113">
        <v>40.33</v>
      </c>
      <c r="D36" s="113">
        <v>46</v>
      </c>
      <c r="E36" s="113">
        <v>56.52</v>
      </c>
      <c r="F36" s="113">
        <v>81.599999999999994</v>
      </c>
      <c r="G36" s="126">
        <v>99.68</v>
      </c>
      <c r="H36" s="113">
        <v>117.77</v>
      </c>
      <c r="I36" s="126">
        <v>139.03</v>
      </c>
      <c r="J36" s="78">
        <v>139.03</v>
      </c>
      <c r="K36" s="86">
        <v>296.70999999999998</v>
      </c>
      <c r="N36" s="100">
        <v>19</v>
      </c>
      <c r="O36" s="60">
        <v>9.8000000000000007</v>
      </c>
      <c r="P36" s="60">
        <v>9.92</v>
      </c>
      <c r="Q36" s="60">
        <v>10.77</v>
      </c>
      <c r="R36" s="60">
        <v>12.68</v>
      </c>
      <c r="S36" s="60">
        <v>16.57</v>
      </c>
      <c r="T36" s="60">
        <v>21.08</v>
      </c>
      <c r="U36" s="60">
        <v>23.08</v>
      </c>
      <c r="V36" s="60">
        <v>27.33</v>
      </c>
      <c r="W36" s="60">
        <v>37.840000000000003</v>
      </c>
      <c r="X36" s="60">
        <v>37.840000000000003</v>
      </c>
      <c r="AB36" s="60">
        <v>35</v>
      </c>
      <c r="AC36" s="96">
        <v>29.97</v>
      </c>
    </row>
    <row r="37" spans="1:29" ht="12.75" customHeight="1">
      <c r="A37" s="16">
        <v>35</v>
      </c>
      <c r="B37" s="115">
        <v>37.369999999999997</v>
      </c>
      <c r="C37" s="115">
        <v>41.25</v>
      </c>
      <c r="D37" s="115">
        <v>47.08</v>
      </c>
      <c r="E37" s="115">
        <v>57.83</v>
      </c>
      <c r="F37" s="115">
        <v>83.73</v>
      </c>
      <c r="G37" s="130">
        <v>101.78</v>
      </c>
      <c r="H37" s="115">
        <v>119.83</v>
      </c>
      <c r="I37" s="130">
        <v>141.43</v>
      </c>
      <c r="J37" s="79">
        <v>141.43</v>
      </c>
      <c r="K37" s="86">
        <v>301.83</v>
      </c>
      <c r="N37" s="100">
        <v>20</v>
      </c>
      <c r="O37" s="60">
        <v>10.039999999999999</v>
      </c>
      <c r="P37" s="60">
        <v>10.18</v>
      </c>
      <c r="Q37" s="60">
        <v>11.11</v>
      </c>
      <c r="R37" s="60">
        <v>13.02</v>
      </c>
      <c r="S37" s="60">
        <v>17.190000000000001</v>
      </c>
      <c r="T37" s="60">
        <v>22.05</v>
      </c>
      <c r="U37" s="60">
        <v>24.35</v>
      </c>
      <c r="V37" s="60">
        <v>28.67</v>
      </c>
      <c r="W37" s="60">
        <v>40.39</v>
      </c>
      <c r="X37" s="60">
        <v>40.39</v>
      </c>
      <c r="AB37" s="60">
        <v>36</v>
      </c>
      <c r="AC37" s="96">
        <v>30.72</v>
      </c>
    </row>
    <row r="38" spans="1:29" ht="12.75" customHeight="1">
      <c r="A38" s="5">
        <v>36</v>
      </c>
      <c r="B38" s="109">
        <v>38.18</v>
      </c>
      <c r="C38" s="109">
        <v>42.17</v>
      </c>
      <c r="D38" s="109">
        <v>48.14</v>
      </c>
      <c r="E38" s="109">
        <v>59.15</v>
      </c>
      <c r="F38" s="109">
        <v>85.81</v>
      </c>
      <c r="G38" s="109">
        <v>103.84</v>
      </c>
      <c r="H38" s="109">
        <v>121.88</v>
      </c>
      <c r="I38" s="109">
        <v>143.66999999999999</v>
      </c>
      <c r="J38" s="80">
        <v>143.66999999999999</v>
      </c>
      <c r="K38" s="86">
        <v>306.62</v>
      </c>
      <c r="N38" s="100">
        <v>21</v>
      </c>
      <c r="O38" s="60">
        <v>18.48</v>
      </c>
      <c r="P38" s="60">
        <v>19.54</v>
      </c>
      <c r="Q38" s="60">
        <v>20.66</v>
      </c>
      <c r="R38" s="60">
        <v>21.79</v>
      </c>
      <c r="S38" s="60">
        <v>26.13</v>
      </c>
      <c r="T38" s="60">
        <v>31.69</v>
      </c>
      <c r="U38" s="60">
        <v>37.96</v>
      </c>
      <c r="V38" s="60">
        <v>43.01</v>
      </c>
      <c r="W38" s="60">
        <v>43.01</v>
      </c>
      <c r="X38" s="60">
        <v>43.01</v>
      </c>
      <c r="AB38" s="60">
        <v>37</v>
      </c>
      <c r="AC38" s="96">
        <v>31.47</v>
      </c>
    </row>
    <row r="39" spans="1:29" ht="12.75" customHeight="1">
      <c r="A39" s="9">
        <v>37</v>
      </c>
      <c r="B39" s="111">
        <v>39</v>
      </c>
      <c r="C39" s="111">
        <v>43.07</v>
      </c>
      <c r="D39" s="111">
        <v>49.19</v>
      </c>
      <c r="E39" s="81">
        <v>60.45</v>
      </c>
      <c r="F39" s="81">
        <v>87.84</v>
      </c>
      <c r="G39" s="81">
        <v>105.79</v>
      </c>
      <c r="H39" s="81">
        <v>123.71</v>
      </c>
      <c r="I39" s="81">
        <v>146.03</v>
      </c>
      <c r="J39" s="81">
        <v>146.03</v>
      </c>
      <c r="K39" s="86">
        <v>311.64</v>
      </c>
      <c r="N39" s="100">
        <v>22</v>
      </c>
      <c r="O39" s="60">
        <v>19.86</v>
      </c>
      <c r="P39" s="60">
        <v>21.22</v>
      </c>
      <c r="Q39" s="60">
        <v>22.59</v>
      </c>
      <c r="R39" s="60">
        <v>24.07</v>
      </c>
      <c r="S39" s="60">
        <v>29.45</v>
      </c>
      <c r="T39" s="60">
        <v>36.729999999999997</v>
      </c>
      <c r="U39" s="60">
        <v>44.33</v>
      </c>
      <c r="V39" s="60">
        <v>49.74</v>
      </c>
      <c r="W39" s="60">
        <v>49.74</v>
      </c>
      <c r="X39" s="60">
        <v>49.74</v>
      </c>
      <c r="AB39" s="60">
        <v>38</v>
      </c>
      <c r="AC39" s="96">
        <v>32.22</v>
      </c>
    </row>
    <row r="40" spans="1:29" ht="12.75" customHeight="1">
      <c r="A40" s="13">
        <v>38</v>
      </c>
      <c r="B40" s="113">
        <v>39.78</v>
      </c>
      <c r="C40" s="113">
        <v>43.98</v>
      </c>
      <c r="D40" s="113">
        <v>50.23</v>
      </c>
      <c r="E40" s="78">
        <v>61.72</v>
      </c>
      <c r="F40" s="78">
        <v>89.88</v>
      </c>
      <c r="G40" s="78">
        <v>107.72</v>
      </c>
      <c r="H40" s="78">
        <v>125.56</v>
      </c>
      <c r="I40" s="113">
        <v>148.36000000000001</v>
      </c>
      <c r="J40" s="82">
        <v>148.36000000000001</v>
      </c>
      <c r="K40" s="86">
        <v>316.62</v>
      </c>
      <c r="N40" s="100">
        <v>23</v>
      </c>
      <c r="O40" s="60">
        <v>21.51</v>
      </c>
      <c r="P40" s="60">
        <v>23.16</v>
      </c>
      <c r="Q40" s="60">
        <v>24.92</v>
      </c>
      <c r="R40" s="60">
        <v>27.33</v>
      </c>
      <c r="S40" s="60">
        <v>34.049999999999997</v>
      </c>
      <c r="T40" s="60">
        <v>43.29</v>
      </c>
      <c r="U40" s="60">
        <v>52.14</v>
      </c>
      <c r="V40" s="60">
        <v>58.41</v>
      </c>
      <c r="W40" s="60">
        <v>58.41</v>
      </c>
      <c r="X40" s="60">
        <v>58.41</v>
      </c>
      <c r="AB40" s="60">
        <v>39</v>
      </c>
      <c r="AC40" s="96">
        <v>32.97</v>
      </c>
    </row>
    <row r="41" spans="1:29" ht="12.75" customHeight="1">
      <c r="A41" s="13">
        <v>39</v>
      </c>
      <c r="B41" s="113">
        <v>40.56</v>
      </c>
      <c r="C41" s="113">
        <v>44.83</v>
      </c>
      <c r="D41" s="113">
        <v>51.24</v>
      </c>
      <c r="E41" s="78">
        <v>62.96</v>
      </c>
      <c r="F41" s="113">
        <v>91.85</v>
      </c>
      <c r="G41" s="82">
        <v>109.6</v>
      </c>
      <c r="H41" s="78">
        <v>127.34</v>
      </c>
      <c r="I41" s="78">
        <v>150.69</v>
      </c>
      <c r="J41" s="78">
        <v>150.69</v>
      </c>
      <c r="K41" s="86">
        <v>321.60000000000002</v>
      </c>
      <c r="N41" s="100">
        <v>24</v>
      </c>
      <c r="O41" s="60">
        <v>23.44</v>
      </c>
      <c r="P41" s="60">
        <v>25.27</v>
      </c>
      <c r="Q41" s="60">
        <v>27.64</v>
      </c>
      <c r="R41" s="60">
        <v>31.62</v>
      </c>
      <c r="S41" s="60">
        <v>39.94</v>
      </c>
      <c r="T41" s="60">
        <v>51.28</v>
      </c>
      <c r="U41" s="60">
        <v>61.4</v>
      </c>
      <c r="V41" s="60">
        <v>68.97</v>
      </c>
      <c r="W41" s="60">
        <v>68.97</v>
      </c>
      <c r="X41" s="60">
        <v>68.97</v>
      </c>
      <c r="AB41" s="60">
        <v>40</v>
      </c>
      <c r="AC41" s="96">
        <v>33.72</v>
      </c>
    </row>
    <row r="42" spans="1:29" ht="12.75" customHeight="1">
      <c r="A42" s="16">
        <v>40</v>
      </c>
      <c r="B42" s="115">
        <v>41.36</v>
      </c>
      <c r="C42" s="115">
        <v>45.72</v>
      </c>
      <c r="D42" s="115">
        <v>52.23</v>
      </c>
      <c r="E42" s="79">
        <v>64.180000000000007</v>
      </c>
      <c r="F42" s="78">
        <v>93.82</v>
      </c>
      <c r="G42" s="78">
        <v>111.72</v>
      </c>
      <c r="H42" s="78">
        <v>129.63</v>
      </c>
      <c r="I42" s="78">
        <v>152.99</v>
      </c>
      <c r="J42" s="79">
        <v>152.99</v>
      </c>
      <c r="K42" s="86">
        <v>326.51</v>
      </c>
      <c r="N42" s="100">
        <v>25</v>
      </c>
      <c r="O42" s="60">
        <v>25.32</v>
      </c>
      <c r="P42" s="60">
        <v>27.54</v>
      </c>
      <c r="Q42" s="60">
        <v>30.72</v>
      </c>
      <c r="R42" s="60">
        <v>36.6</v>
      </c>
      <c r="S42" s="60">
        <v>46.94</v>
      </c>
      <c r="T42" s="60">
        <v>58.24</v>
      </c>
      <c r="U42" s="60">
        <v>68.86</v>
      </c>
      <c r="V42" s="60">
        <v>78.19</v>
      </c>
      <c r="W42" s="60">
        <v>78.19</v>
      </c>
      <c r="X42" s="60">
        <v>78.19</v>
      </c>
      <c r="AB42" s="60">
        <v>41</v>
      </c>
      <c r="AC42" s="96">
        <v>34.47</v>
      </c>
    </row>
    <row r="43" spans="1:29" ht="12.75" customHeight="1">
      <c r="A43" s="19">
        <v>41</v>
      </c>
      <c r="B43" s="117">
        <v>42.13</v>
      </c>
      <c r="C43" s="117">
        <v>46.57</v>
      </c>
      <c r="D43" s="117">
        <v>53.22</v>
      </c>
      <c r="E43" s="118">
        <v>65.39</v>
      </c>
      <c r="F43" s="118">
        <v>95.75</v>
      </c>
      <c r="G43" s="119">
        <v>113.78</v>
      </c>
      <c r="H43" s="118">
        <v>131.80000000000001</v>
      </c>
      <c r="I43" s="118">
        <v>155.26</v>
      </c>
      <c r="J43" s="83">
        <v>155.26</v>
      </c>
      <c r="K43" s="86">
        <v>331.34</v>
      </c>
      <c r="N43" s="100">
        <v>26</v>
      </c>
      <c r="O43" s="60">
        <v>26.27</v>
      </c>
      <c r="P43" s="60">
        <v>28.68</v>
      </c>
      <c r="Q43" s="60">
        <v>32.26</v>
      </c>
      <c r="R43" s="60">
        <v>39.07</v>
      </c>
      <c r="S43" s="60">
        <v>50.46</v>
      </c>
      <c r="T43" s="60">
        <v>61.73</v>
      </c>
      <c r="U43" s="60">
        <v>72.61</v>
      </c>
      <c r="V43" s="60">
        <v>82.8</v>
      </c>
      <c r="W43" s="60">
        <v>82.8</v>
      </c>
      <c r="X43" s="60">
        <v>82.8</v>
      </c>
      <c r="AB43" s="60">
        <v>42</v>
      </c>
      <c r="AC43" s="96">
        <v>35.22</v>
      </c>
    </row>
    <row r="44" spans="1:29" ht="12.75" customHeight="1">
      <c r="A44" s="23">
        <v>42</v>
      </c>
      <c r="B44" s="120">
        <v>42.9</v>
      </c>
      <c r="C44" s="120">
        <v>47.42</v>
      </c>
      <c r="D44" s="120">
        <v>54.17</v>
      </c>
      <c r="E44" s="121">
        <v>66.569999999999993</v>
      </c>
      <c r="F44" s="121">
        <v>97.65</v>
      </c>
      <c r="G44" s="122">
        <v>115.81</v>
      </c>
      <c r="H44" s="121">
        <v>133.96</v>
      </c>
      <c r="I44" s="121">
        <v>157.59</v>
      </c>
      <c r="J44" s="76">
        <v>157.59</v>
      </c>
      <c r="K44" s="86">
        <v>336.32</v>
      </c>
      <c r="N44" s="100">
        <v>27</v>
      </c>
      <c r="O44" s="60">
        <v>27.21</v>
      </c>
      <c r="P44" s="60">
        <v>29.84</v>
      </c>
      <c r="Q44" s="60">
        <v>33.81</v>
      </c>
      <c r="R44" s="60">
        <v>41.58</v>
      </c>
      <c r="S44" s="60">
        <v>53.96</v>
      </c>
      <c r="T44" s="60">
        <v>65.239999999999995</v>
      </c>
      <c r="U44" s="60">
        <v>76.349999999999994</v>
      </c>
      <c r="V44" s="60">
        <v>87.46</v>
      </c>
      <c r="W44" s="60">
        <v>87.46</v>
      </c>
      <c r="X44" s="60">
        <v>87.46</v>
      </c>
      <c r="AB44" s="60">
        <v>43</v>
      </c>
      <c r="AC44" s="96">
        <v>35.97</v>
      </c>
    </row>
    <row r="45" spans="1:29" ht="12.75" customHeight="1">
      <c r="A45" s="19">
        <v>43</v>
      </c>
      <c r="B45" s="120">
        <v>43.66</v>
      </c>
      <c r="C45" s="120">
        <v>48.24</v>
      </c>
      <c r="D45" s="120">
        <v>55.12</v>
      </c>
      <c r="E45" s="121">
        <v>67.73</v>
      </c>
      <c r="F45" s="121">
        <v>99.52</v>
      </c>
      <c r="G45" s="122">
        <v>117.69</v>
      </c>
      <c r="H45" s="121">
        <v>135.86000000000001</v>
      </c>
      <c r="I45" s="121">
        <v>159.81</v>
      </c>
      <c r="J45" s="76">
        <v>159.81</v>
      </c>
      <c r="K45" s="86">
        <v>341.05</v>
      </c>
      <c r="N45" s="100">
        <v>28</v>
      </c>
      <c r="O45" s="60">
        <v>27.97</v>
      </c>
      <c r="P45" s="60">
        <v>30.7</v>
      </c>
      <c r="Q45" s="60">
        <v>34.85</v>
      </c>
      <c r="R45" s="60">
        <v>42.85</v>
      </c>
      <c r="S45" s="60">
        <v>55.75</v>
      </c>
      <c r="T45" s="60">
        <v>67.489999999999995</v>
      </c>
      <c r="U45" s="60">
        <v>79.02</v>
      </c>
      <c r="V45" s="60">
        <v>90.53</v>
      </c>
      <c r="W45" s="60">
        <v>90.53</v>
      </c>
      <c r="X45" s="60">
        <v>90.53</v>
      </c>
      <c r="AB45" s="60">
        <v>44</v>
      </c>
      <c r="AC45" s="96">
        <v>36.72</v>
      </c>
    </row>
    <row r="46" spans="1:29" ht="12.75" customHeight="1">
      <c r="A46" s="19">
        <v>44</v>
      </c>
      <c r="B46" s="120">
        <v>44.41</v>
      </c>
      <c r="C46" s="120">
        <v>49.06</v>
      </c>
      <c r="D46" s="120">
        <v>56.05</v>
      </c>
      <c r="E46" s="121">
        <v>68.86</v>
      </c>
      <c r="F46" s="121">
        <v>101.37</v>
      </c>
      <c r="G46" s="122">
        <v>119.56</v>
      </c>
      <c r="H46" s="121">
        <v>137.72</v>
      </c>
      <c r="I46" s="121">
        <v>161.94999999999999</v>
      </c>
      <c r="J46" s="76">
        <v>161.94999999999999</v>
      </c>
      <c r="K46" s="86">
        <v>345.62</v>
      </c>
      <c r="N46" s="100">
        <v>29</v>
      </c>
      <c r="O46" s="60">
        <v>28.72</v>
      </c>
      <c r="P46" s="60">
        <v>31.55</v>
      </c>
      <c r="Q46" s="60">
        <v>35.869999999999997</v>
      </c>
      <c r="R46" s="60">
        <v>44.11</v>
      </c>
      <c r="S46" s="60">
        <v>57.53</v>
      </c>
      <c r="T46" s="60">
        <v>69.69</v>
      </c>
      <c r="U46" s="60">
        <v>81.650000000000006</v>
      </c>
      <c r="V46" s="60">
        <v>93.58</v>
      </c>
      <c r="W46" s="60">
        <v>93.58</v>
      </c>
      <c r="X46" s="60">
        <v>93.58</v>
      </c>
      <c r="AB46" s="60">
        <v>45</v>
      </c>
      <c r="AC46" s="96">
        <v>37.47</v>
      </c>
    </row>
    <row r="47" spans="1:29" ht="12.75" customHeight="1">
      <c r="A47" s="27">
        <v>45</v>
      </c>
      <c r="B47" s="120">
        <v>45.15</v>
      </c>
      <c r="C47" s="120">
        <v>49.86</v>
      </c>
      <c r="D47" s="123">
        <v>56.95</v>
      </c>
      <c r="E47" s="124">
        <v>69.98</v>
      </c>
      <c r="F47" s="124">
        <v>103.18</v>
      </c>
      <c r="G47" s="125">
        <v>121.38</v>
      </c>
      <c r="H47" s="124">
        <v>139.59</v>
      </c>
      <c r="I47" s="124">
        <v>164.24</v>
      </c>
      <c r="J47" s="77">
        <v>164.24</v>
      </c>
      <c r="K47" s="86">
        <v>350.5</v>
      </c>
      <c r="N47" s="100">
        <v>30</v>
      </c>
      <c r="O47" s="60">
        <v>29.46</v>
      </c>
      <c r="P47" s="60">
        <v>32.380000000000003</v>
      </c>
      <c r="Q47" s="60">
        <v>36.86</v>
      </c>
      <c r="R47" s="60">
        <v>45.34</v>
      </c>
      <c r="S47" s="60">
        <v>59.28</v>
      </c>
      <c r="T47" s="60">
        <v>71.88</v>
      </c>
      <c r="U47" s="60">
        <v>84.24</v>
      </c>
      <c r="V47" s="60">
        <v>96.6</v>
      </c>
      <c r="W47" s="60">
        <v>96.6</v>
      </c>
      <c r="X47" s="60">
        <v>96.6</v>
      </c>
      <c r="AB47" s="60">
        <v>46</v>
      </c>
      <c r="AC47" s="96">
        <v>38.22</v>
      </c>
    </row>
    <row r="48" spans="1:29" ht="12.75" customHeight="1">
      <c r="A48" s="13">
        <v>46</v>
      </c>
      <c r="B48" s="111">
        <v>45.89</v>
      </c>
      <c r="C48" s="111">
        <v>50.67</v>
      </c>
      <c r="D48" s="113">
        <v>57.84</v>
      </c>
      <c r="E48" s="113">
        <v>71.099999999999994</v>
      </c>
      <c r="F48" s="113">
        <v>104.98</v>
      </c>
      <c r="G48" s="126">
        <v>123.18</v>
      </c>
      <c r="H48" s="113">
        <v>141.38999999999999</v>
      </c>
      <c r="I48" s="113">
        <v>166.47</v>
      </c>
      <c r="J48" s="78">
        <v>166.47</v>
      </c>
      <c r="K48" s="86">
        <v>355.28</v>
      </c>
      <c r="N48" s="100">
        <v>31</v>
      </c>
      <c r="O48" s="60">
        <v>30.18</v>
      </c>
      <c r="P48" s="60">
        <v>33.22</v>
      </c>
      <c r="Q48" s="60">
        <v>37.840000000000003</v>
      </c>
      <c r="R48" s="60">
        <v>46.55</v>
      </c>
      <c r="S48" s="60">
        <v>61</v>
      </c>
      <c r="T48" s="60">
        <v>74.02</v>
      </c>
      <c r="U48" s="60">
        <v>86.8</v>
      </c>
      <c r="V48" s="60">
        <v>99.57</v>
      </c>
      <c r="W48" s="60">
        <v>99.57</v>
      </c>
      <c r="X48" s="60">
        <v>99.57</v>
      </c>
      <c r="AB48" s="60">
        <v>47</v>
      </c>
      <c r="AC48" s="96">
        <v>38.97</v>
      </c>
    </row>
    <row r="49" spans="1:29" ht="12.75" customHeight="1">
      <c r="A49" s="13">
        <v>47</v>
      </c>
      <c r="B49" s="113">
        <v>46.6</v>
      </c>
      <c r="C49" s="113">
        <v>51.45</v>
      </c>
      <c r="D49" s="113">
        <v>58.73</v>
      </c>
      <c r="E49" s="113">
        <v>72.150000000000006</v>
      </c>
      <c r="F49" s="113">
        <v>106.73</v>
      </c>
      <c r="G49" s="126">
        <v>124.98</v>
      </c>
      <c r="H49" s="113">
        <v>143.22</v>
      </c>
      <c r="I49" s="113">
        <v>168.66</v>
      </c>
      <c r="J49" s="78">
        <v>168.66</v>
      </c>
      <c r="K49" s="86">
        <v>359.95</v>
      </c>
      <c r="N49" s="100">
        <v>32</v>
      </c>
      <c r="O49" s="60">
        <v>30.9</v>
      </c>
      <c r="P49" s="60">
        <v>34.04</v>
      </c>
      <c r="Q49" s="60">
        <v>38.799999999999997</v>
      </c>
      <c r="R49" s="60">
        <v>47.73</v>
      </c>
      <c r="S49" s="60">
        <v>62.68</v>
      </c>
      <c r="T49" s="60">
        <v>76.13</v>
      </c>
      <c r="U49" s="60">
        <v>89.33</v>
      </c>
      <c r="V49" s="60">
        <v>102.51</v>
      </c>
      <c r="W49" s="60">
        <v>102.51</v>
      </c>
      <c r="X49" s="60">
        <v>102.51</v>
      </c>
      <c r="AB49" s="60">
        <v>48</v>
      </c>
      <c r="AC49" s="96">
        <v>39.72</v>
      </c>
    </row>
    <row r="50" spans="1:29" ht="12.75" customHeight="1">
      <c r="A50" s="13">
        <v>48</v>
      </c>
      <c r="B50" s="113">
        <v>47.34</v>
      </c>
      <c r="C50" s="113">
        <v>52.22</v>
      </c>
      <c r="D50" s="113">
        <v>59.56</v>
      </c>
      <c r="E50" s="113">
        <v>73.209999999999994</v>
      </c>
      <c r="F50" s="113">
        <v>108.48</v>
      </c>
      <c r="G50" s="126">
        <v>126.77</v>
      </c>
      <c r="H50" s="113">
        <v>145.07</v>
      </c>
      <c r="I50" s="113">
        <v>170.87</v>
      </c>
      <c r="J50" s="78">
        <v>170.87</v>
      </c>
      <c r="K50" s="86">
        <v>364.65</v>
      </c>
      <c r="N50" s="100">
        <v>33</v>
      </c>
      <c r="O50" s="60">
        <v>31.62</v>
      </c>
      <c r="P50" s="60">
        <v>34.840000000000003</v>
      </c>
      <c r="Q50" s="60">
        <v>39.75</v>
      </c>
      <c r="R50" s="60">
        <v>48.88</v>
      </c>
      <c r="S50" s="60">
        <v>64.39</v>
      </c>
      <c r="T50" s="60">
        <v>78.239999999999995</v>
      </c>
      <c r="U50" s="60">
        <v>91.83</v>
      </c>
      <c r="V50" s="60">
        <v>105.42</v>
      </c>
      <c r="W50" s="60">
        <v>105.42</v>
      </c>
      <c r="X50" s="60">
        <v>105.42</v>
      </c>
      <c r="AB50" s="60">
        <v>49</v>
      </c>
      <c r="AC50" s="96">
        <v>40.47</v>
      </c>
    </row>
    <row r="51" spans="1:29" ht="12.75" customHeight="1">
      <c r="A51" s="13">
        <v>49</v>
      </c>
      <c r="B51" s="113">
        <v>48.05</v>
      </c>
      <c r="C51" s="113">
        <v>52.98</v>
      </c>
      <c r="D51" s="113">
        <v>60.43</v>
      </c>
      <c r="E51" s="113">
        <v>74.23</v>
      </c>
      <c r="F51" s="113">
        <v>110.17</v>
      </c>
      <c r="G51" s="126">
        <v>128.52000000000001</v>
      </c>
      <c r="H51" s="113">
        <v>146.86000000000001</v>
      </c>
      <c r="I51" s="113">
        <v>173.03</v>
      </c>
      <c r="J51" s="78">
        <v>173.03</v>
      </c>
      <c r="K51" s="86">
        <v>369.26</v>
      </c>
      <c r="N51" s="100">
        <v>34</v>
      </c>
      <c r="O51" s="60">
        <v>32.32</v>
      </c>
      <c r="P51" s="60">
        <v>35.65</v>
      </c>
      <c r="Q51" s="60">
        <v>40.68</v>
      </c>
      <c r="R51" s="60">
        <v>50.04</v>
      </c>
      <c r="S51" s="60">
        <v>66.040000000000006</v>
      </c>
      <c r="T51" s="60">
        <v>80.3</v>
      </c>
      <c r="U51" s="60">
        <v>94.29</v>
      </c>
      <c r="V51" s="60">
        <v>108.29</v>
      </c>
      <c r="W51" s="60">
        <v>108.29</v>
      </c>
      <c r="X51" s="60">
        <v>108.29</v>
      </c>
      <c r="AB51" s="60">
        <v>50</v>
      </c>
      <c r="AC51" s="96">
        <v>41.22</v>
      </c>
    </row>
    <row r="52" spans="1:29" ht="12.75" customHeight="1">
      <c r="A52" s="13">
        <v>50</v>
      </c>
      <c r="B52" s="115">
        <v>48.74</v>
      </c>
      <c r="C52" s="115">
        <v>53.74</v>
      </c>
      <c r="D52" s="115">
        <v>61.24</v>
      </c>
      <c r="E52" s="115">
        <v>75.239999999999995</v>
      </c>
      <c r="F52" s="115">
        <v>111.86</v>
      </c>
      <c r="G52" s="130">
        <v>130.27000000000001</v>
      </c>
      <c r="H52" s="115">
        <v>148.66999999999999</v>
      </c>
      <c r="I52" s="115">
        <v>175.15</v>
      </c>
      <c r="J52" s="79">
        <v>175.15</v>
      </c>
      <c r="K52" s="86">
        <v>373.81</v>
      </c>
      <c r="N52" s="100">
        <v>35</v>
      </c>
      <c r="O52" s="60">
        <v>33.04</v>
      </c>
      <c r="P52" s="60">
        <v>36.43</v>
      </c>
      <c r="Q52" s="60">
        <v>41.61</v>
      </c>
      <c r="R52" s="60">
        <v>51.18</v>
      </c>
      <c r="S52" s="60">
        <v>67.69</v>
      </c>
      <c r="T52" s="60">
        <v>82.37</v>
      </c>
      <c r="U52" s="60">
        <v>96.77</v>
      </c>
      <c r="V52" s="60">
        <v>111.16</v>
      </c>
      <c r="W52" s="60">
        <v>111.16</v>
      </c>
      <c r="X52" s="60">
        <v>111.16</v>
      </c>
      <c r="AB52" s="60">
        <v>51</v>
      </c>
      <c r="AC52" s="96">
        <v>41.97</v>
      </c>
    </row>
    <row r="53" spans="1:29" ht="12.75" customHeight="1">
      <c r="A53" s="31">
        <v>51</v>
      </c>
      <c r="B53" s="117">
        <v>49.44</v>
      </c>
      <c r="C53" s="117">
        <v>54.48</v>
      </c>
      <c r="D53" s="117">
        <v>62.05</v>
      </c>
      <c r="E53" s="121">
        <v>76.23</v>
      </c>
      <c r="F53" s="121">
        <v>113.49</v>
      </c>
      <c r="G53" s="122">
        <v>132.04</v>
      </c>
      <c r="H53" s="121">
        <v>150.6</v>
      </c>
      <c r="I53" s="121">
        <v>177.34</v>
      </c>
      <c r="J53" s="76">
        <v>177.34</v>
      </c>
      <c r="K53" s="86">
        <v>378.46</v>
      </c>
      <c r="N53" s="100">
        <v>36</v>
      </c>
      <c r="O53" s="60">
        <v>33.71</v>
      </c>
      <c r="P53" s="60">
        <v>37.21</v>
      </c>
      <c r="Q53" s="60">
        <v>42.51</v>
      </c>
      <c r="R53" s="60">
        <v>52.25</v>
      </c>
      <c r="S53" s="60">
        <v>69.260000000000005</v>
      </c>
      <c r="T53" s="60">
        <v>84.33</v>
      </c>
      <c r="U53" s="60">
        <v>99.14</v>
      </c>
      <c r="V53" s="60">
        <v>113.94</v>
      </c>
      <c r="W53" s="60">
        <v>113.94</v>
      </c>
      <c r="X53" s="60">
        <v>113.94</v>
      </c>
      <c r="AB53" s="60">
        <v>52</v>
      </c>
      <c r="AC53" s="96">
        <v>42.72</v>
      </c>
    </row>
    <row r="54" spans="1:29" ht="12.75" customHeight="1">
      <c r="A54" s="19">
        <v>52</v>
      </c>
      <c r="B54" s="120">
        <v>50.12</v>
      </c>
      <c r="C54" s="120">
        <v>55.21</v>
      </c>
      <c r="D54" s="120">
        <v>62.81</v>
      </c>
      <c r="E54" s="121">
        <v>77.180000000000007</v>
      </c>
      <c r="F54" s="121">
        <v>115.11</v>
      </c>
      <c r="G54" s="122">
        <v>133.84</v>
      </c>
      <c r="H54" s="121">
        <v>152.57</v>
      </c>
      <c r="I54" s="121">
        <v>179.47</v>
      </c>
      <c r="J54" s="76">
        <v>179.47</v>
      </c>
      <c r="K54" s="86">
        <v>383.02</v>
      </c>
      <c r="N54" s="100">
        <v>37</v>
      </c>
      <c r="O54" s="60">
        <v>34.409999999999997</v>
      </c>
      <c r="P54" s="60">
        <v>37.99</v>
      </c>
      <c r="Q54" s="60">
        <v>43.41</v>
      </c>
      <c r="R54" s="60">
        <v>53.35</v>
      </c>
      <c r="S54" s="60">
        <v>70.86</v>
      </c>
      <c r="T54" s="60">
        <v>86.32</v>
      </c>
      <c r="U54" s="60">
        <v>101.54</v>
      </c>
      <c r="V54" s="60">
        <v>116.74</v>
      </c>
      <c r="W54" s="60">
        <v>116.74</v>
      </c>
      <c r="X54" s="60">
        <v>116.74</v>
      </c>
      <c r="AB54" s="60">
        <v>53</v>
      </c>
      <c r="AC54" s="96">
        <v>43.47</v>
      </c>
    </row>
    <row r="55" spans="1:29" ht="12.75" customHeight="1">
      <c r="A55" s="19">
        <v>53</v>
      </c>
      <c r="B55" s="120">
        <v>50.8</v>
      </c>
      <c r="C55" s="120">
        <v>55.9</v>
      </c>
      <c r="D55" s="120">
        <v>63.57</v>
      </c>
      <c r="E55" s="121">
        <v>78.13</v>
      </c>
      <c r="F55" s="121">
        <v>116.69</v>
      </c>
      <c r="G55" s="122">
        <v>135.65</v>
      </c>
      <c r="H55" s="121">
        <v>154.58000000000001</v>
      </c>
      <c r="I55" s="121">
        <v>181.69</v>
      </c>
      <c r="J55" s="76">
        <v>181.69</v>
      </c>
      <c r="K55" s="86">
        <v>387.75</v>
      </c>
      <c r="N55" s="100">
        <v>38</v>
      </c>
      <c r="O55" s="60">
        <v>35.08</v>
      </c>
      <c r="P55" s="60">
        <v>38.75</v>
      </c>
      <c r="Q55" s="60">
        <v>44.28</v>
      </c>
      <c r="R55" s="60">
        <v>54.44</v>
      </c>
      <c r="S55" s="60">
        <v>72.44</v>
      </c>
      <c r="T55" s="60">
        <v>88.31</v>
      </c>
      <c r="U55" s="60">
        <v>103.9</v>
      </c>
      <c r="V55" s="60">
        <v>119.51</v>
      </c>
      <c r="W55" s="60">
        <v>119.51</v>
      </c>
      <c r="X55" s="60">
        <v>119.51</v>
      </c>
      <c r="AB55" s="60">
        <v>54</v>
      </c>
      <c r="AC55" s="96">
        <v>44.22</v>
      </c>
    </row>
    <row r="56" spans="1:29" ht="12.75" customHeight="1">
      <c r="A56" s="19">
        <v>54</v>
      </c>
      <c r="B56" s="120">
        <v>51.47</v>
      </c>
      <c r="C56" s="120">
        <v>56.61</v>
      </c>
      <c r="D56" s="120">
        <v>64.319999999999993</v>
      </c>
      <c r="E56" s="121">
        <v>79.05</v>
      </c>
      <c r="F56" s="121">
        <v>118.25</v>
      </c>
      <c r="G56" s="122">
        <v>137.44999999999999</v>
      </c>
      <c r="H56" s="121">
        <v>156.66</v>
      </c>
      <c r="I56" s="121">
        <v>183.99</v>
      </c>
      <c r="J56" s="76">
        <v>183.99</v>
      </c>
      <c r="K56" s="86">
        <v>392.66</v>
      </c>
      <c r="N56" s="100">
        <v>39</v>
      </c>
      <c r="O56" s="60">
        <v>35.770000000000003</v>
      </c>
      <c r="P56" s="60">
        <v>39.5</v>
      </c>
      <c r="Q56" s="60">
        <v>45.13</v>
      </c>
      <c r="R56" s="60">
        <v>55.49</v>
      </c>
      <c r="S56" s="60">
        <v>74</v>
      </c>
      <c r="T56" s="60">
        <v>90.27</v>
      </c>
      <c r="U56" s="60">
        <v>106.22</v>
      </c>
      <c r="V56" s="60">
        <v>122.25</v>
      </c>
      <c r="W56" s="60">
        <v>122.25</v>
      </c>
      <c r="X56" s="60">
        <v>122.25</v>
      </c>
      <c r="AB56" s="60">
        <v>55</v>
      </c>
      <c r="AC56" s="96">
        <v>44.97</v>
      </c>
    </row>
    <row r="57" spans="1:29" ht="12.75" customHeight="1">
      <c r="A57" s="19">
        <v>55</v>
      </c>
      <c r="B57" s="123">
        <v>52.13</v>
      </c>
      <c r="C57" s="123">
        <v>57.29</v>
      </c>
      <c r="D57" s="123">
        <v>65.069999999999993</v>
      </c>
      <c r="E57" s="124">
        <v>79.930000000000007</v>
      </c>
      <c r="F57" s="124">
        <v>119.78</v>
      </c>
      <c r="G57" s="125">
        <v>139.22999999999999</v>
      </c>
      <c r="H57" s="124">
        <v>158.66999999999999</v>
      </c>
      <c r="I57" s="124">
        <v>186.35</v>
      </c>
      <c r="J57" s="77">
        <v>186.35</v>
      </c>
      <c r="K57" s="86">
        <v>397.71</v>
      </c>
      <c r="N57" s="100">
        <v>40</v>
      </c>
      <c r="O57" s="60">
        <v>36.44</v>
      </c>
      <c r="P57" s="60">
        <v>40.24</v>
      </c>
      <c r="Q57" s="60">
        <v>45.98</v>
      </c>
      <c r="R57" s="60">
        <v>56.54</v>
      </c>
      <c r="S57" s="60">
        <v>75.510000000000005</v>
      </c>
      <c r="T57" s="60">
        <v>92.17</v>
      </c>
      <c r="U57" s="60">
        <v>108.52</v>
      </c>
      <c r="V57" s="60">
        <v>124.96</v>
      </c>
      <c r="W57" s="60">
        <v>124.96</v>
      </c>
      <c r="X57" s="60">
        <v>124.96</v>
      </c>
      <c r="AB57" s="60">
        <v>56</v>
      </c>
      <c r="AC57" s="96">
        <v>45.72</v>
      </c>
    </row>
    <row r="58" spans="1:29" ht="12.75" customHeight="1">
      <c r="A58" s="32">
        <v>56</v>
      </c>
      <c r="B58" s="111">
        <v>52.78</v>
      </c>
      <c r="C58" s="111">
        <v>57.97</v>
      </c>
      <c r="D58" s="111">
        <v>65.760000000000005</v>
      </c>
      <c r="E58" s="113">
        <v>80.819999999999993</v>
      </c>
      <c r="F58" s="113">
        <v>121.28</v>
      </c>
      <c r="G58" s="126">
        <v>141.02000000000001</v>
      </c>
      <c r="H58" s="113">
        <v>160.75</v>
      </c>
      <c r="I58" s="113">
        <v>188.68</v>
      </c>
      <c r="J58" s="78">
        <v>188.68</v>
      </c>
      <c r="K58" s="86">
        <v>402.67</v>
      </c>
      <c r="N58" s="100">
        <v>41</v>
      </c>
      <c r="O58" s="60">
        <v>37.090000000000003</v>
      </c>
      <c r="P58" s="60">
        <v>40.98</v>
      </c>
      <c r="Q58" s="60">
        <v>46.81</v>
      </c>
      <c r="R58" s="60">
        <v>57.59</v>
      </c>
      <c r="S58" s="60">
        <v>77.040000000000006</v>
      </c>
      <c r="T58" s="60">
        <v>94.08</v>
      </c>
      <c r="U58" s="60">
        <v>110.8</v>
      </c>
      <c r="V58" s="60">
        <v>127.62</v>
      </c>
      <c r="W58" s="60">
        <v>127.62</v>
      </c>
      <c r="X58" s="60">
        <v>127.62</v>
      </c>
      <c r="AB58" s="60">
        <v>57</v>
      </c>
      <c r="AC58" s="96">
        <v>46.47</v>
      </c>
    </row>
    <row r="59" spans="1:29" ht="12.75" customHeight="1">
      <c r="A59" s="13">
        <v>57</v>
      </c>
      <c r="B59" s="113">
        <v>53.44</v>
      </c>
      <c r="C59" s="113">
        <v>58.63</v>
      </c>
      <c r="D59" s="113">
        <v>66.459999999999994</v>
      </c>
      <c r="E59" s="113">
        <v>81.67</v>
      </c>
      <c r="F59" s="113">
        <v>122.74</v>
      </c>
      <c r="G59" s="126">
        <v>142.74</v>
      </c>
      <c r="H59" s="113">
        <v>162.75</v>
      </c>
      <c r="I59" s="113">
        <v>190.88</v>
      </c>
      <c r="J59" s="78">
        <v>190.88</v>
      </c>
      <c r="K59" s="86">
        <v>407.37</v>
      </c>
      <c r="N59" s="100">
        <v>42</v>
      </c>
      <c r="O59" s="60">
        <v>37.76</v>
      </c>
      <c r="P59" s="60">
        <v>41.68</v>
      </c>
      <c r="Q59" s="60">
        <v>47.62</v>
      </c>
      <c r="R59" s="60">
        <v>58.59</v>
      </c>
      <c r="S59" s="60">
        <v>78.52</v>
      </c>
      <c r="T59" s="60">
        <v>95.94</v>
      </c>
      <c r="U59" s="60">
        <v>113.05</v>
      </c>
      <c r="V59" s="60">
        <v>130.28</v>
      </c>
      <c r="W59" s="60">
        <v>130.28</v>
      </c>
      <c r="X59" s="60">
        <v>130.28</v>
      </c>
      <c r="AB59" s="60">
        <v>58</v>
      </c>
      <c r="AC59" s="96">
        <v>47.22</v>
      </c>
    </row>
    <row r="60" spans="1:29" ht="12.75" customHeight="1">
      <c r="A60" s="13">
        <v>58</v>
      </c>
      <c r="B60" s="113">
        <v>54.08</v>
      </c>
      <c r="C60" s="113">
        <v>59.29</v>
      </c>
      <c r="D60" s="113">
        <v>67.13</v>
      </c>
      <c r="E60" s="113">
        <v>82.51</v>
      </c>
      <c r="F60" s="113">
        <v>124.21</v>
      </c>
      <c r="G60" s="126">
        <v>144.33000000000001</v>
      </c>
      <c r="H60" s="113">
        <v>164.44</v>
      </c>
      <c r="I60" s="113">
        <v>192.91</v>
      </c>
      <c r="J60" s="78">
        <v>192.91</v>
      </c>
      <c r="K60" s="86">
        <v>411.7</v>
      </c>
      <c r="N60" s="100">
        <v>43</v>
      </c>
      <c r="O60" s="60">
        <v>38.4</v>
      </c>
      <c r="P60" s="60">
        <v>42.4</v>
      </c>
      <c r="Q60" s="60">
        <v>48.44</v>
      </c>
      <c r="R60" s="60">
        <v>59.57</v>
      </c>
      <c r="S60" s="60">
        <v>79.98</v>
      </c>
      <c r="T60" s="60">
        <v>97.79</v>
      </c>
      <c r="U60" s="60">
        <v>115.27</v>
      </c>
      <c r="V60" s="60">
        <v>132.88</v>
      </c>
      <c r="W60" s="60">
        <v>132.88</v>
      </c>
      <c r="X60" s="60">
        <v>132.88</v>
      </c>
      <c r="AB60" s="60">
        <v>59</v>
      </c>
      <c r="AC60" s="96">
        <v>47.97</v>
      </c>
    </row>
    <row r="61" spans="1:29" ht="12.75" customHeight="1">
      <c r="A61" s="13">
        <v>59</v>
      </c>
      <c r="B61" s="113">
        <v>54.69</v>
      </c>
      <c r="C61" s="113">
        <v>59.93</v>
      </c>
      <c r="D61" s="113">
        <v>67.8</v>
      </c>
      <c r="E61" s="113">
        <v>83.31</v>
      </c>
      <c r="F61" s="113">
        <v>125.61</v>
      </c>
      <c r="G61" s="126">
        <v>145.94</v>
      </c>
      <c r="H61" s="113">
        <v>166.26</v>
      </c>
      <c r="I61" s="113">
        <v>195.04</v>
      </c>
      <c r="J61" s="78">
        <v>195.04</v>
      </c>
      <c r="K61" s="86">
        <v>416.24</v>
      </c>
      <c r="N61" s="100">
        <v>44</v>
      </c>
      <c r="O61" s="60">
        <v>39.049999999999997</v>
      </c>
      <c r="P61" s="60">
        <v>43.09</v>
      </c>
      <c r="Q61" s="60">
        <v>49.2</v>
      </c>
      <c r="R61" s="60">
        <v>60.54</v>
      </c>
      <c r="S61" s="60">
        <v>81.41</v>
      </c>
      <c r="T61" s="60">
        <v>99.6</v>
      </c>
      <c r="U61" s="60">
        <v>117.45</v>
      </c>
      <c r="V61" s="60">
        <v>135.44999999999999</v>
      </c>
      <c r="W61" s="60">
        <v>135.44999999999999</v>
      </c>
      <c r="X61" s="60">
        <v>135.44999999999999</v>
      </c>
      <c r="AB61" s="60">
        <v>60</v>
      </c>
      <c r="AC61" s="96">
        <v>48.72</v>
      </c>
    </row>
    <row r="62" spans="1:29" ht="12.75" customHeight="1">
      <c r="A62" s="16">
        <v>60</v>
      </c>
      <c r="B62" s="115">
        <v>55.32</v>
      </c>
      <c r="C62" s="115">
        <v>60.57</v>
      </c>
      <c r="D62" s="115">
        <v>68.44</v>
      </c>
      <c r="E62" s="115">
        <v>84.1</v>
      </c>
      <c r="F62" s="115">
        <v>127</v>
      </c>
      <c r="G62" s="130">
        <v>147.47999999999999</v>
      </c>
      <c r="H62" s="115">
        <v>167.96</v>
      </c>
      <c r="I62" s="115">
        <v>197.1</v>
      </c>
      <c r="J62" s="79">
        <v>197.1</v>
      </c>
      <c r="K62" s="86">
        <v>420.64</v>
      </c>
      <c r="N62" s="100">
        <v>45</v>
      </c>
      <c r="O62" s="60">
        <v>39.68</v>
      </c>
      <c r="P62" s="60">
        <v>43.78</v>
      </c>
      <c r="Q62" s="60">
        <v>49.99</v>
      </c>
      <c r="R62" s="60">
        <v>61.5</v>
      </c>
      <c r="S62" s="60">
        <v>82.85</v>
      </c>
      <c r="T62" s="60">
        <v>101.39</v>
      </c>
      <c r="U62" s="60">
        <v>119.61</v>
      </c>
      <c r="V62" s="60">
        <v>138.01</v>
      </c>
      <c r="W62" s="60">
        <v>138.01</v>
      </c>
      <c r="X62" s="60">
        <v>138.01</v>
      </c>
      <c r="AB62" s="60">
        <v>61</v>
      </c>
      <c r="AC62" s="96">
        <v>49.47</v>
      </c>
    </row>
    <row r="63" spans="1:29" ht="12.75" customHeight="1">
      <c r="A63" s="19">
        <v>61</v>
      </c>
      <c r="B63" s="117">
        <v>55.93</v>
      </c>
      <c r="C63" s="117">
        <v>61.18</v>
      </c>
      <c r="D63" s="117">
        <v>69.069999999999993</v>
      </c>
      <c r="E63" s="121">
        <v>84.87</v>
      </c>
      <c r="F63" s="121">
        <v>128.36000000000001</v>
      </c>
      <c r="G63" s="122">
        <v>149.02000000000001</v>
      </c>
      <c r="H63" s="121">
        <v>169.66</v>
      </c>
      <c r="I63" s="121">
        <v>199.11</v>
      </c>
      <c r="J63" s="76">
        <v>199.11</v>
      </c>
      <c r="K63" s="86">
        <v>424.93</v>
      </c>
      <c r="N63" s="100">
        <v>46</v>
      </c>
      <c r="O63" s="60">
        <v>40.33</v>
      </c>
      <c r="P63" s="60">
        <v>44.45</v>
      </c>
      <c r="Q63" s="60">
        <v>50.75</v>
      </c>
      <c r="R63" s="60">
        <v>62.42</v>
      </c>
      <c r="S63" s="60">
        <v>84.23</v>
      </c>
      <c r="T63" s="60">
        <v>103.17</v>
      </c>
      <c r="U63" s="60">
        <v>121.75</v>
      </c>
      <c r="V63" s="60">
        <v>140.52000000000001</v>
      </c>
      <c r="W63" s="60">
        <v>140.52000000000001</v>
      </c>
      <c r="X63" s="60">
        <v>140.52000000000001</v>
      </c>
      <c r="AB63" s="60">
        <v>62</v>
      </c>
      <c r="AC63" s="96">
        <v>50.22</v>
      </c>
    </row>
    <row r="64" spans="1:29" ht="12.75" customHeight="1">
      <c r="A64" s="23">
        <v>62</v>
      </c>
      <c r="B64" s="120">
        <v>56.54</v>
      </c>
      <c r="C64" s="120">
        <v>61.79</v>
      </c>
      <c r="D64" s="120">
        <v>69.650000000000006</v>
      </c>
      <c r="E64" s="121">
        <v>85.61</v>
      </c>
      <c r="F64" s="121">
        <v>129.69</v>
      </c>
      <c r="G64" s="122">
        <v>150.63999999999999</v>
      </c>
      <c r="H64" s="121">
        <v>171.58</v>
      </c>
      <c r="I64" s="121">
        <v>201.52</v>
      </c>
      <c r="J64" s="76">
        <v>201.52</v>
      </c>
      <c r="K64" s="86">
        <v>430.07</v>
      </c>
      <c r="N64" s="100">
        <v>47</v>
      </c>
      <c r="O64" s="60">
        <v>40.94</v>
      </c>
      <c r="P64" s="60">
        <v>45.12</v>
      </c>
      <c r="Q64" s="60">
        <v>51.49</v>
      </c>
      <c r="R64" s="60">
        <v>63.33</v>
      </c>
      <c r="S64" s="60">
        <v>85.6</v>
      </c>
      <c r="T64" s="60">
        <v>104.9</v>
      </c>
      <c r="U64" s="60">
        <v>123.82</v>
      </c>
      <c r="V64" s="60">
        <v>143</v>
      </c>
      <c r="W64" s="60">
        <v>143</v>
      </c>
      <c r="X64" s="60">
        <v>143</v>
      </c>
      <c r="AB64" s="60">
        <v>63</v>
      </c>
      <c r="AC64" s="96">
        <v>50.97</v>
      </c>
    </row>
    <row r="65" spans="1:29" ht="12.75" customHeight="1">
      <c r="A65" s="23">
        <v>63</v>
      </c>
      <c r="B65" s="120">
        <v>57.13</v>
      </c>
      <c r="C65" s="120">
        <v>62.39</v>
      </c>
      <c r="D65" s="120">
        <v>70.239999999999995</v>
      </c>
      <c r="E65" s="121">
        <v>86.32</v>
      </c>
      <c r="F65" s="121">
        <v>130.97999999999999</v>
      </c>
      <c r="G65" s="122">
        <v>152.26</v>
      </c>
      <c r="H65" s="121">
        <v>173.52</v>
      </c>
      <c r="I65" s="122">
        <v>204.06</v>
      </c>
      <c r="J65" s="76">
        <v>204.06</v>
      </c>
      <c r="K65" s="86">
        <v>435.49</v>
      </c>
      <c r="N65" s="100">
        <v>48</v>
      </c>
      <c r="O65" s="60">
        <v>41.56</v>
      </c>
      <c r="P65" s="60">
        <v>45.78</v>
      </c>
      <c r="Q65" s="60">
        <v>52.22</v>
      </c>
      <c r="R65" s="60">
        <v>64.22</v>
      </c>
      <c r="S65" s="60">
        <v>86.97</v>
      </c>
      <c r="T65" s="60">
        <v>106.61</v>
      </c>
      <c r="U65" s="60">
        <v>125.9</v>
      </c>
      <c r="V65" s="60">
        <v>145.44999999999999</v>
      </c>
      <c r="W65" s="60">
        <v>145.44999999999999</v>
      </c>
      <c r="X65" s="60">
        <v>145.44999999999999</v>
      </c>
      <c r="AB65" s="60">
        <v>64</v>
      </c>
      <c r="AC65" s="96">
        <v>51.72</v>
      </c>
    </row>
    <row r="66" spans="1:29" ht="12.75" customHeight="1">
      <c r="A66" s="23">
        <v>64</v>
      </c>
      <c r="B66" s="120">
        <v>57.72</v>
      </c>
      <c r="C66" s="120">
        <v>62.96</v>
      </c>
      <c r="D66" s="120">
        <v>70.819999999999993</v>
      </c>
      <c r="E66" s="121">
        <v>87.02</v>
      </c>
      <c r="F66" s="121">
        <v>132.26</v>
      </c>
      <c r="G66" s="122">
        <v>153.72</v>
      </c>
      <c r="H66" s="121">
        <v>175.18</v>
      </c>
      <c r="I66" s="122">
        <v>206.57</v>
      </c>
      <c r="J66" s="76">
        <v>206.57</v>
      </c>
      <c r="K66" s="86">
        <v>440.86</v>
      </c>
      <c r="N66" s="100">
        <v>49</v>
      </c>
      <c r="O66" s="60">
        <v>42.17</v>
      </c>
      <c r="P66" s="60">
        <v>46.42</v>
      </c>
      <c r="Q66" s="60">
        <v>52.92</v>
      </c>
      <c r="R66" s="60">
        <v>65.099999999999994</v>
      </c>
      <c r="S66" s="60">
        <v>88.3</v>
      </c>
      <c r="T66" s="60">
        <v>108.29</v>
      </c>
      <c r="U66" s="60">
        <v>127.94</v>
      </c>
      <c r="V66" s="60">
        <v>147.88</v>
      </c>
      <c r="W66" s="60">
        <v>147.88</v>
      </c>
      <c r="X66" s="60">
        <v>147.88</v>
      </c>
      <c r="AB66" s="60">
        <v>65</v>
      </c>
      <c r="AC66" s="96">
        <v>52.47</v>
      </c>
    </row>
    <row r="67" spans="1:29" ht="12.75" customHeight="1">
      <c r="A67" s="23">
        <v>65</v>
      </c>
      <c r="B67" s="123">
        <v>58.3</v>
      </c>
      <c r="C67" s="123">
        <v>63.54</v>
      </c>
      <c r="D67" s="123">
        <v>71.38</v>
      </c>
      <c r="E67" s="124">
        <v>87.7</v>
      </c>
      <c r="F67" s="124">
        <v>133.5</v>
      </c>
      <c r="G67" s="125">
        <v>155.15</v>
      </c>
      <c r="H67" s="124">
        <v>176.81</v>
      </c>
      <c r="I67" s="125">
        <v>209.09</v>
      </c>
      <c r="J67" s="77">
        <v>209.09</v>
      </c>
      <c r="K67" s="86">
        <v>446.22</v>
      </c>
      <c r="N67" s="100">
        <v>50</v>
      </c>
      <c r="O67" s="60">
        <v>42.77</v>
      </c>
      <c r="P67" s="60">
        <v>47.07</v>
      </c>
      <c r="Q67" s="60">
        <v>53.63</v>
      </c>
      <c r="R67" s="60">
        <v>65.959999999999994</v>
      </c>
      <c r="S67" s="60">
        <v>89.6</v>
      </c>
      <c r="T67" s="60">
        <v>109.94</v>
      </c>
      <c r="U67" s="60">
        <v>129.94999999999999</v>
      </c>
      <c r="V67" s="60">
        <v>150.27000000000001</v>
      </c>
      <c r="W67" s="60">
        <v>150.27000000000001</v>
      </c>
      <c r="X67" s="60">
        <v>150.27000000000001</v>
      </c>
      <c r="AB67" s="60">
        <v>66</v>
      </c>
      <c r="AC67" s="96">
        <v>53.22</v>
      </c>
    </row>
    <row r="68" spans="1:29" ht="12.75" customHeight="1">
      <c r="A68" s="9">
        <v>66</v>
      </c>
      <c r="B68" s="111">
        <v>58.87</v>
      </c>
      <c r="C68" s="111">
        <v>64.099999999999994</v>
      </c>
      <c r="D68" s="111">
        <v>71.91</v>
      </c>
      <c r="E68" s="113">
        <v>88.35</v>
      </c>
      <c r="F68" s="113">
        <v>134.71</v>
      </c>
      <c r="G68" s="126">
        <v>156.59</v>
      </c>
      <c r="H68" s="113">
        <v>178.46</v>
      </c>
      <c r="I68" s="126">
        <v>211.57</v>
      </c>
      <c r="J68" s="78">
        <v>211.57</v>
      </c>
      <c r="K68" s="86">
        <v>451.53</v>
      </c>
      <c r="N68" s="100">
        <v>51</v>
      </c>
      <c r="O68" s="60">
        <v>43.35</v>
      </c>
      <c r="P68" s="60">
        <v>47.71</v>
      </c>
      <c r="Q68" s="60">
        <v>54.29</v>
      </c>
      <c r="R68" s="60">
        <v>66.790000000000006</v>
      </c>
      <c r="S68" s="60">
        <v>90.88</v>
      </c>
      <c r="T68" s="60">
        <v>111.57</v>
      </c>
      <c r="U68" s="60">
        <v>131.91999999999999</v>
      </c>
      <c r="V68" s="60">
        <v>152.63</v>
      </c>
      <c r="W68" s="60">
        <v>152.63</v>
      </c>
      <c r="X68" s="60">
        <v>152.63</v>
      </c>
      <c r="AB68" s="60">
        <v>67</v>
      </c>
      <c r="AC68" s="96">
        <v>53.97</v>
      </c>
    </row>
    <row r="69" spans="1:29" ht="12.75" customHeight="1">
      <c r="A69" s="33">
        <v>67</v>
      </c>
      <c r="B69" s="113">
        <v>59.44</v>
      </c>
      <c r="C69" s="113">
        <v>64.62</v>
      </c>
      <c r="D69" s="113">
        <v>72.42</v>
      </c>
      <c r="E69" s="113">
        <v>88.98</v>
      </c>
      <c r="F69" s="113">
        <v>135.9</v>
      </c>
      <c r="G69" s="126">
        <v>157.96</v>
      </c>
      <c r="H69" s="113">
        <v>180.03</v>
      </c>
      <c r="I69" s="126">
        <v>214.14</v>
      </c>
      <c r="J69" s="78">
        <v>214.14</v>
      </c>
      <c r="K69" s="86">
        <v>457.01</v>
      </c>
      <c r="N69" s="100">
        <v>52</v>
      </c>
      <c r="O69" s="60">
        <v>43.95</v>
      </c>
      <c r="P69" s="60">
        <v>48.31</v>
      </c>
      <c r="Q69" s="60">
        <v>54.95</v>
      </c>
      <c r="R69" s="60">
        <v>67.61</v>
      </c>
      <c r="S69" s="60">
        <v>92.15</v>
      </c>
      <c r="T69" s="60">
        <v>113.18</v>
      </c>
      <c r="U69" s="60">
        <v>133.86000000000001</v>
      </c>
      <c r="V69" s="60">
        <v>154.94999999999999</v>
      </c>
      <c r="W69" s="60">
        <v>154.94999999999999</v>
      </c>
      <c r="X69" s="60">
        <v>154.94999999999999</v>
      </c>
      <c r="AB69" s="60">
        <v>68</v>
      </c>
      <c r="AC69" s="96">
        <v>54.72</v>
      </c>
    </row>
    <row r="70" spans="1:29" ht="12.75" customHeight="1">
      <c r="A70" s="33">
        <v>68</v>
      </c>
      <c r="B70" s="113">
        <v>59.97</v>
      </c>
      <c r="C70" s="113">
        <v>65.16</v>
      </c>
      <c r="D70" s="113">
        <v>72.91</v>
      </c>
      <c r="E70" s="113">
        <v>89.6</v>
      </c>
      <c r="F70" s="113">
        <v>137.05000000000001</v>
      </c>
      <c r="G70" s="126">
        <v>159.34</v>
      </c>
      <c r="H70" s="113">
        <v>181.62</v>
      </c>
      <c r="I70" s="126">
        <v>216.53</v>
      </c>
      <c r="J70" s="78">
        <v>216.53</v>
      </c>
      <c r="K70" s="86">
        <v>462.1</v>
      </c>
      <c r="N70" s="100">
        <v>53</v>
      </c>
      <c r="O70" s="60">
        <v>44.53</v>
      </c>
      <c r="P70" s="60">
        <v>48.92</v>
      </c>
      <c r="Q70" s="60">
        <v>55.61</v>
      </c>
      <c r="R70" s="60">
        <v>68.400000000000006</v>
      </c>
      <c r="S70" s="60">
        <v>93.38</v>
      </c>
      <c r="T70" s="60">
        <v>114.75</v>
      </c>
      <c r="U70" s="60">
        <v>135.79</v>
      </c>
      <c r="V70" s="60">
        <v>157.25</v>
      </c>
      <c r="W70" s="60">
        <v>157.25</v>
      </c>
      <c r="X70" s="60">
        <v>157.25</v>
      </c>
      <c r="AB70" s="60">
        <v>69</v>
      </c>
      <c r="AC70" s="96">
        <v>55.47</v>
      </c>
    </row>
    <row r="71" spans="1:29" ht="12.75" customHeight="1">
      <c r="A71" s="33">
        <v>69</v>
      </c>
      <c r="B71" s="113">
        <v>60.53</v>
      </c>
      <c r="C71" s="113">
        <v>65.69</v>
      </c>
      <c r="D71" s="113">
        <v>73.41</v>
      </c>
      <c r="E71" s="113">
        <v>90.19</v>
      </c>
      <c r="F71" s="113">
        <v>138.18</v>
      </c>
      <c r="G71" s="126">
        <v>160.74</v>
      </c>
      <c r="H71" s="113">
        <v>183.28</v>
      </c>
      <c r="I71" s="126">
        <v>218.83</v>
      </c>
      <c r="J71" s="78">
        <v>218.83</v>
      </c>
      <c r="K71" s="86">
        <v>467.01</v>
      </c>
      <c r="N71" s="100">
        <v>54</v>
      </c>
      <c r="O71" s="60">
        <v>45.1</v>
      </c>
      <c r="P71" s="60">
        <v>49.51</v>
      </c>
      <c r="Q71" s="60">
        <v>56.25</v>
      </c>
      <c r="R71" s="60">
        <v>69.180000000000007</v>
      </c>
      <c r="S71" s="60">
        <v>94.61</v>
      </c>
      <c r="T71" s="60">
        <v>116.31</v>
      </c>
      <c r="U71" s="60">
        <v>137.66999999999999</v>
      </c>
      <c r="V71" s="60">
        <v>159.49</v>
      </c>
      <c r="W71" s="60">
        <v>159.49</v>
      </c>
      <c r="X71" s="60">
        <v>159.49</v>
      </c>
      <c r="AB71" s="60">
        <v>70</v>
      </c>
      <c r="AC71" s="96">
        <v>56.22</v>
      </c>
    </row>
    <row r="72" spans="1:29" ht="12.75" customHeight="1">
      <c r="A72" s="16">
        <v>70</v>
      </c>
      <c r="B72" s="115">
        <v>61.08</v>
      </c>
      <c r="C72" s="115">
        <v>66.19</v>
      </c>
      <c r="D72" s="115">
        <v>73.86</v>
      </c>
      <c r="E72" s="115">
        <v>90.76</v>
      </c>
      <c r="F72" s="115">
        <v>139.29</v>
      </c>
      <c r="G72" s="130">
        <v>162.11000000000001</v>
      </c>
      <c r="H72" s="115">
        <v>184.93</v>
      </c>
      <c r="I72" s="130">
        <v>221.13</v>
      </c>
      <c r="J72" s="79">
        <v>221.13</v>
      </c>
      <c r="K72" s="86">
        <v>471.93</v>
      </c>
      <c r="N72" s="100">
        <v>55</v>
      </c>
      <c r="O72" s="60">
        <v>45.67</v>
      </c>
      <c r="P72" s="60">
        <v>50.1</v>
      </c>
      <c r="Q72" s="60">
        <v>56.85</v>
      </c>
      <c r="R72" s="60">
        <v>69.95</v>
      </c>
      <c r="S72" s="60">
        <v>95.8</v>
      </c>
      <c r="T72" s="60">
        <v>117.84</v>
      </c>
      <c r="U72" s="60">
        <v>139.53</v>
      </c>
      <c r="V72" s="60">
        <v>161.74</v>
      </c>
      <c r="W72" s="60">
        <v>161.74</v>
      </c>
      <c r="X72" s="60">
        <v>161.74</v>
      </c>
    </row>
    <row r="73" spans="1:29" ht="12.75" customHeight="1">
      <c r="B73" s="86">
        <f t="shared" ref="B73:K73" si="2">ROUND(B72/70,2)</f>
        <v>0.87</v>
      </c>
      <c r="C73" s="86">
        <f t="shared" si="2"/>
        <v>0.95</v>
      </c>
      <c r="D73" s="86">
        <f t="shared" si="2"/>
        <v>1.06</v>
      </c>
      <c r="E73" s="86">
        <f t="shared" si="2"/>
        <v>1.3</v>
      </c>
      <c r="F73" s="86">
        <f t="shared" si="2"/>
        <v>1.99</v>
      </c>
      <c r="G73" s="86">
        <f t="shared" si="2"/>
        <v>2.3199999999999998</v>
      </c>
      <c r="H73" s="86">
        <f t="shared" si="2"/>
        <v>2.64</v>
      </c>
      <c r="I73" s="86">
        <f t="shared" si="2"/>
        <v>3.16</v>
      </c>
      <c r="J73" s="86">
        <f t="shared" si="2"/>
        <v>3.16</v>
      </c>
      <c r="K73" s="86">
        <f t="shared" si="2"/>
        <v>6.74</v>
      </c>
      <c r="N73" s="100">
        <v>56</v>
      </c>
      <c r="O73" s="60">
        <v>46.22</v>
      </c>
      <c r="P73" s="60">
        <v>50.67</v>
      </c>
      <c r="Q73" s="60">
        <v>57.47</v>
      </c>
      <c r="R73" s="60">
        <v>70.7</v>
      </c>
      <c r="S73" s="60">
        <v>96.98</v>
      </c>
      <c r="T73" s="60">
        <v>119.32</v>
      </c>
      <c r="U73" s="60">
        <v>141.35</v>
      </c>
      <c r="V73" s="60">
        <v>163.93</v>
      </c>
      <c r="W73" s="60">
        <v>163.93</v>
      </c>
      <c r="X73" s="60">
        <v>163.93</v>
      </c>
    </row>
    <row r="74" spans="1:29" ht="12.75" customHeight="1">
      <c r="N74" s="100">
        <v>57</v>
      </c>
      <c r="O74" s="60">
        <v>46.79</v>
      </c>
      <c r="P74" s="60">
        <v>51.24</v>
      </c>
      <c r="Q74" s="60">
        <v>58.05</v>
      </c>
      <c r="R74" s="60">
        <v>71.42</v>
      </c>
      <c r="S74" s="60">
        <v>98.11</v>
      </c>
      <c r="T74" s="60">
        <v>120.81</v>
      </c>
      <c r="U74" s="60">
        <v>143.15</v>
      </c>
      <c r="V74" s="60">
        <v>166.1</v>
      </c>
      <c r="W74" s="60">
        <v>166.1</v>
      </c>
      <c r="X74" s="60">
        <v>166.1</v>
      </c>
    </row>
    <row r="75" spans="1:29" ht="12.75" customHeight="1">
      <c r="N75" s="100">
        <v>58</v>
      </c>
      <c r="O75" s="60">
        <v>47.33</v>
      </c>
      <c r="P75" s="60">
        <v>51.78</v>
      </c>
      <c r="Q75" s="60">
        <v>58.62</v>
      </c>
      <c r="R75" s="60">
        <v>72.11</v>
      </c>
      <c r="S75" s="60">
        <v>99.24</v>
      </c>
      <c r="T75" s="60">
        <v>122.23</v>
      </c>
      <c r="U75" s="60">
        <v>144.91</v>
      </c>
      <c r="V75" s="60">
        <v>168.23</v>
      </c>
      <c r="W75" s="60">
        <v>168.23</v>
      </c>
      <c r="X75" s="60">
        <v>168.23</v>
      </c>
    </row>
    <row r="76" spans="1:29" ht="12.75" customHeight="1">
      <c r="N76" s="100">
        <v>59</v>
      </c>
      <c r="O76" s="60">
        <v>47.88</v>
      </c>
      <c r="P76" s="60">
        <v>52.34</v>
      </c>
      <c r="Q76" s="60">
        <v>59.18</v>
      </c>
      <c r="R76" s="60">
        <v>72.81</v>
      </c>
      <c r="S76" s="60">
        <v>100.35</v>
      </c>
      <c r="T76" s="60">
        <v>123.67</v>
      </c>
      <c r="U76" s="60">
        <v>146.63999999999999</v>
      </c>
      <c r="V76" s="60">
        <v>170.33</v>
      </c>
      <c r="W76" s="60">
        <v>170.33</v>
      </c>
      <c r="X76" s="60">
        <v>170.33</v>
      </c>
    </row>
    <row r="77" spans="1:29" ht="12.75" customHeight="1">
      <c r="N77" s="100">
        <v>60</v>
      </c>
      <c r="O77" s="60">
        <v>48.39</v>
      </c>
      <c r="P77" s="60">
        <v>52.87</v>
      </c>
      <c r="Q77" s="60">
        <v>59.71</v>
      </c>
      <c r="R77" s="60">
        <v>73.459999999999994</v>
      </c>
      <c r="S77" s="60">
        <v>101.42</v>
      </c>
      <c r="T77" s="60">
        <v>125.04</v>
      </c>
      <c r="U77" s="60">
        <v>148.35</v>
      </c>
      <c r="V77" s="60">
        <v>172.39</v>
      </c>
      <c r="W77" s="60">
        <v>172.39</v>
      </c>
      <c r="X77" s="60">
        <v>172.39</v>
      </c>
    </row>
    <row r="78" spans="1:29" ht="12.75" customHeight="1">
      <c r="A78" s="134" t="s">
        <v>76</v>
      </c>
      <c r="B78" s="316" t="s">
        <v>77</v>
      </c>
      <c r="C78" s="317"/>
      <c r="D78" s="317"/>
      <c r="E78" s="317"/>
      <c r="F78" s="317"/>
      <c r="G78" s="317"/>
      <c r="H78" s="317"/>
      <c r="I78" s="317"/>
      <c r="J78" s="318"/>
      <c r="N78" s="100">
        <v>61</v>
      </c>
      <c r="O78" s="60">
        <v>48.92</v>
      </c>
      <c r="P78" s="60">
        <v>53.4</v>
      </c>
      <c r="Q78" s="60">
        <v>60.24</v>
      </c>
      <c r="R78" s="60">
        <v>74.12</v>
      </c>
      <c r="S78" s="60">
        <v>102.48</v>
      </c>
      <c r="T78" s="60">
        <v>126.41</v>
      </c>
      <c r="U78" s="60">
        <v>150.02000000000001</v>
      </c>
      <c r="V78" s="60">
        <v>174.44</v>
      </c>
      <c r="W78" s="60">
        <v>174.44</v>
      </c>
      <c r="X78" s="60">
        <v>174.44</v>
      </c>
    </row>
    <row r="79" spans="1:29" ht="12.75" customHeight="1">
      <c r="A79" s="135" t="s">
        <v>78</v>
      </c>
      <c r="B79" s="136">
        <v>1</v>
      </c>
      <c r="C79" s="136">
        <v>2</v>
      </c>
      <c r="D79" s="136">
        <v>3</v>
      </c>
      <c r="E79" s="136">
        <v>4</v>
      </c>
      <c r="F79" s="136">
        <v>5</v>
      </c>
      <c r="G79" s="136">
        <v>6</v>
      </c>
      <c r="H79" s="136">
        <v>7</v>
      </c>
      <c r="I79" s="136">
        <v>8</v>
      </c>
      <c r="J79" s="137" t="s">
        <v>75</v>
      </c>
      <c r="K79" s="136">
        <v>9</v>
      </c>
      <c r="N79" s="100">
        <v>62</v>
      </c>
      <c r="O79" s="60">
        <v>49.45</v>
      </c>
      <c r="P79" s="60">
        <v>53.89</v>
      </c>
      <c r="Q79" s="60">
        <v>60.76</v>
      </c>
      <c r="R79" s="60">
        <v>74.739999999999995</v>
      </c>
      <c r="S79" s="60">
        <v>103.51</v>
      </c>
      <c r="T79" s="60">
        <v>127.76</v>
      </c>
      <c r="U79" s="60">
        <v>151.66</v>
      </c>
      <c r="V79" s="60">
        <v>176.44</v>
      </c>
      <c r="W79" s="60">
        <v>176.44</v>
      </c>
      <c r="X79" s="60">
        <v>176.44</v>
      </c>
    </row>
    <row r="80" spans="1:29" ht="12.75" customHeight="1">
      <c r="A80" s="138">
        <v>0.1</v>
      </c>
      <c r="B80" s="139">
        <v>7.52</v>
      </c>
      <c r="C80" s="139">
        <v>7.75</v>
      </c>
      <c r="D80" s="139">
        <v>8.27</v>
      </c>
      <c r="E80" s="139">
        <v>8.9</v>
      </c>
      <c r="F80" s="139">
        <v>11.03</v>
      </c>
      <c r="G80" s="139">
        <v>12.28</v>
      </c>
      <c r="H80" s="139">
        <v>12.91</v>
      </c>
      <c r="I80" s="139">
        <v>13.16</v>
      </c>
      <c r="J80" s="140">
        <v>15.51</v>
      </c>
      <c r="K80" s="139">
        <v>33.090000000000003</v>
      </c>
      <c r="N80" s="100">
        <v>63</v>
      </c>
      <c r="O80" s="60">
        <v>49.95</v>
      </c>
      <c r="P80" s="60">
        <v>54.41</v>
      </c>
      <c r="Q80" s="60">
        <v>61.25</v>
      </c>
      <c r="R80" s="60">
        <v>75.34</v>
      </c>
      <c r="S80" s="60">
        <v>104.53</v>
      </c>
      <c r="T80" s="60">
        <v>129.07</v>
      </c>
      <c r="U80" s="60">
        <v>153.28</v>
      </c>
      <c r="V80" s="60">
        <v>178.42</v>
      </c>
      <c r="W80" s="60">
        <v>178.42</v>
      </c>
      <c r="X80" s="60">
        <v>178.42</v>
      </c>
    </row>
    <row r="81" spans="1:24" ht="12.75" customHeight="1">
      <c r="A81" s="138">
        <v>0.2</v>
      </c>
      <c r="B81" s="138">
        <v>7.67</v>
      </c>
      <c r="C81" s="138">
        <v>7.92</v>
      </c>
      <c r="D81" s="138">
        <v>8.42</v>
      </c>
      <c r="E81" s="138">
        <v>9.15</v>
      </c>
      <c r="F81" s="138">
        <v>11.71</v>
      </c>
      <c r="G81" s="138">
        <v>12.96</v>
      </c>
      <c r="H81" s="138">
        <v>13.82</v>
      </c>
      <c r="I81" s="138">
        <v>14.08</v>
      </c>
      <c r="J81" s="141">
        <v>16.37</v>
      </c>
      <c r="K81" s="138">
        <v>34.94</v>
      </c>
      <c r="N81" s="100">
        <v>64</v>
      </c>
      <c r="O81" s="60">
        <v>50.46</v>
      </c>
      <c r="P81" s="60">
        <v>54.9</v>
      </c>
      <c r="Q81" s="60">
        <v>61.73</v>
      </c>
      <c r="R81" s="60">
        <v>75.930000000000007</v>
      </c>
      <c r="S81" s="60">
        <v>105.53</v>
      </c>
      <c r="T81" s="60">
        <v>130.35</v>
      </c>
      <c r="U81" s="60">
        <v>154.87</v>
      </c>
      <c r="V81" s="60">
        <v>180.36</v>
      </c>
      <c r="W81" s="60">
        <v>180.36</v>
      </c>
      <c r="X81" s="60">
        <v>180.36</v>
      </c>
    </row>
    <row r="82" spans="1:24" ht="12.75" customHeight="1">
      <c r="A82" s="138">
        <v>0.3</v>
      </c>
      <c r="B82" s="138">
        <v>8.43</v>
      </c>
      <c r="C82" s="138">
        <v>8.73</v>
      </c>
      <c r="D82" s="138">
        <v>9.49</v>
      </c>
      <c r="E82" s="138">
        <v>10.8</v>
      </c>
      <c r="F82" s="138">
        <v>14.44</v>
      </c>
      <c r="G82" s="138">
        <v>16.760000000000002</v>
      </c>
      <c r="H82" s="138">
        <v>18.32</v>
      </c>
      <c r="I82" s="138">
        <v>18.690000000000001</v>
      </c>
      <c r="J82" s="141">
        <v>20.57</v>
      </c>
      <c r="K82" s="138">
        <v>43.91</v>
      </c>
      <c r="N82" s="100">
        <v>65</v>
      </c>
      <c r="O82" s="60">
        <v>50.94</v>
      </c>
      <c r="P82" s="60">
        <v>55.38</v>
      </c>
      <c r="Q82" s="60">
        <v>62.19</v>
      </c>
      <c r="R82" s="60">
        <v>76.510000000000005</v>
      </c>
      <c r="S82" s="60">
        <v>106.49</v>
      </c>
      <c r="T82" s="60">
        <v>131.6</v>
      </c>
      <c r="U82" s="60">
        <v>156.41999999999999</v>
      </c>
      <c r="V82" s="60">
        <v>182.25</v>
      </c>
      <c r="W82" s="60">
        <v>182.25</v>
      </c>
      <c r="X82" s="60">
        <v>182.25</v>
      </c>
    </row>
    <row r="83" spans="1:24" ht="12.75" customHeight="1">
      <c r="A83" s="138">
        <v>0.4</v>
      </c>
      <c r="B83" s="138">
        <v>9.93</v>
      </c>
      <c r="C83" s="138">
        <v>10.15</v>
      </c>
      <c r="D83" s="138">
        <v>11.15</v>
      </c>
      <c r="E83" s="138">
        <v>12.78</v>
      </c>
      <c r="F83" s="138">
        <v>17.13</v>
      </c>
      <c r="G83" s="138">
        <v>21.32</v>
      </c>
      <c r="H83" s="138">
        <v>23.53</v>
      </c>
      <c r="I83" s="138">
        <v>24</v>
      </c>
      <c r="J83" s="141">
        <v>27.3</v>
      </c>
      <c r="K83" s="138">
        <v>58.28</v>
      </c>
      <c r="N83" s="100">
        <v>66</v>
      </c>
      <c r="O83" s="60">
        <v>51.44</v>
      </c>
      <c r="P83" s="60">
        <v>55.85</v>
      </c>
      <c r="Q83" s="60">
        <v>62.63</v>
      </c>
      <c r="R83" s="60">
        <v>77.06</v>
      </c>
      <c r="S83" s="60">
        <v>107.43</v>
      </c>
      <c r="T83" s="60">
        <v>132.83000000000001</v>
      </c>
      <c r="U83" s="60">
        <v>157.93</v>
      </c>
      <c r="V83" s="60">
        <v>184.13</v>
      </c>
      <c r="W83" s="60">
        <v>184.13</v>
      </c>
      <c r="X83" s="60">
        <v>184.13</v>
      </c>
    </row>
    <row r="84" spans="1:24" ht="12.75" customHeight="1">
      <c r="A84" s="142">
        <v>0.5</v>
      </c>
      <c r="B84" s="142">
        <v>10.51</v>
      </c>
      <c r="C84" s="142">
        <v>10.68</v>
      </c>
      <c r="D84" s="142">
        <v>11.83</v>
      </c>
      <c r="E84" s="142">
        <v>13.68</v>
      </c>
      <c r="F84" s="142">
        <v>18.95</v>
      </c>
      <c r="G84" s="142">
        <v>23.59</v>
      </c>
      <c r="H84" s="142">
        <v>26.37</v>
      </c>
      <c r="I84" s="142">
        <v>27.13</v>
      </c>
      <c r="J84" s="141">
        <v>30.56</v>
      </c>
      <c r="K84" s="142">
        <v>65.23</v>
      </c>
      <c r="N84" s="100">
        <v>67</v>
      </c>
      <c r="O84" s="60">
        <v>51.93</v>
      </c>
      <c r="P84" s="60">
        <v>56.3</v>
      </c>
      <c r="Q84" s="60">
        <v>63.06</v>
      </c>
      <c r="R84" s="60">
        <v>77.599999999999994</v>
      </c>
      <c r="S84" s="60">
        <v>108.35</v>
      </c>
      <c r="T84" s="60">
        <v>134.04</v>
      </c>
      <c r="U84" s="60">
        <v>159.44</v>
      </c>
      <c r="V84" s="60">
        <v>185.98</v>
      </c>
      <c r="W84" s="60">
        <v>185.98</v>
      </c>
      <c r="X84" s="60">
        <v>185.98</v>
      </c>
    </row>
    <row r="85" spans="1:24" ht="12.75" customHeight="1">
      <c r="N85" s="100">
        <v>68</v>
      </c>
      <c r="O85" s="60">
        <v>52.41</v>
      </c>
      <c r="P85" s="60">
        <v>56.76</v>
      </c>
      <c r="Q85" s="60">
        <v>63.49</v>
      </c>
      <c r="R85" s="60">
        <v>78.11</v>
      </c>
      <c r="S85" s="60">
        <v>109.25</v>
      </c>
      <c r="T85" s="60">
        <v>135.22</v>
      </c>
      <c r="U85" s="60">
        <v>160.9</v>
      </c>
      <c r="V85" s="60">
        <v>187.79</v>
      </c>
      <c r="W85" s="60">
        <v>187.79</v>
      </c>
      <c r="X85" s="60">
        <v>187.79</v>
      </c>
    </row>
    <row r="86" spans="1:24" ht="12.75" customHeight="1">
      <c r="N86" s="100">
        <v>69</v>
      </c>
      <c r="O86" s="60">
        <v>52.88</v>
      </c>
      <c r="P86" s="60">
        <v>57.2</v>
      </c>
      <c r="Q86" s="60">
        <v>63.87</v>
      </c>
      <c r="R86" s="60">
        <v>78.61</v>
      </c>
      <c r="S86" s="60">
        <v>110.13</v>
      </c>
      <c r="T86" s="60">
        <v>136.34</v>
      </c>
      <c r="U86" s="60">
        <v>162.33000000000001</v>
      </c>
      <c r="V86" s="60">
        <v>189.57</v>
      </c>
      <c r="W86" s="60">
        <v>189.57</v>
      </c>
      <c r="X86" s="60">
        <v>189.57</v>
      </c>
    </row>
    <row r="87" spans="1:24" ht="12.75" customHeight="1">
      <c r="N87" s="100">
        <v>70</v>
      </c>
      <c r="O87" s="60">
        <v>53.33</v>
      </c>
      <c r="P87" s="60">
        <v>57.63</v>
      </c>
      <c r="Q87" s="60">
        <v>64.260000000000005</v>
      </c>
      <c r="R87" s="60">
        <v>79.08</v>
      </c>
      <c r="S87" s="60">
        <v>110.97</v>
      </c>
      <c r="T87" s="60">
        <v>137.46</v>
      </c>
      <c r="U87" s="60">
        <v>163.72999999999999</v>
      </c>
      <c r="V87" s="60">
        <v>191.31</v>
      </c>
      <c r="W87" s="60">
        <v>191.31</v>
      </c>
      <c r="X87" s="60">
        <v>191.31</v>
      </c>
    </row>
    <row r="88" spans="1:24" ht="12.75" customHeight="1"/>
    <row r="89" spans="1:24" ht="12.75" customHeight="1"/>
    <row r="90" spans="1:24" ht="12.75" customHeight="1">
      <c r="N90" s="143"/>
      <c r="O90" s="319" t="s">
        <v>5</v>
      </c>
      <c r="P90" s="320"/>
      <c r="Q90" s="320"/>
      <c r="R90" s="320"/>
      <c r="S90" s="320"/>
      <c r="T90" s="320"/>
      <c r="U90" s="320"/>
      <c r="V90" s="320"/>
      <c r="W90" s="320"/>
      <c r="X90" s="321"/>
    </row>
    <row r="91" spans="1:24" ht="12.75" customHeight="1">
      <c r="N91" s="144" t="s">
        <v>79</v>
      </c>
      <c r="O91" s="145">
        <v>1</v>
      </c>
      <c r="P91" s="146">
        <v>2</v>
      </c>
      <c r="Q91" s="146">
        <v>3</v>
      </c>
      <c r="R91" s="146">
        <v>4</v>
      </c>
      <c r="S91" s="146">
        <v>5</v>
      </c>
      <c r="T91" s="146">
        <v>6</v>
      </c>
      <c r="U91" s="146">
        <v>7</v>
      </c>
      <c r="V91" s="146">
        <v>8</v>
      </c>
      <c r="W91" s="146" t="s">
        <v>80</v>
      </c>
      <c r="X91" s="147">
        <v>9</v>
      </c>
    </row>
    <row r="92" spans="1:24" ht="12.75" customHeight="1">
      <c r="N92" s="148">
        <v>0.1</v>
      </c>
      <c r="O92" s="149">
        <v>5.58</v>
      </c>
      <c r="P92" s="149">
        <v>5.61</v>
      </c>
      <c r="Q92" s="150">
        <v>5.76</v>
      </c>
      <c r="R92" s="150">
        <v>6.1</v>
      </c>
      <c r="S92" s="150">
        <v>6.81</v>
      </c>
      <c r="T92" s="150">
        <v>7.73</v>
      </c>
      <c r="U92" s="150">
        <v>8</v>
      </c>
      <c r="V92" s="150">
        <v>8.6300000000000008</v>
      </c>
      <c r="W92" s="150">
        <v>10.130000000000001</v>
      </c>
      <c r="X92" s="151">
        <v>10.130000000000001</v>
      </c>
    </row>
    <row r="93" spans="1:24" ht="12.75" customHeight="1">
      <c r="N93" s="152">
        <v>0.2</v>
      </c>
      <c r="O93" s="149">
        <v>6.04</v>
      </c>
      <c r="P93" s="149">
        <v>6.07</v>
      </c>
      <c r="Q93" s="150">
        <v>6.27</v>
      </c>
      <c r="R93" s="150">
        <v>6.71</v>
      </c>
      <c r="S93" s="150">
        <v>7.67</v>
      </c>
      <c r="T93" s="150">
        <v>8.9</v>
      </c>
      <c r="U93" s="150">
        <v>9.24</v>
      </c>
      <c r="V93" s="150">
        <v>10.08</v>
      </c>
      <c r="W93" s="150">
        <v>11.84</v>
      </c>
      <c r="X93" s="151">
        <v>11.84</v>
      </c>
    </row>
    <row r="94" spans="1:24" ht="12.75" customHeight="1">
      <c r="N94" s="152">
        <v>0.3</v>
      </c>
      <c r="O94" s="149">
        <v>6.4</v>
      </c>
      <c r="P94" s="149">
        <v>6.44</v>
      </c>
      <c r="Q94" s="150">
        <v>6.73</v>
      </c>
      <c r="R94" s="150">
        <v>7.35</v>
      </c>
      <c r="S94" s="150">
        <v>8.61</v>
      </c>
      <c r="T94" s="150">
        <v>10.24</v>
      </c>
      <c r="U94" s="150">
        <v>10.75</v>
      </c>
      <c r="V94" s="150">
        <v>11.95</v>
      </c>
      <c r="W94" s="150">
        <v>14.67</v>
      </c>
      <c r="X94" s="151">
        <v>14.67</v>
      </c>
    </row>
    <row r="95" spans="1:24" ht="12.75" customHeight="1">
      <c r="N95" s="152">
        <v>0.4</v>
      </c>
      <c r="O95" s="149">
        <v>6.72</v>
      </c>
      <c r="P95" s="149">
        <v>6.77</v>
      </c>
      <c r="Q95" s="150">
        <v>7.14</v>
      </c>
      <c r="R95" s="150">
        <v>7.91</v>
      </c>
      <c r="S95" s="150">
        <v>9.42</v>
      </c>
      <c r="T95" s="150">
        <v>11.38</v>
      </c>
      <c r="U95" s="150">
        <v>12.05</v>
      </c>
      <c r="V95" s="150">
        <v>13.56</v>
      </c>
      <c r="W95" s="150">
        <v>17.29</v>
      </c>
      <c r="X95" s="151">
        <v>17.29</v>
      </c>
    </row>
    <row r="96" spans="1:24" ht="12.75" customHeight="1">
      <c r="N96" s="152">
        <v>0.5</v>
      </c>
      <c r="O96" s="149">
        <v>6.93</v>
      </c>
      <c r="P96" s="149">
        <v>6.97</v>
      </c>
      <c r="Q96" s="150">
        <v>7.41</v>
      </c>
      <c r="R96" s="150">
        <v>8.2799999999999994</v>
      </c>
      <c r="S96" s="150">
        <v>9.9700000000000006</v>
      </c>
      <c r="T96" s="150">
        <v>12.13</v>
      </c>
      <c r="U96" s="150">
        <v>12.91</v>
      </c>
      <c r="V96" s="150">
        <v>14.66</v>
      </c>
      <c r="W96" s="150">
        <v>18.899999999999999</v>
      </c>
      <c r="X96" s="151">
        <v>18.899999999999999</v>
      </c>
    </row>
    <row r="97" spans="14:24" ht="12.75" customHeight="1">
      <c r="N97" s="152">
        <v>0.6</v>
      </c>
      <c r="O97" s="149">
        <v>7.15</v>
      </c>
      <c r="P97" s="149">
        <v>7.22</v>
      </c>
      <c r="Q97" s="150">
        <v>7.69</v>
      </c>
      <c r="R97" s="150">
        <v>8.68</v>
      </c>
      <c r="S97" s="150">
        <v>10.58</v>
      </c>
      <c r="T97" s="150">
        <v>12.96</v>
      </c>
      <c r="U97" s="150">
        <v>13.85</v>
      </c>
      <c r="V97" s="150">
        <v>15.84</v>
      </c>
      <c r="W97" s="150">
        <v>20.36</v>
      </c>
      <c r="X97" s="151">
        <v>20.36</v>
      </c>
    </row>
    <row r="98" spans="14:24" ht="12.75" customHeight="1">
      <c r="N98" s="152">
        <v>0.7</v>
      </c>
      <c r="O98" s="149">
        <v>7.33</v>
      </c>
      <c r="P98" s="149">
        <v>7.37</v>
      </c>
      <c r="Q98" s="150">
        <v>7.91</v>
      </c>
      <c r="R98" s="150">
        <v>8.98</v>
      </c>
      <c r="S98" s="150">
        <v>11.05</v>
      </c>
      <c r="T98" s="150">
        <v>13.63</v>
      </c>
      <c r="U98" s="150">
        <v>14.61</v>
      </c>
      <c r="V98" s="150">
        <v>16.79</v>
      </c>
      <c r="W98" s="150">
        <v>21.57</v>
      </c>
      <c r="X98" s="151">
        <v>21.57</v>
      </c>
    </row>
    <row r="99" spans="14:24" ht="12.75" customHeight="1">
      <c r="N99" s="152">
        <v>0.8</v>
      </c>
      <c r="O99" s="149">
        <v>7.42</v>
      </c>
      <c r="P99" s="149">
        <v>7.48</v>
      </c>
      <c r="Q99" s="150">
        <v>8.0399999999999991</v>
      </c>
      <c r="R99" s="150">
        <v>9.17</v>
      </c>
      <c r="S99" s="150">
        <v>11.34</v>
      </c>
      <c r="T99" s="150">
        <v>14.39</v>
      </c>
      <c r="U99" s="150">
        <v>15.3</v>
      </c>
      <c r="V99" s="150">
        <v>17.84</v>
      </c>
      <c r="W99" s="150">
        <v>22.71</v>
      </c>
      <c r="X99" s="151">
        <v>22.71</v>
      </c>
    </row>
    <row r="100" spans="14:24" ht="12.75" customHeight="1">
      <c r="N100" s="152">
        <v>0.9</v>
      </c>
      <c r="O100" s="149">
        <v>7.78</v>
      </c>
      <c r="P100" s="149">
        <v>7.85</v>
      </c>
      <c r="Q100" s="150">
        <v>8.4499999999999993</v>
      </c>
      <c r="R100" s="150">
        <v>9.84</v>
      </c>
      <c r="S100" s="150">
        <v>12.1</v>
      </c>
      <c r="T100" s="150">
        <v>15.73</v>
      </c>
      <c r="U100" s="150">
        <v>16.760000000000002</v>
      </c>
      <c r="V100" s="150">
        <v>19.63</v>
      </c>
      <c r="W100" s="150">
        <v>23.89</v>
      </c>
      <c r="X100" s="151">
        <v>23.89</v>
      </c>
    </row>
    <row r="101" spans="14:24" ht="12.75" customHeight="1">
      <c r="N101" s="153">
        <v>1</v>
      </c>
      <c r="O101" s="154">
        <v>8.1</v>
      </c>
      <c r="P101" s="154">
        <v>8.19</v>
      </c>
      <c r="Q101" s="155">
        <v>8.8800000000000008</v>
      </c>
      <c r="R101" s="155">
        <v>10.49</v>
      </c>
      <c r="S101" s="155">
        <v>13.07</v>
      </c>
      <c r="T101" s="155">
        <v>16.649999999999999</v>
      </c>
      <c r="U101" s="155">
        <v>18.38</v>
      </c>
      <c r="V101" s="155">
        <v>21.19</v>
      </c>
      <c r="W101" s="155">
        <v>25.6</v>
      </c>
      <c r="X101" s="156">
        <v>25.6</v>
      </c>
    </row>
    <row r="102" spans="14:24" ht="12.75" customHeight="1"/>
    <row r="103" spans="14:24" ht="12.75" customHeight="1"/>
    <row r="104" spans="14:24" ht="12.75" customHeight="1"/>
    <row r="105" spans="14:24" ht="12.75" customHeight="1"/>
    <row r="106" spans="14:24" ht="12.75" customHeight="1"/>
    <row r="107" spans="14:24" ht="12.75" customHeight="1"/>
    <row r="108" spans="14:24" ht="12.75" customHeight="1"/>
    <row r="109" spans="14:24" ht="12.75" customHeight="1"/>
    <row r="110" spans="14:24" ht="12.75" customHeight="1"/>
    <row r="111" spans="14:24" ht="12.75" customHeight="1"/>
    <row r="112" spans="14:24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B78:J78"/>
    <mergeCell ref="O90:X90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</sheetPr>
  <dimension ref="A1:Z953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/>
  <cols>
    <col min="1" max="1" width="9.7109375" customWidth="1"/>
    <col min="2" max="6" width="8.5703125" customWidth="1"/>
    <col min="7" max="7" width="11.28515625" customWidth="1"/>
    <col min="8" max="8" width="11.140625" customWidth="1"/>
    <col min="9" max="12" width="8.5703125" customWidth="1"/>
    <col min="13" max="13" width="9.7109375" customWidth="1"/>
    <col min="14" max="14" width="9" customWidth="1"/>
    <col min="15" max="15" width="8.5703125" customWidth="1"/>
    <col min="16" max="16" width="8.42578125" customWidth="1"/>
    <col min="17" max="26" width="9.42578125" customWidth="1"/>
  </cols>
  <sheetData>
    <row r="1" spans="1:26" ht="12.75" customHeight="1">
      <c r="A1" s="87"/>
      <c r="B1" s="88" t="s">
        <v>16</v>
      </c>
      <c r="C1" s="88" t="s">
        <v>16</v>
      </c>
      <c r="D1" s="88" t="s">
        <v>19</v>
      </c>
      <c r="E1" s="88" t="s">
        <v>20</v>
      </c>
      <c r="F1" s="88" t="s">
        <v>21</v>
      </c>
      <c r="G1" s="88" t="s">
        <v>22</v>
      </c>
      <c r="H1" s="88" t="s">
        <v>23</v>
      </c>
      <c r="I1" s="88" t="s">
        <v>24</v>
      </c>
      <c r="J1" s="88" t="s">
        <v>25</v>
      </c>
      <c r="K1" s="88" t="s">
        <v>26</v>
      </c>
      <c r="L1" s="88" t="s">
        <v>27</v>
      </c>
      <c r="M1" s="88" t="s">
        <v>28</v>
      </c>
      <c r="N1" s="88" t="s">
        <v>29</v>
      </c>
      <c r="O1" s="88" t="s">
        <v>30</v>
      </c>
      <c r="P1" s="88" t="s">
        <v>31</v>
      </c>
      <c r="Q1" s="88" t="s">
        <v>81</v>
      </c>
      <c r="R1" s="60"/>
      <c r="S1" s="60"/>
      <c r="T1" s="60"/>
      <c r="U1" s="60"/>
      <c r="V1" s="60"/>
      <c r="W1" s="60"/>
      <c r="X1" s="60"/>
      <c r="Y1" s="60"/>
      <c r="Z1" s="60"/>
    </row>
    <row r="2" spans="1:26" ht="12.75" customHeight="1">
      <c r="A2" s="1" t="s">
        <v>5</v>
      </c>
      <c r="B2" s="90" t="s">
        <v>32</v>
      </c>
      <c r="C2" s="90" t="s">
        <v>33</v>
      </c>
      <c r="D2" s="90" t="s">
        <v>34</v>
      </c>
      <c r="E2" s="91" t="s">
        <v>35</v>
      </c>
      <c r="F2" s="91" t="s">
        <v>36</v>
      </c>
      <c r="G2" s="91" t="s">
        <v>37</v>
      </c>
      <c r="H2" s="91" t="s">
        <v>38</v>
      </c>
      <c r="I2" s="91" t="s">
        <v>39</v>
      </c>
      <c r="J2" s="91" t="s">
        <v>40</v>
      </c>
      <c r="K2" s="91" t="s">
        <v>41</v>
      </c>
      <c r="L2" s="91" t="s">
        <v>42</v>
      </c>
      <c r="M2" s="91" t="s">
        <v>43</v>
      </c>
      <c r="N2" s="91" t="s">
        <v>44</v>
      </c>
      <c r="O2" s="91" t="s">
        <v>45</v>
      </c>
      <c r="P2" s="91" t="s">
        <v>46</v>
      </c>
      <c r="Q2" s="91" t="s">
        <v>12</v>
      </c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>
        <v>1</v>
      </c>
      <c r="B3" s="157">
        <v>118.4</v>
      </c>
      <c r="C3" s="157">
        <v>127.21</v>
      </c>
      <c r="D3" s="157">
        <v>106.48</v>
      </c>
      <c r="E3" s="157">
        <v>139.1</v>
      </c>
      <c r="F3" s="157">
        <v>139.91999999999999</v>
      </c>
      <c r="G3" s="157">
        <v>138.19</v>
      </c>
      <c r="H3" s="157">
        <v>129.01</v>
      </c>
      <c r="I3" s="158">
        <v>135.15</v>
      </c>
      <c r="J3" s="158">
        <v>109.14</v>
      </c>
      <c r="K3" s="158">
        <v>160.68</v>
      </c>
      <c r="L3" s="158">
        <v>141.99</v>
      </c>
      <c r="M3" s="158">
        <v>194.29</v>
      </c>
      <c r="N3" s="158">
        <v>136.16</v>
      </c>
      <c r="O3" s="158">
        <v>147.54</v>
      </c>
      <c r="P3" s="158">
        <v>147.84</v>
      </c>
      <c r="Q3" s="158">
        <v>60.15</v>
      </c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5">
        <v>2</v>
      </c>
      <c r="B4" s="159">
        <v>125.52</v>
      </c>
      <c r="C4" s="159">
        <v>140.22999999999999</v>
      </c>
      <c r="D4" s="160">
        <v>115.37</v>
      </c>
      <c r="E4" s="160">
        <v>164.55</v>
      </c>
      <c r="F4" s="160">
        <v>200.09</v>
      </c>
      <c r="G4" s="160">
        <v>160.21</v>
      </c>
      <c r="H4" s="160">
        <v>153.1</v>
      </c>
      <c r="I4" s="160">
        <v>176.86</v>
      </c>
      <c r="J4" s="159">
        <v>134.05000000000001</v>
      </c>
      <c r="K4" s="161">
        <v>198.8</v>
      </c>
      <c r="L4" s="159">
        <v>177.03</v>
      </c>
      <c r="M4" s="159">
        <v>221.67</v>
      </c>
      <c r="N4" s="159">
        <v>188.64</v>
      </c>
      <c r="O4" s="159">
        <v>168.84</v>
      </c>
      <c r="P4" s="159">
        <v>164</v>
      </c>
      <c r="Q4" s="159">
        <v>65.95</v>
      </c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5">
        <v>3</v>
      </c>
      <c r="B5" s="162">
        <v>136.15</v>
      </c>
      <c r="C5" s="162">
        <v>153.93</v>
      </c>
      <c r="D5" s="163">
        <v>138.82</v>
      </c>
      <c r="E5" s="163">
        <v>191.17</v>
      </c>
      <c r="F5" s="163">
        <v>235.73</v>
      </c>
      <c r="G5" s="163">
        <v>188.13</v>
      </c>
      <c r="H5" s="162">
        <v>175.79</v>
      </c>
      <c r="I5" s="164">
        <v>196.74</v>
      </c>
      <c r="J5" s="162">
        <v>148.85</v>
      </c>
      <c r="K5" s="165">
        <v>223.85</v>
      </c>
      <c r="L5" s="162">
        <v>196.6</v>
      </c>
      <c r="M5" s="162">
        <v>250.3</v>
      </c>
      <c r="N5" s="162">
        <v>238.2</v>
      </c>
      <c r="O5" s="162">
        <v>201.44</v>
      </c>
      <c r="P5" s="162">
        <v>215.33</v>
      </c>
      <c r="Q5" s="162">
        <v>75.25</v>
      </c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5">
        <v>4</v>
      </c>
      <c r="B6" s="162">
        <v>144.6</v>
      </c>
      <c r="C6" s="162">
        <v>166.24</v>
      </c>
      <c r="D6" s="163">
        <v>141.18</v>
      </c>
      <c r="E6" s="162">
        <v>217.61</v>
      </c>
      <c r="F6" s="164">
        <v>287.76</v>
      </c>
      <c r="G6" s="163">
        <v>213.34</v>
      </c>
      <c r="H6" s="163">
        <v>198.23</v>
      </c>
      <c r="I6" s="163">
        <v>220.92</v>
      </c>
      <c r="J6" s="162">
        <v>164.77</v>
      </c>
      <c r="K6" s="165">
        <v>246.79</v>
      </c>
      <c r="L6" s="165">
        <v>220.06</v>
      </c>
      <c r="M6" s="165">
        <v>290.57</v>
      </c>
      <c r="N6" s="165">
        <v>273.57</v>
      </c>
      <c r="O6" s="165">
        <v>221.67</v>
      </c>
      <c r="P6" s="165">
        <v>221.08</v>
      </c>
      <c r="Q6" s="165">
        <v>80.3</v>
      </c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5">
        <v>5</v>
      </c>
      <c r="B7" s="166">
        <v>165.25</v>
      </c>
      <c r="C7" s="166">
        <v>192.42</v>
      </c>
      <c r="D7" s="167">
        <v>165.12</v>
      </c>
      <c r="E7" s="163">
        <v>238.36</v>
      </c>
      <c r="F7" s="163">
        <v>331.29</v>
      </c>
      <c r="G7" s="163">
        <v>233.59</v>
      </c>
      <c r="H7" s="163">
        <v>233.57</v>
      </c>
      <c r="I7" s="167">
        <v>262.64</v>
      </c>
      <c r="J7" s="166">
        <v>174.39</v>
      </c>
      <c r="K7" s="168">
        <v>277.11</v>
      </c>
      <c r="L7" s="166">
        <v>247.77</v>
      </c>
      <c r="M7" s="166">
        <v>313.82</v>
      </c>
      <c r="N7" s="166">
        <v>313.39999999999998</v>
      </c>
      <c r="O7" s="166">
        <v>232.86</v>
      </c>
      <c r="P7" s="166">
        <v>234.12</v>
      </c>
      <c r="Q7" s="166">
        <v>87.1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5">
        <v>6</v>
      </c>
      <c r="B8" s="169">
        <v>171.12</v>
      </c>
      <c r="C8" s="169">
        <v>197.26</v>
      </c>
      <c r="D8" s="170">
        <v>171.55</v>
      </c>
      <c r="E8" s="170">
        <v>255.15</v>
      </c>
      <c r="F8" s="171">
        <v>351.31</v>
      </c>
      <c r="G8" s="170">
        <v>274.23</v>
      </c>
      <c r="H8" s="170">
        <v>251.99</v>
      </c>
      <c r="I8" s="172">
        <v>278.95</v>
      </c>
      <c r="J8" s="172">
        <v>194.87</v>
      </c>
      <c r="K8" s="172">
        <v>299.08999999999997</v>
      </c>
      <c r="L8" s="172">
        <v>261.62</v>
      </c>
      <c r="M8" s="172">
        <v>389.8</v>
      </c>
      <c r="N8" s="172">
        <v>360.51</v>
      </c>
      <c r="O8" s="172">
        <v>272.33999999999997</v>
      </c>
      <c r="P8" s="172">
        <v>251.44</v>
      </c>
      <c r="Q8" s="172">
        <v>92.8</v>
      </c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5">
        <v>7</v>
      </c>
      <c r="B9" s="173">
        <v>177.85</v>
      </c>
      <c r="C9" s="173">
        <v>204.9</v>
      </c>
      <c r="D9" s="174">
        <v>194.4</v>
      </c>
      <c r="E9" s="174">
        <v>260.13</v>
      </c>
      <c r="F9" s="175">
        <v>391.49</v>
      </c>
      <c r="G9" s="174">
        <v>280.7</v>
      </c>
      <c r="H9" s="174">
        <v>254.65</v>
      </c>
      <c r="I9" s="176">
        <v>286.54000000000002</v>
      </c>
      <c r="J9" s="176">
        <v>211.89</v>
      </c>
      <c r="K9" s="176">
        <v>329.05</v>
      </c>
      <c r="L9" s="176">
        <v>302.91000000000003</v>
      </c>
      <c r="M9" s="176">
        <v>397.41</v>
      </c>
      <c r="N9" s="176">
        <v>377.52</v>
      </c>
      <c r="O9" s="176">
        <v>276.31</v>
      </c>
      <c r="P9" s="176">
        <v>278.12</v>
      </c>
      <c r="Q9" s="176">
        <v>99.85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5">
        <v>8</v>
      </c>
      <c r="B10" s="173">
        <v>181.33</v>
      </c>
      <c r="C10" s="173">
        <v>211.79</v>
      </c>
      <c r="D10" s="174">
        <v>206.43</v>
      </c>
      <c r="E10" s="174">
        <v>265.24</v>
      </c>
      <c r="F10" s="175">
        <v>395.53</v>
      </c>
      <c r="G10" s="174">
        <v>290.48</v>
      </c>
      <c r="H10" s="174">
        <v>256.88</v>
      </c>
      <c r="I10" s="176">
        <v>304.66000000000003</v>
      </c>
      <c r="J10" s="176">
        <v>213.61</v>
      </c>
      <c r="K10" s="176">
        <v>355.06</v>
      </c>
      <c r="L10" s="176">
        <v>307.05</v>
      </c>
      <c r="M10" s="176">
        <v>449.9</v>
      </c>
      <c r="N10" s="176">
        <v>421.83</v>
      </c>
      <c r="O10" s="176">
        <v>318.64999999999998</v>
      </c>
      <c r="P10" s="176">
        <v>304.61</v>
      </c>
      <c r="Q10" s="176">
        <v>105.75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5">
        <v>9</v>
      </c>
      <c r="B11" s="173">
        <v>187.89</v>
      </c>
      <c r="C11" s="173">
        <v>225.97</v>
      </c>
      <c r="D11" s="174">
        <v>207.64</v>
      </c>
      <c r="E11" s="174">
        <v>276.24</v>
      </c>
      <c r="F11" s="175">
        <v>442.53</v>
      </c>
      <c r="G11" s="174">
        <v>297.89</v>
      </c>
      <c r="H11" s="174">
        <v>300.75</v>
      </c>
      <c r="I11" s="176">
        <v>322.8</v>
      </c>
      <c r="J11" s="176">
        <v>224.21</v>
      </c>
      <c r="K11" s="176">
        <v>387.57</v>
      </c>
      <c r="L11" s="176">
        <v>346.47</v>
      </c>
      <c r="M11" s="176">
        <v>506.05</v>
      </c>
      <c r="N11" s="176">
        <v>487.82</v>
      </c>
      <c r="O11" s="176">
        <v>332.77</v>
      </c>
      <c r="P11" s="176">
        <v>334.82</v>
      </c>
      <c r="Q11" s="176">
        <v>112.35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5">
        <v>10</v>
      </c>
      <c r="B12" s="173">
        <v>192.14</v>
      </c>
      <c r="C12" s="177">
        <v>232.04</v>
      </c>
      <c r="D12" s="178">
        <v>209.01</v>
      </c>
      <c r="E12" s="178">
        <v>277.44</v>
      </c>
      <c r="F12" s="179">
        <v>447.24</v>
      </c>
      <c r="G12" s="178">
        <v>298.64</v>
      </c>
      <c r="H12" s="178">
        <v>305.14999999999998</v>
      </c>
      <c r="I12" s="180">
        <v>324.62</v>
      </c>
      <c r="J12" s="180">
        <v>235.2</v>
      </c>
      <c r="K12" s="180">
        <v>391.11</v>
      </c>
      <c r="L12" s="180">
        <v>350.42</v>
      </c>
      <c r="M12" s="180">
        <v>511.67</v>
      </c>
      <c r="N12" s="180">
        <v>494.42</v>
      </c>
      <c r="O12" s="180">
        <v>344.27</v>
      </c>
      <c r="P12" s="180">
        <v>337.85</v>
      </c>
      <c r="Q12" s="180">
        <v>122.1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5">
        <v>11</v>
      </c>
      <c r="B13" s="159">
        <v>192.57</v>
      </c>
      <c r="C13" s="162">
        <v>234.96</v>
      </c>
      <c r="D13" s="162">
        <v>236</v>
      </c>
      <c r="E13" s="162">
        <v>301.24</v>
      </c>
      <c r="F13" s="165">
        <v>448.14</v>
      </c>
      <c r="G13" s="162">
        <v>302.11</v>
      </c>
      <c r="H13" s="162">
        <v>305.77999999999997</v>
      </c>
      <c r="I13" s="163">
        <v>329.99</v>
      </c>
      <c r="J13" s="163">
        <v>255.23</v>
      </c>
      <c r="K13" s="163">
        <v>402.55</v>
      </c>
      <c r="L13" s="163">
        <v>354.14</v>
      </c>
      <c r="M13" s="163">
        <v>536.97</v>
      </c>
      <c r="N13" s="163">
        <v>495.42</v>
      </c>
      <c r="O13" s="163">
        <v>345.43</v>
      </c>
      <c r="P13" s="163">
        <v>356.93</v>
      </c>
      <c r="Q13" s="163">
        <v>129.15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5">
        <v>12</v>
      </c>
      <c r="B14" s="162">
        <v>194.41</v>
      </c>
      <c r="C14" s="162">
        <v>240.48</v>
      </c>
      <c r="D14" s="162">
        <v>240.84</v>
      </c>
      <c r="E14" s="162">
        <v>304.43</v>
      </c>
      <c r="F14" s="165">
        <v>463.96</v>
      </c>
      <c r="G14" s="162">
        <v>306.82</v>
      </c>
      <c r="H14" s="162">
        <v>311.07</v>
      </c>
      <c r="I14" s="163">
        <v>333.45</v>
      </c>
      <c r="J14" s="163">
        <v>257.25</v>
      </c>
      <c r="K14" s="163">
        <v>409.77</v>
      </c>
      <c r="L14" s="163">
        <v>359.11</v>
      </c>
      <c r="M14" s="163">
        <v>542.79</v>
      </c>
      <c r="N14" s="163">
        <v>503.06</v>
      </c>
      <c r="O14" s="163">
        <v>350.46</v>
      </c>
      <c r="P14" s="163">
        <v>358.85</v>
      </c>
      <c r="Q14" s="163">
        <v>136.6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5">
        <v>13</v>
      </c>
      <c r="B15" s="162">
        <v>211.24</v>
      </c>
      <c r="C15" s="162">
        <v>276.88</v>
      </c>
      <c r="D15" s="162">
        <v>242.45</v>
      </c>
      <c r="E15" s="162">
        <v>333.75</v>
      </c>
      <c r="F15" s="165">
        <v>506.19</v>
      </c>
      <c r="G15" s="162">
        <v>334.24</v>
      </c>
      <c r="H15" s="162">
        <v>367.19</v>
      </c>
      <c r="I15" s="163">
        <v>374.26</v>
      </c>
      <c r="J15" s="163">
        <v>264.42</v>
      </c>
      <c r="K15" s="163">
        <v>505.35</v>
      </c>
      <c r="L15" s="163">
        <v>393.47</v>
      </c>
      <c r="M15" s="163">
        <v>581.38</v>
      </c>
      <c r="N15" s="163">
        <v>546.09</v>
      </c>
      <c r="O15" s="163">
        <v>406.78</v>
      </c>
      <c r="P15" s="163">
        <v>385.79</v>
      </c>
      <c r="Q15" s="163">
        <v>141.6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5">
        <v>14</v>
      </c>
      <c r="B16" s="162">
        <v>218.47</v>
      </c>
      <c r="C16" s="162">
        <v>285.52999999999997</v>
      </c>
      <c r="D16" s="162">
        <v>243.08</v>
      </c>
      <c r="E16" s="162">
        <v>362.64</v>
      </c>
      <c r="F16" s="165">
        <v>586.13</v>
      </c>
      <c r="G16" s="162">
        <v>359.17</v>
      </c>
      <c r="H16" s="162">
        <v>372.81</v>
      </c>
      <c r="I16" s="163">
        <v>422.98</v>
      </c>
      <c r="J16" s="163">
        <v>272.12</v>
      </c>
      <c r="K16" s="163">
        <v>534.64</v>
      </c>
      <c r="L16" s="163">
        <v>433.81</v>
      </c>
      <c r="M16" s="163">
        <v>676.86</v>
      </c>
      <c r="N16" s="163">
        <v>621.29</v>
      </c>
      <c r="O16" s="163">
        <v>447.13</v>
      </c>
      <c r="P16" s="163">
        <v>450.66</v>
      </c>
      <c r="Q16" s="163">
        <v>147.05000000000001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5">
        <v>15</v>
      </c>
      <c r="B17" s="166">
        <v>232.19</v>
      </c>
      <c r="C17" s="166">
        <v>300.52</v>
      </c>
      <c r="D17" s="166">
        <v>255.55</v>
      </c>
      <c r="E17" s="166">
        <v>372.19</v>
      </c>
      <c r="F17" s="168">
        <v>647.58000000000004</v>
      </c>
      <c r="G17" s="166">
        <v>361.67</v>
      </c>
      <c r="H17" s="166">
        <v>373.56</v>
      </c>
      <c r="I17" s="167">
        <v>445.85</v>
      </c>
      <c r="J17" s="167">
        <v>282.10000000000002</v>
      </c>
      <c r="K17" s="167">
        <v>551.34</v>
      </c>
      <c r="L17" s="167">
        <v>437.85</v>
      </c>
      <c r="M17" s="167">
        <v>686.42</v>
      </c>
      <c r="N17" s="167">
        <v>628.82000000000005</v>
      </c>
      <c r="O17" s="167">
        <v>463.24</v>
      </c>
      <c r="P17" s="167">
        <v>498.25</v>
      </c>
      <c r="Q17" s="167">
        <v>152.65</v>
      </c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5">
        <v>16</v>
      </c>
      <c r="B18" s="169">
        <v>243.07</v>
      </c>
      <c r="C18" s="169">
        <v>307.27999999999997</v>
      </c>
      <c r="D18" s="174">
        <v>256.8</v>
      </c>
      <c r="E18" s="174">
        <v>401.46</v>
      </c>
      <c r="F18" s="175">
        <v>653.73</v>
      </c>
      <c r="G18" s="174">
        <v>384.05</v>
      </c>
      <c r="H18" s="174">
        <v>374.31</v>
      </c>
      <c r="I18" s="176">
        <v>448.15</v>
      </c>
      <c r="J18" s="176">
        <v>318.77999999999997</v>
      </c>
      <c r="K18" s="176">
        <v>587</v>
      </c>
      <c r="L18" s="176">
        <v>488.7</v>
      </c>
      <c r="M18" s="176">
        <v>713.26</v>
      </c>
      <c r="N18" s="176">
        <v>630.73</v>
      </c>
      <c r="O18" s="176">
        <v>471.92</v>
      </c>
      <c r="P18" s="176">
        <v>522.95000000000005</v>
      </c>
      <c r="Q18" s="176">
        <v>159.5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5">
        <v>17</v>
      </c>
      <c r="B19" s="173">
        <v>244.97</v>
      </c>
      <c r="C19" s="173">
        <v>308.06</v>
      </c>
      <c r="D19" s="174">
        <v>270.7</v>
      </c>
      <c r="E19" s="174">
        <v>404.4</v>
      </c>
      <c r="F19" s="175">
        <v>656.72</v>
      </c>
      <c r="G19" s="174">
        <v>405.42</v>
      </c>
      <c r="H19" s="174">
        <v>386.28</v>
      </c>
      <c r="I19" s="176">
        <v>469.31</v>
      </c>
      <c r="J19" s="176">
        <v>329.67</v>
      </c>
      <c r="K19" s="176">
        <v>601.12</v>
      </c>
      <c r="L19" s="176">
        <v>509.62</v>
      </c>
      <c r="M19" s="176">
        <v>751.95</v>
      </c>
      <c r="N19" s="176">
        <v>635.02</v>
      </c>
      <c r="O19" s="176">
        <v>488.52</v>
      </c>
      <c r="P19" s="176">
        <v>525.42999999999995</v>
      </c>
      <c r="Q19" s="176">
        <v>166.15</v>
      </c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5">
        <v>18</v>
      </c>
      <c r="B20" s="173">
        <v>251.42</v>
      </c>
      <c r="C20" s="173">
        <v>315.74</v>
      </c>
      <c r="D20" s="174">
        <v>272.61</v>
      </c>
      <c r="E20" s="174">
        <v>405.23</v>
      </c>
      <c r="F20" s="175">
        <v>716.43</v>
      </c>
      <c r="G20" s="174">
        <v>407.6</v>
      </c>
      <c r="H20" s="174">
        <v>419.88</v>
      </c>
      <c r="I20" s="176">
        <v>487.81</v>
      </c>
      <c r="J20" s="176">
        <v>330.77</v>
      </c>
      <c r="K20" s="176">
        <v>612.58000000000004</v>
      </c>
      <c r="L20" s="176">
        <v>523.86</v>
      </c>
      <c r="M20" s="176">
        <v>812.53</v>
      </c>
      <c r="N20" s="176">
        <v>720.61</v>
      </c>
      <c r="O20" s="176">
        <v>496.54</v>
      </c>
      <c r="P20" s="176">
        <v>553.32000000000005</v>
      </c>
      <c r="Q20" s="176">
        <v>174.35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5">
        <v>19</v>
      </c>
      <c r="B21" s="173">
        <v>257.79000000000002</v>
      </c>
      <c r="C21" s="173">
        <v>323.52</v>
      </c>
      <c r="D21" s="174">
        <v>310.47000000000003</v>
      </c>
      <c r="E21" s="174">
        <v>406.59</v>
      </c>
      <c r="F21" s="175">
        <v>728.77</v>
      </c>
      <c r="G21" s="174">
        <v>429.62</v>
      </c>
      <c r="H21" s="174">
        <v>423.25</v>
      </c>
      <c r="I21" s="176">
        <v>489.66</v>
      </c>
      <c r="J21" s="176">
        <v>336.88</v>
      </c>
      <c r="K21" s="176">
        <v>639.67999999999995</v>
      </c>
      <c r="L21" s="176">
        <v>553.02</v>
      </c>
      <c r="M21" s="176">
        <v>839.56</v>
      </c>
      <c r="N21" s="176">
        <v>770.04</v>
      </c>
      <c r="O21" s="176">
        <v>499.17</v>
      </c>
      <c r="P21" s="176">
        <v>561.72</v>
      </c>
      <c r="Q21" s="176">
        <v>183.55</v>
      </c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5">
        <v>20</v>
      </c>
      <c r="B22" s="177">
        <v>264.20999999999998</v>
      </c>
      <c r="C22" s="177">
        <v>331.25</v>
      </c>
      <c r="D22" s="178">
        <v>317.06</v>
      </c>
      <c r="E22" s="178">
        <v>433.44</v>
      </c>
      <c r="F22" s="179">
        <v>810.72</v>
      </c>
      <c r="G22" s="178">
        <v>443.55</v>
      </c>
      <c r="H22" s="178">
        <v>424.24</v>
      </c>
      <c r="I22" s="180">
        <v>491.47</v>
      </c>
      <c r="J22" s="180">
        <v>338.21</v>
      </c>
      <c r="K22" s="180">
        <v>644.79999999999995</v>
      </c>
      <c r="L22" s="180">
        <v>555.94000000000005</v>
      </c>
      <c r="M22" s="180">
        <v>842.27</v>
      </c>
      <c r="N22" s="180">
        <v>778.57</v>
      </c>
      <c r="O22" s="180">
        <v>551.38</v>
      </c>
      <c r="P22" s="180">
        <v>571.71</v>
      </c>
      <c r="Q22" s="180">
        <v>190.2</v>
      </c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5">
        <v>21</v>
      </c>
      <c r="B23" s="159">
        <v>292.7</v>
      </c>
      <c r="C23" s="159">
        <v>369.52</v>
      </c>
      <c r="D23" s="162">
        <v>319.55</v>
      </c>
      <c r="E23" s="162">
        <v>454.31</v>
      </c>
      <c r="F23" s="165">
        <v>871.12</v>
      </c>
      <c r="G23" s="162">
        <v>447.39</v>
      </c>
      <c r="H23" s="162">
        <v>443.8</v>
      </c>
      <c r="I23" s="163">
        <v>499.05</v>
      </c>
      <c r="J23" s="163">
        <v>364.64</v>
      </c>
      <c r="K23" s="163">
        <v>674.15</v>
      </c>
      <c r="L23" s="163">
        <v>581.86</v>
      </c>
      <c r="M23" s="163">
        <v>878.48</v>
      </c>
      <c r="N23" s="163">
        <v>829.98</v>
      </c>
      <c r="O23" s="163">
        <v>566.65</v>
      </c>
      <c r="P23" s="163">
        <v>575.34</v>
      </c>
      <c r="Q23" s="163">
        <v>197.3</v>
      </c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5">
        <v>22</v>
      </c>
      <c r="B24" s="162">
        <v>295.56</v>
      </c>
      <c r="C24" s="162">
        <v>373.38</v>
      </c>
      <c r="D24" s="162">
        <v>320.89999999999998</v>
      </c>
      <c r="E24" s="162">
        <v>456.4</v>
      </c>
      <c r="F24" s="165">
        <v>888.48</v>
      </c>
      <c r="G24" s="162">
        <v>447.78</v>
      </c>
      <c r="H24" s="162">
        <v>464.2</v>
      </c>
      <c r="I24" s="163">
        <v>499.81</v>
      </c>
      <c r="J24" s="163">
        <v>384.71</v>
      </c>
      <c r="K24" s="163">
        <v>677.09</v>
      </c>
      <c r="L24" s="163">
        <v>584.46</v>
      </c>
      <c r="M24" s="163">
        <v>905.39</v>
      </c>
      <c r="N24" s="163">
        <v>835.13</v>
      </c>
      <c r="O24" s="163">
        <v>568.19000000000005</v>
      </c>
      <c r="P24" s="163">
        <v>575.71</v>
      </c>
      <c r="Q24" s="163">
        <v>206.45</v>
      </c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5">
        <v>23</v>
      </c>
      <c r="B25" s="162">
        <v>305.83</v>
      </c>
      <c r="C25" s="162">
        <v>373.88</v>
      </c>
      <c r="D25" s="162">
        <v>347.77</v>
      </c>
      <c r="E25" s="162">
        <v>456.69</v>
      </c>
      <c r="F25" s="165">
        <v>890.23</v>
      </c>
      <c r="G25" s="162">
        <v>448.09</v>
      </c>
      <c r="H25" s="162">
        <v>466.25</v>
      </c>
      <c r="I25" s="163">
        <v>500.1</v>
      </c>
      <c r="J25" s="163">
        <v>386.73</v>
      </c>
      <c r="K25" s="163">
        <v>677.39</v>
      </c>
      <c r="L25" s="163">
        <v>584.75</v>
      </c>
      <c r="M25" s="163">
        <v>908.1</v>
      </c>
      <c r="N25" s="163">
        <v>835.65</v>
      </c>
      <c r="O25" s="163">
        <v>568.45000000000005</v>
      </c>
      <c r="P25" s="163">
        <v>575.99</v>
      </c>
      <c r="Q25" s="163">
        <v>214.05</v>
      </c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5">
        <v>24</v>
      </c>
      <c r="B26" s="162">
        <v>315.98</v>
      </c>
      <c r="C26" s="162">
        <v>374.21</v>
      </c>
      <c r="D26" s="162">
        <v>359.62</v>
      </c>
      <c r="E26" s="162">
        <v>457.09</v>
      </c>
      <c r="F26" s="165">
        <v>890.81</v>
      </c>
      <c r="G26" s="162">
        <v>448.44</v>
      </c>
      <c r="H26" s="162">
        <v>466.58</v>
      </c>
      <c r="I26" s="163">
        <v>500.61</v>
      </c>
      <c r="J26" s="163">
        <v>387.77</v>
      </c>
      <c r="K26" s="163">
        <v>678.01</v>
      </c>
      <c r="L26" s="163">
        <v>585.15</v>
      </c>
      <c r="M26" s="163">
        <v>930.19</v>
      </c>
      <c r="N26" s="163">
        <v>836.01</v>
      </c>
      <c r="O26" s="163">
        <v>568.97</v>
      </c>
      <c r="P26" s="163">
        <v>576.44000000000005</v>
      </c>
      <c r="Q26" s="163">
        <v>221.95</v>
      </c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5">
        <v>25</v>
      </c>
      <c r="B27" s="166">
        <v>319.99</v>
      </c>
      <c r="C27" s="166">
        <v>379.3</v>
      </c>
      <c r="D27" s="166">
        <v>360.81</v>
      </c>
      <c r="E27" s="166">
        <v>465.02</v>
      </c>
      <c r="F27" s="168">
        <v>900.32</v>
      </c>
      <c r="G27" s="166">
        <v>455.31</v>
      </c>
      <c r="H27" s="166">
        <v>472.94</v>
      </c>
      <c r="I27" s="167">
        <v>510.67</v>
      </c>
      <c r="J27" s="167">
        <v>390.13</v>
      </c>
      <c r="K27" s="167">
        <v>690.39</v>
      </c>
      <c r="L27" s="167">
        <v>592.80999999999995</v>
      </c>
      <c r="M27" s="167">
        <v>940.15</v>
      </c>
      <c r="N27" s="167">
        <v>843.07</v>
      </c>
      <c r="O27" s="167">
        <v>579.16</v>
      </c>
      <c r="P27" s="167">
        <v>585.38</v>
      </c>
      <c r="Q27" s="167">
        <v>229.75</v>
      </c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5">
        <v>26</v>
      </c>
      <c r="B28" s="169">
        <v>364.9</v>
      </c>
      <c r="C28" s="169">
        <v>434.5</v>
      </c>
      <c r="D28" s="174">
        <v>361.11</v>
      </c>
      <c r="E28" s="174">
        <v>615.79999999999995</v>
      </c>
      <c r="F28" s="175">
        <v>1048.1500000000001</v>
      </c>
      <c r="G28" s="174">
        <v>592.59</v>
      </c>
      <c r="H28" s="174">
        <v>526.76</v>
      </c>
      <c r="I28" s="176">
        <v>711.36</v>
      </c>
      <c r="J28" s="176">
        <v>437</v>
      </c>
      <c r="K28" s="176">
        <v>907.29</v>
      </c>
      <c r="L28" s="176">
        <v>702.39</v>
      </c>
      <c r="M28" s="176">
        <v>1015.53</v>
      </c>
      <c r="N28" s="176">
        <v>983.99</v>
      </c>
      <c r="O28" s="176">
        <v>772.9</v>
      </c>
      <c r="P28" s="176">
        <v>763.88</v>
      </c>
      <c r="Q28" s="176">
        <v>231.45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5">
        <v>27</v>
      </c>
      <c r="B29" s="173">
        <v>382.54</v>
      </c>
      <c r="C29" s="173">
        <v>455.38</v>
      </c>
      <c r="D29" s="174">
        <v>361.39</v>
      </c>
      <c r="E29" s="174">
        <v>650.03</v>
      </c>
      <c r="F29" s="175">
        <v>1062.94</v>
      </c>
      <c r="G29" s="174">
        <v>624.07000000000005</v>
      </c>
      <c r="H29" s="174">
        <v>557.58000000000004</v>
      </c>
      <c r="I29" s="176">
        <v>731.72</v>
      </c>
      <c r="J29" s="176">
        <v>446.27</v>
      </c>
      <c r="K29" s="176">
        <v>931.16</v>
      </c>
      <c r="L29" s="176">
        <v>737.01</v>
      </c>
      <c r="M29" s="176">
        <v>1023.08</v>
      </c>
      <c r="N29" s="176">
        <v>1107.3399999999999</v>
      </c>
      <c r="O29" s="176">
        <v>801.23</v>
      </c>
      <c r="P29" s="176">
        <v>822.81</v>
      </c>
      <c r="Q29" s="176">
        <v>238.75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5">
        <v>28</v>
      </c>
      <c r="B30" s="173">
        <v>396.88</v>
      </c>
      <c r="C30" s="173">
        <v>458.73</v>
      </c>
      <c r="D30" s="174">
        <v>362.98</v>
      </c>
      <c r="E30" s="174">
        <v>653.47</v>
      </c>
      <c r="F30" s="175">
        <v>1089.19</v>
      </c>
      <c r="G30" s="174">
        <v>627.22</v>
      </c>
      <c r="H30" s="175">
        <v>560.66999999999996</v>
      </c>
      <c r="I30" s="176">
        <v>750.44</v>
      </c>
      <c r="J30" s="176">
        <v>447.61</v>
      </c>
      <c r="K30" s="176">
        <v>933.56</v>
      </c>
      <c r="L30" s="176">
        <v>822.08</v>
      </c>
      <c r="M30" s="176">
        <v>1029.3699999999999</v>
      </c>
      <c r="N30" s="176">
        <v>1119.68</v>
      </c>
      <c r="O30" s="176">
        <v>806.32</v>
      </c>
      <c r="P30" s="176">
        <v>839.05</v>
      </c>
      <c r="Q30" s="176">
        <v>246.35</v>
      </c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5">
        <v>29</v>
      </c>
      <c r="B31" s="173">
        <v>402.91</v>
      </c>
      <c r="C31" s="173">
        <v>460.2</v>
      </c>
      <c r="D31" s="174">
        <v>394.29</v>
      </c>
      <c r="E31" s="174">
        <v>653.87</v>
      </c>
      <c r="F31" s="175">
        <v>1094.8</v>
      </c>
      <c r="G31" s="174">
        <v>627.88</v>
      </c>
      <c r="H31" s="175">
        <v>607.5</v>
      </c>
      <c r="I31" s="176">
        <v>752.57</v>
      </c>
      <c r="J31" s="176">
        <v>474.23</v>
      </c>
      <c r="K31" s="176">
        <v>937.49</v>
      </c>
      <c r="L31" s="176">
        <v>830.59</v>
      </c>
      <c r="M31" s="176">
        <v>1081.8800000000001</v>
      </c>
      <c r="N31" s="176">
        <v>1120.92</v>
      </c>
      <c r="O31" s="176">
        <v>851.16</v>
      </c>
      <c r="P31" s="176">
        <v>840.68</v>
      </c>
      <c r="Q31" s="176">
        <v>253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2.75" customHeight="1">
      <c r="A32" s="5">
        <v>30</v>
      </c>
      <c r="B32" s="177">
        <v>403.59</v>
      </c>
      <c r="C32" s="177">
        <v>477.51</v>
      </c>
      <c r="D32" s="178">
        <v>397.43</v>
      </c>
      <c r="E32" s="178">
        <v>654.71</v>
      </c>
      <c r="F32" s="179">
        <v>1095.3699999999999</v>
      </c>
      <c r="G32" s="178">
        <v>628.17999999999995</v>
      </c>
      <c r="H32" s="179">
        <v>645.45000000000005</v>
      </c>
      <c r="I32" s="180">
        <v>771.29</v>
      </c>
      <c r="J32" s="180">
        <v>476.9</v>
      </c>
      <c r="K32" s="180">
        <v>937.89</v>
      </c>
      <c r="L32" s="180">
        <v>831.47</v>
      </c>
      <c r="M32" s="180">
        <v>1087.1500000000001</v>
      </c>
      <c r="N32" s="180">
        <v>1121.22</v>
      </c>
      <c r="O32" s="180">
        <v>855.66</v>
      </c>
      <c r="P32" s="180">
        <v>841.37</v>
      </c>
      <c r="Q32" s="180">
        <v>260.45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2.75" customHeight="1">
      <c r="A33" s="5">
        <v>31</v>
      </c>
      <c r="B33" s="159">
        <v>406.52</v>
      </c>
      <c r="C33" s="159">
        <v>479.29</v>
      </c>
      <c r="D33" s="162">
        <v>397.76</v>
      </c>
      <c r="E33" s="162">
        <v>666.59</v>
      </c>
      <c r="F33" s="165">
        <v>1100.69</v>
      </c>
      <c r="G33" s="162">
        <v>630.03</v>
      </c>
      <c r="H33" s="165">
        <v>658.38</v>
      </c>
      <c r="I33" s="163">
        <v>773.36</v>
      </c>
      <c r="J33" s="163">
        <v>477.33</v>
      </c>
      <c r="K33" s="163">
        <v>938.2</v>
      </c>
      <c r="L33" s="163">
        <v>848.93</v>
      </c>
      <c r="M33" s="163">
        <v>1181.31</v>
      </c>
      <c r="N33" s="163">
        <v>1121.5</v>
      </c>
      <c r="O33" s="163">
        <v>856.11</v>
      </c>
      <c r="P33" s="163">
        <v>841.65</v>
      </c>
      <c r="Q33" s="163">
        <v>267.64999999999998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2.75" customHeight="1">
      <c r="A34" s="5">
        <v>32</v>
      </c>
      <c r="B34" s="162">
        <v>406.82</v>
      </c>
      <c r="C34" s="162">
        <v>479.58</v>
      </c>
      <c r="D34" s="162">
        <v>398.11</v>
      </c>
      <c r="E34" s="162">
        <v>667.78</v>
      </c>
      <c r="F34" s="165">
        <v>1205.8599999999999</v>
      </c>
      <c r="G34" s="162">
        <v>666.82</v>
      </c>
      <c r="H34" s="165">
        <v>701.02</v>
      </c>
      <c r="I34" s="163">
        <v>777.56</v>
      </c>
      <c r="J34" s="163">
        <v>485.8</v>
      </c>
      <c r="K34" s="163">
        <v>938.49</v>
      </c>
      <c r="L34" s="163">
        <v>850.69</v>
      </c>
      <c r="M34" s="163">
        <v>1190.75</v>
      </c>
      <c r="N34" s="163">
        <v>1121.92</v>
      </c>
      <c r="O34" s="163">
        <v>860.27</v>
      </c>
      <c r="P34" s="163">
        <v>844.22</v>
      </c>
      <c r="Q34" s="163">
        <v>275.45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2.75" customHeight="1">
      <c r="A35" s="5">
        <v>33</v>
      </c>
      <c r="B35" s="162">
        <v>407.12</v>
      </c>
      <c r="C35" s="162">
        <v>479.88</v>
      </c>
      <c r="D35" s="162">
        <v>398.49</v>
      </c>
      <c r="E35" s="162">
        <v>671.7</v>
      </c>
      <c r="F35" s="165">
        <v>1216.3800000000001</v>
      </c>
      <c r="G35" s="162">
        <v>728.49</v>
      </c>
      <c r="H35" s="165">
        <v>705.3</v>
      </c>
      <c r="I35" s="163">
        <v>799.36</v>
      </c>
      <c r="J35" s="163">
        <v>501.18</v>
      </c>
      <c r="K35" s="163">
        <v>938.79</v>
      </c>
      <c r="L35" s="163">
        <v>851.05</v>
      </c>
      <c r="M35" s="163">
        <v>1201.3699999999999</v>
      </c>
      <c r="N35" s="163">
        <v>1122.3699999999999</v>
      </c>
      <c r="O35" s="163">
        <v>943.03</v>
      </c>
      <c r="P35" s="163">
        <v>894.27</v>
      </c>
      <c r="Q35" s="163">
        <v>282.95</v>
      </c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2.75" customHeight="1">
      <c r="A36" s="5">
        <v>34</v>
      </c>
      <c r="B36" s="162">
        <v>407.43</v>
      </c>
      <c r="C36" s="162">
        <v>480.18</v>
      </c>
      <c r="D36" s="162">
        <v>398.78</v>
      </c>
      <c r="E36" s="162">
        <v>672.13</v>
      </c>
      <c r="F36" s="165">
        <v>1217.44</v>
      </c>
      <c r="G36" s="162">
        <v>734.68</v>
      </c>
      <c r="H36" s="165">
        <v>705.98</v>
      </c>
      <c r="I36" s="163">
        <v>801.55</v>
      </c>
      <c r="J36" s="163">
        <v>502.74</v>
      </c>
      <c r="K36" s="163">
        <v>940.73</v>
      </c>
      <c r="L36" s="163">
        <v>851.48</v>
      </c>
      <c r="M36" s="163">
        <v>1202.48</v>
      </c>
      <c r="N36" s="163">
        <v>1122.6400000000001</v>
      </c>
      <c r="O36" s="163">
        <v>951.32</v>
      </c>
      <c r="P36" s="163">
        <v>925.98</v>
      </c>
      <c r="Q36" s="163">
        <v>290.3</v>
      </c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2.75" customHeight="1">
      <c r="A37" s="5">
        <v>35</v>
      </c>
      <c r="B37" s="166">
        <v>410.63</v>
      </c>
      <c r="C37" s="166">
        <v>482.35</v>
      </c>
      <c r="D37" s="166">
        <v>399.11</v>
      </c>
      <c r="E37" s="166">
        <v>672.46</v>
      </c>
      <c r="F37" s="168">
        <v>1217.72</v>
      </c>
      <c r="G37" s="166">
        <v>739.67</v>
      </c>
      <c r="H37" s="168">
        <v>708.95</v>
      </c>
      <c r="I37" s="167">
        <v>815.44</v>
      </c>
      <c r="J37" s="167">
        <v>504.76</v>
      </c>
      <c r="K37" s="167">
        <v>979.42</v>
      </c>
      <c r="L37" s="167">
        <v>855.53</v>
      </c>
      <c r="M37" s="167">
        <v>1202.81</v>
      </c>
      <c r="N37" s="167">
        <v>1123.02</v>
      </c>
      <c r="O37" s="167">
        <v>954.57</v>
      </c>
      <c r="P37" s="167">
        <v>932.07</v>
      </c>
      <c r="Q37" s="167">
        <v>298.10000000000002</v>
      </c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2.75" customHeight="1">
      <c r="A38" s="5">
        <v>36</v>
      </c>
      <c r="B38" s="157">
        <v>457.08</v>
      </c>
      <c r="C38" s="157">
        <v>525.72</v>
      </c>
      <c r="D38" s="157">
        <v>405.65</v>
      </c>
      <c r="E38" s="157">
        <v>672.85</v>
      </c>
      <c r="F38" s="157">
        <v>1217.99</v>
      </c>
      <c r="G38" s="157">
        <v>740.18</v>
      </c>
      <c r="H38" s="157">
        <v>768.27</v>
      </c>
      <c r="I38" s="158">
        <v>846.34</v>
      </c>
      <c r="J38" s="157">
        <v>505.03</v>
      </c>
      <c r="K38" s="157">
        <v>1166.5</v>
      </c>
      <c r="L38" s="157">
        <v>880.49</v>
      </c>
      <c r="M38" s="157">
        <v>1204.97</v>
      </c>
      <c r="N38" s="157">
        <v>1123.3800000000001</v>
      </c>
      <c r="O38" s="157">
        <v>1019.3</v>
      </c>
      <c r="P38" s="157">
        <v>932.82</v>
      </c>
      <c r="Q38" s="157">
        <v>311.14999999999998</v>
      </c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2.75" customHeight="1">
      <c r="A39" s="5">
        <v>37</v>
      </c>
      <c r="B39" s="159">
        <v>461.74</v>
      </c>
      <c r="C39" s="159">
        <v>535.71</v>
      </c>
      <c r="D39" s="160">
        <v>406.88</v>
      </c>
      <c r="E39" s="160">
        <v>675.53</v>
      </c>
      <c r="F39" s="160">
        <v>1218.27</v>
      </c>
      <c r="G39" s="160">
        <v>740.55</v>
      </c>
      <c r="H39" s="160">
        <v>774.23</v>
      </c>
      <c r="I39" s="160">
        <v>850.45</v>
      </c>
      <c r="J39" s="160">
        <v>505.81</v>
      </c>
      <c r="K39" s="160">
        <v>1185.22</v>
      </c>
      <c r="L39" s="160">
        <v>883.01</v>
      </c>
      <c r="M39" s="160">
        <v>1207.24</v>
      </c>
      <c r="N39" s="160">
        <v>1127.48</v>
      </c>
      <c r="O39" s="160">
        <v>1025.8900000000001</v>
      </c>
      <c r="P39" s="160">
        <v>947.49</v>
      </c>
      <c r="Q39" s="160">
        <v>319</v>
      </c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2.75" customHeight="1">
      <c r="A40" s="5">
        <v>38</v>
      </c>
      <c r="B40" s="162">
        <v>474.97</v>
      </c>
      <c r="C40" s="162">
        <v>545.65</v>
      </c>
      <c r="D40" s="163">
        <v>411.4</v>
      </c>
      <c r="E40" s="163">
        <v>689.04</v>
      </c>
      <c r="F40" s="163">
        <v>1218.73</v>
      </c>
      <c r="G40" s="163">
        <v>741</v>
      </c>
      <c r="H40" s="162">
        <v>787.61</v>
      </c>
      <c r="I40" s="164">
        <v>852.25</v>
      </c>
      <c r="J40" s="162">
        <v>506.09</v>
      </c>
      <c r="K40" s="162">
        <v>1224.3399999999999</v>
      </c>
      <c r="L40" s="162">
        <v>903.88</v>
      </c>
      <c r="M40" s="162">
        <v>1252.4100000000001</v>
      </c>
      <c r="N40" s="162">
        <v>1151.8</v>
      </c>
      <c r="O40" s="162">
        <v>1026.56</v>
      </c>
      <c r="P40" s="162">
        <v>961.11</v>
      </c>
      <c r="Q40" s="162">
        <v>326.55</v>
      </c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2.75" customHeight="1">
      <c r="A41" s="5">
        <v>39</v>
      </c>
      <c r="B41" s="162">
        <v>483.9</v>
      </c>
      <c r="C41" s="162">
        <v>555.59</v>
      </c>
      <c r="D41" s="163">
        <v>414.16</v>
      </c>
      <c r="E41" s="162">
        <v>760.62</v>
      </c>
      <c r="F41" s="164">
        <v>1227.8599999999999</v>
      </c>
      <c r="G41" s="163">
        <v>741.3</v>
      </c>
      <c r="H41" s="163">
        <v>798.47</v>
      </c>
      <c r="I41" s="163">
        <v>887.25</v>
      </c>
      <c r="J41" s="163">
        <v>508.47</v>
      </c>
      <c r="K41" s="163">
        <v>1258.72</v>
      </c>
      <c r="L41" s="163">
        <v>987.58</v>
      </c>
      <c r="M41" s="163">
        <v>1379.44</v>
      </c>
      <c r="N41" s="163">
        <v>1183.5999999999999</v>
      </c>
      <c r="O41" s="163">
        <v>1026.8900000000001</v>
      </c>
      <c r="P41" s="163">
        <v>1003.57</v>
      </c>
      <c r="Q41" s="163">
        <v>334.15</v>
      </c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2.75" customHeight="1">
      <c r="A42" s="5">
        <v>40</v>
      </c>
      <c r="B42" s="166">
        <v>492.86</v>
      </c>
      <c r="C42" s="166">
        <v>570.64</v>
      </c>
      <c r="D42" s="167">
        <v>414.5</v>
      </c>
      <c r="E42" s="163">
        <v>767.78</v>
      </c>
      <c r="F42" s="163">
        <v>1409.05</v>
      </c>
      <c r="G42" s="163">
        <v>742.27</v>
      </c>
      <c r="H42" s="163">
        <v>801.26</v>
      </c>
      <c r="I42" s="167">
        <v>928.22</v>
      </c>
      <c r="J42" s="163">
        <v>555.85</v>
      </c>
      <c r="K42" s="163">
        <v>1263.28</v>
      </c>
      <c r="L42" s="163">
        <v>995.96</v>
      </c>
      <c r="M42" s="163">
        <v>1392.15</v>
      </c>
      <c r="N42" s="163">
        <v>1285.67</v>
      </c>
      <c r="O42" s="163">
        <v>1031.49</v>
      </c>
      <c r="P42" s="163">
        <v>1049.6500000000001</v>
      </c>
      <c r="Q42" s="163">
        <v>340.95</v>
      </c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2.75" customHeight="1">
      <c r="A43" s="5">
        <v>41</v>
      </c>
      <c r="B43" s="169">
        <v>501.84</v>
      </c>
      <c r="C43" s="169">
        <v>572.17999999999995</v>
      </c>
      <c r="D43" s="170">
        <v>418.9</v>
      </c>
      <c r="E43" s="170">
        <v>774.27</v>
      </c>
      <c r="F43" s="171">
        <v>1450.08</v>
      </c>
      <c r="G43" s="170">
        <v>761.65</v>
      </c>
      <c r="H43" s="170">
        <v>816.11</v>
      </c>
      <c r="I43" s="172">
        <v>945.75</v>
      </c>
      <c r="J43" s="170">
        <v>563.14</v>
      </c>
      <c r="K43" s="170">
        <v>1295.33</v>
      </c>
      <c r="L43" s="170">
        <v>996.98</v>
      </c>
      <c r="M43" s="170">
        <v>1393.45</v>
      </c>
      <c r="N43" s="170">
        <v>1295.8800000000001</v>
      </c>
      <c r="O43" s="170">
        <v>1120.3800000000001</v>
      </c>
      <c r="P43" s="170">
        <v>1057.08</v>
      </c>
      <c r="Q43" s="170">
        <v>348.2</v>
      </c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2.75" customHeight="1">
      <c r="A44" s="5">
        <v>42</v>
      </c>
      <c r="B44" s="173">
        <v>510.85</v>
      </c>
      <c r="C44" s="173">
        <v>580.47</v>
      </c>
      <c r="D44" s="174">
        <v>419.34</v>
      </c>
      <c r="E44" s="174">
        <v>799.19</v>
      </c>
      <c r="F44" s="175">
        <v>1454.19</v>
      </c>
      <c r="G44" s="174">
        <v>826.21</v>
      </c>
      <c r="H44" s="174">
        <v>817.6</v>
      </c>
      <c r="I44" s="176">
        <v>948.75</v>
      </c>
      <c r="J44" s="174">
        <v>568.82000000000005</v>
      </c>
      <c r="K44" s="174">
        <v>1298.55</v>
      </c>
      <c r="L44" s="174">
        <v>1000.33</v>
      </c>
      <c r="M44" s="174">
        <v>1394.03</v>
      </c>
      <c r="N44" s="174">
        <v>1365.59</v>
      </c>
      <c r="O44" s="174">
        <v>1132.81</v>
      </c>
      <c r="P44" s="174">
        <v>1057.94</v>
      </c>
      <c r="Q44" s="174">
        <v>356.2</v>
      </c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2.75" customHeight="1">
      <c r="A45" s="5">
        <v>43</v>
      </c>
      <c r="B45" s="173">
        <v>519.80999999999995</v>
      </c>
      <c r="C45" s="173">
        <v>591.23</v>
      </c>
      <c r="D45" s="174">
        <v>420.58</v>
      </c>
      <c r="E45" s="174">
        <v>801.7</v>
      </c>
      <c r="F45" s="175">
        <v>1493.96</v>
      </c>
      <c r="G45" s="174">
        <v>834.26</v>
      </c>
      <c r="H45" s="174">
        <v>818.27</v>
      </c>
      <c r="I45" s="176">
        <v>994.75</v>
      </c>
      <c r="J45" s="174">
        <v>576.67999999999995</v>
      </c>
      <c r="K45" s="174">
        <v>1340.77</v>
      </c>
      <c r="L45" s="174">
        <v>1066.98</v>
      </c>
      <c r="M45" s="174">
        <v>1394.36</v>
      </c>
      <c r="N45" s="174">
        <v>1474.03</v>
      </c>
      <c r="O45" s="174">
        <v>1135.72</v>
      </c>
      <c r="P45" s="174">
        <v>1058.21</v>
      </c>
      <c r="Q45" s="174">
        <v>363.2</v>
      </c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2.75" customHeight="1">
      <c r="A46" s="5">
        <v>44</v>
      </c>
      <c r="B46" s="173">
        <v>528.86</v>
      </c>
      <c r="C46" s="173">
        <v>599.49</v>
      </c>
      <c r="D46" s="174">
        <v>445.38</v>
      </c>
      <c r="E46" s="174">
        <v>802.02</v>
      </c>
      <c r="F46" s="175">
        <v>1497.96</v>
      </c>
      <c r="G46" s="174">
        <v>835.07</v>
      </c>
      <c r="H46" s="174">
        <v>824.59</v>
      </c>
      <c r="I46" s="176">
        <v>1015.62</v>
      </c>
      <c r="J46" s="174">
        <v>583.94000000000005</v>
      </c>
      <c r="K46" s="174">
        <v>1359.14</v>
      </c>
      <c r="L46" s="174">
        <v>1073.6500000000001</v>
      </c>
      <c r="M46" s="174">
        <v>1394.71</v>
      </c>
      <c r="N46" s="174">
        <v>1525.32</v>
      </c>
      <c r="O46" s="174">
        <v>1139.55</v>
      </c>
      <c r="P46" s="174">
        <v>1058.49</v>
      </c>
      <c r="Q46" s="174">
        <v>370</v>
      </c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2.75" customHeight="1">
      <c r="A47" s="5">
        <v>45</v>
      </c>
      <c r="B47" s="173">
        <v>537.88</v>
      </c>
      <c r="C47" s="177">
        <v>607.80999999999995</v>
      </c>
      <c r="D47" s="178">
        <v>447.88</v>
      </c>
      <c r="E47" s="178">
        <v>805.21</v>
      </c>
      <c r="F47" s="179">
        <v>1498.37</v>
      </c>
      <c r="G47" s="178">
        <v>835.6</v>
      </c>
      <c r="H47" s="178">
        <v>875.58</v>
      </c>
      <c r="I47" s="180">
        <v>1058.5999999999999</v>
      </c>
      <c r="J47" s="178">
        <v>591.17999999999995</v>
      </c>
      <c r="K47" s="178">
        <v>1385.54</v>
      </c>
      <c r="L47" s="178">
        <v>1074.33</v>
      </c>
      <c r="M47" s="178">
        <v>1398.84</v>
      </c>
      <c r="N47" s="178">
        <v>1530.46</v>
      </c>
      <c r="O47" s="178">
        <v>1216.01</v>
      </c>
      <c r="P47" s="178">
        <v>1058.8399999999999</v>
      </c>
      <c r="Q47" s="178">
        <v>375.6</v>
      </c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2.75" customHeight="1">
      <c r="A48" s="5">
        <v>46</v>
      </c>
      <c r="B48" s="159">
        <v>546.84</v>
      </c>
      <c r="C48" s="162">
        <v>615.30999999999995</v>
      </c>
      <c r="D48" s="162">
        <v>448.16</v>
      </c>
      <c r="E48" s="162">
        <v>809.07</v>
      </c>
      <c r="F48" s="165">
        <v>1504.2</v>
      </c>
      <c r="G48" s="162">
        <v>845.93</v>
      </c>
      <c r="H48" s="162">
        <v>887.79</v>
      </c>
      <c r="I48" s="163">
        <v>1062.9000000000001</v>
      </c>
      <c r="J48" s="162">
        <v>599.66</v>
      </c>
      <c r="K48" s="162">
        <v>1388.21</v>
      </c>
      <c r="L48" s="162">
        <v>1074.67</v>
      </c>
      <c r="M48" s="162">
        <v>1399.26</v>
      </c>
      <c r="N48" s="162">
        <v>1530.99</v>
      </c>
      <c r="O48" s="162">
        <v>1223.74</v>
      </c>
      <c r="P48" s="162">
        <v>1062.5899999999999</v>
      </c>
      <c r="Q48" s="162">
        <v>384.7</v>
      </c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2.75" customHeight="1">
      <c r="A49" s="5">
        <v>47</v>
      </c>
      <c r="B49" s="162">
        <v>561.78</v>
      </c>
      <c r="C49" s="162">
        <v>624.39</v>
      </c>
      <c r="D49" s="162">
        <v>448.45</v>
      </c>
      <c r="E49" s="162">
        <v>809.46</v>
      </c>
      <c r="F49" s="165">
        <v>1591.79</v>
      </c>
      <c r="G49" s="162">
        <v>846.97</v>
      </c>
      <c r="H49" s="162">
        <v>889.02</v>
      </c>
      <c r="I49" s="163">
        <v>1063.58</v>
      </c>
      <c r="J49" s="162">
        <v>621.63</v>
      </c>
      <c r="K49" s="162">
        <v>1389.17</v>
      </c>
      <c r="L49" s="162">
        <v>1077.45</v>
      </c>
      <c r="M49" s="162">
        <v>1406.66</v>
      </c>
      <c r="N49" s="162">
        <v>1531.44</v>
      </c>
      <c r="O49" s="162">
        <v>1225.29</v>
      </c>
      <c r="P49" s="162">
        <v>1137.05</v>
      </c>
      <c r="Q49" s="162">
        <v>391.95</v>
      </c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2.75" customHeight="1">
      <c r="A50" s="5">
        <v>48</v>
      </c>
      <c r="B50" s="162">
        <v>563.28</v>
      </c>
      <c r="C50" s="162">
        <v>638.76</v>
      </c>
      <c r="D50" s="162">
        <v>449</v>
      </c>
      <c r="E50" s="162">
        <v>809.79</v>
      </c>
      <c r="F50" s="165">
        <v>1600.55</v>
      </c>
      <c r="G50" s="162">
        <v>849.06</v>
      </c>
      <c r="H50" s="162">
        <v>889.3</v>
      </c>
      <c r="I50" s="163">
        <v>1077.0899999999999</v>
      </c>
      <c r="J50" s="162">
        <v>669.6</v>
      </c>
      <c r="K50" s="162">
        <v>1407.15</v>
      </c>
      <c r="L50" s="162">
        <v>1098.93</v>
      </c>
      <c r="M50" s="162">
        <v>1427.3</v>
      </c>
      <c r="N50" s="162">
        <v>1540.44</v>
      </c>
      <c r="O50" s="162">
        <v>1225.9100000000001</v>
      </c>
      <c r="P50" s="162">
        <v>1144.5</v>
      </c>
      <c r="Q50" s="162">
        <v>398.75</v>
      </c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2.75" customHeight="1">
      <c r="A51" s="5">
        <v>49</v>
      </c>
      <c r="B51" s="162">
        <v>569.86</v>
      </c>
      <c r="C51" s="162">
        <v>640.22</v>
      </c>
      <c r="D51" s="162">
        <v>449.28</v>
      </c>
      <c r="E51" s="162">
        <v>810.14</v>
      </c>
      <c r="F51" s="165">
        <v>1606.76</v>
      </c>
      <c r="G51" s="162">
        <v>890.63</v>
      </c>
      <c r="H51" s="162">
        <v>890.15</v>
      </c>
      <c r="I51" s="163">
        <v>1109.76</v>
      </c>
      <c r="J51" s="162">
        <v>674.4</v>
      </c>
      <c r="K51" s="162">
        <v>1449.95</v>
      </c>
      <c r="L51" s="162">
        <v>1133.33</v>
      </c>
      <c r="M51" s="162">
        <v>1557.45</v>
      </c>
      <c r="N51" s="162">
        <v>1595.53</v>
      </c>
      <c r="O51" s="162">
        <v>1237.07</v>
      </c>
      <c r="P51" s="162">
        <v>1146.51</v>
      </c>
      <c r="Q51" s="162">
        <v>406.3</v>
      </c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2.75" customHeight="1">
      <c r="A52" s="5">
        <v>50</v>
      </c>
      <c r="B52" s="166">
        <v>581.13</v>
      </c>
      <c r="C52" s="166">
        <v>652.83000000000004</v>
      </c>
      <c r="D52" s="166">
        <v>453.38</v>
      </c>
      <c r="E52" s="166">
        <v>817.11</v>
      </c>
      <c r="F52" s="168">
        <v>1730.96</v>
      </c>
      <c r="G52" s="166">
        <v>901.7</v>
      </c>
      <c r="H52" s="166">
        <v>899.54</v>
      </c>
      <c r="I52" s="167">
        <v>1119.76</v>
      </c>
      <c r="J52" s="166">
        <v>680.36</v>
      </c>
      <c r="K52" s="166">
        <v>1466.6</v>
      </c>
      <c r="L52" s="166">
        <v>1146.42</v>
      </c>
      <c r="M52" s="166">
        <v>1584.72</v>
      </c>
      <c r="N52" s="166">
        <v>1620.71</v>
      </c>
      <c r="O52" s="166">
        <v>1246.8499999999999</v>
      </c>
      <c r="P52" s="166">
        <v>1186.6500000000001</v>
      </c>
      <c r="Q52" s="166">
        <v>406.4</v>
      </c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2.75" customHeight="1">
      <c r="A53" s="5">
        <v>51</v>
      </c>
      <c r="B53" s="169">
        <v>602.91999999999996</v>
      </c>
      <c r="C53" s="169">
        <v>674.05</v>
      </c>
      <c r="D53" s="174">
        <v>458.82</v>
      </c>
      <c r="E53" s="174">
        <v>817.81</v>
      </c>
      <c r="F53" s="175">
        <v>1743.4</v>
      </c>
      <c r="G53" s="174">
        <v>902.81</v>
      </c>
      <c r="H53" s="174">
        <v>930.22</v>
      </c>
      <c r="I53" s="176">
        <v>1120.76</v>
      </c>
      <c r="J53" s="174">
        <v>680.96</v>
      </c>
      <c r="K53" s="174">
        <v>1483.66</v>
      </c>
      <c r="L53" s="174">
        <v>1159.25</v>
      </c>
      <c r="M53" s="174">
        <v>1587.45</v>
      </c>
      <c r="N53" s="174">
        <v>1623.23</v>
      </c>
      <c r="O53" s="174">
        <v>1247.83</v>
      </c>
      <c r="P53" s="174">
        <v>1190.67</v>
      </c>
      <c r="Q53" s="174">
        <v>420.1</v>
      </c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2.75" customHeight="1">
      <c r="A54" s="5">
        <v>52</v>
      </c>
      <c r="B54" s="173">
        <v>607.32000000000005</v>
      </c>
      <c r="C54" s="173">
        <v>676.21</v>
      </c>
      <c r="D54" s="174">
        <v>470.5</v>
      </c>
      <c r="E54" s="174">
        <v>818.6</v>
      </c>
      <c r="F54" s="175">
        <v>1797.4</v>
      </c>
      <c r="G54" s="174">
        <v>903.14</v>
      </c>
      <c r="H54" s="174">
        <v>933.3</v>
      </c>
      <c r="I54" s="176">
        <v>1124.82</v>
      </c>
      <c r="J54" s="174">
        <v>681.29</v>
      </c>
      <c r="K54" s="174">
        <v>1500.61</v>
      </c>
      <c r="L54" s="174">
        <v>1161.8499999999999</v>
      </c>
      <c r="M54" s="174">
        <v>1629.15</v>
      </c>
      <c r="N54" s="174">
        <v>1623.54</v>
      </c>
      <c r="O54" s="174">
        <v>1248.21</v>
      </c>
      <c r="P54" s="174">
        <v>1194.58</v>
      </c>
      <c r="Q54" s="174">
        <v>421</v>
      </c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2.75" customHeight="1">
      <c r="A55" s="5">
        <v>53</v>
      </c>
      <c r="B55" s="173">
        <v>608.04</v>
      </c>
      <c r="C55" s="173">
        <v>677.81</v>
      </c>
      <c r="D55" s="174">
        <v>480.17</v>
      </c>
      <c r="E55" s="174">
        <v>819.41</v>
      </c>
      <c r="F55" s="175">
        <v>1818.32</v>
      </c>
      <c r="G55" s="174">
        <v>905.54</v>
      </c>
      <c r="H55" s="174">
        <v>934.55</v>
      </c>
      <c r="I55" s="176">
        <v>1163.76</v>
      </c>
      <c r="J55" s="174">
        <v>681.56</v>
      </c>
      <c r="K55" s="174">
        <v>1517.44</v>
      </c>
      <c r="L55" s="174">
        <v>1213.74</v>
      </c>
      <c r="M55" s="174">
        <v>1633.32</v>
      </c>
      <c r="N55" s="174">
        <v>1623.82</v>
      </c>
      <c r="O55" s="174">
        <v>1255.44</v>
      </c>
      <c r="P55" s="174">
        <v>1238.48</v>
      </c>
      <c r="Q55" s="174">
        <v>427.25</v>
      </c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2.75" customHeight="1">
      <c r="A56" s="5">
        <v>54</v>
      </c>
      <c r="B56" s="173">
        <v>612.84</v>
      </c>
      <c r="C56" s="173">
        <v>684.39</v>
      </c>
      <c r="D56" s="174">
        <v>482.21</v>
      </c>
      <c r="E56" s="174">
        <v>835.55</v>
      </c>
      <c r="F56" s="175">
        <v>1820.42</v>
      </c>
      <c r="G56" s="174">
        <v>953.44</v>
      </c>
      <c r="H56" s="174">
        <v>959.35</v>
      </c>
      <c r="I56" s="176">
        <v>1167.78</v>
      </c>
      <c r="J56" s="174">
        <v>681.95</v>
      </c>
      <c r="K56" s="174">
        <v>1531.7</v>
      </c>
      <c r="L56" s="174">
        <v>1261.97</v>
      </c>
      <c r="M56" s="174">
        <v>1633.75</v>
      </c>
      <c r="N56" s="174">
        <v>1624.12</v>
      </c>
      <c r="O56" s="174">
        <v>1270.68</v>
      </c>
      <c r="P56" s="174">
        <v>1242.8800000000001</v>
      </c>
      <c r="Q56" s="174">
        <v>432.55</v>
      </c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2.75" customHeight="1">
      <c r="A57" s="5">
        <v>55</v>
      </c>
      <c r="B57" s="177">
        <v>618.83000000000004</v>
      </c>
      <c r="C57" s="177">
        <v>692.09</v>
      </c>
      <c r="D57" s="178">
        <v>482.56</v>
      </c>
      <c r="E57" s="178">
        <v>866.33</v>
      </c>
      <c r="F57" s="179">
        <v>1821.09</v>
      </c>
      <c r="G57" s="178">
        <v>960.37</v>
      </c>
      <c r="H57" s="178">
        <v>971.55</v>
      </c>
      <c r="I57" s="180">
        <v>1168.19</v>
      </c>
      <c r="J57" s="178">
        <v>684.64</v>
      </c>
      <c r="K57" s="178">
        <v>1551.56</v>
      </c>
      <c r="L57" s="178">
        <v>1278.28</v>
      </c>
      <c r="M57" s="178">
        <v>1634.15</v>
      </c>
      <c r="N57" s="178">
        <v>1624.5</v>
      </c>
      <c r="O57" s="178">
        <v>1272.21</v>
      </c>
      <c r="P57" s="178">
        <v>1247.8900000000001</v>
      </c>
      <c r="Q57" s="178">
        <v>445.65</v>
      </c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2.75" customHeight="1">
      <c r="A58" s="5">
        <v>56</v>
      </c>
      <c r="B58" s="159">
        <v>624.82000000000005</v>
      </c>
      <c r="C58" s="159">
        <v>699.78</v>
      </c>
      <c r="D58" s="162">
        <v>482.91</v>
      </c>
      <c r="E58" s="162">
        <v>897.12</v>
      </c>
      <c r="F58" s="165">
        <v>1821.75</v>
      </c>
      <c r="G58" s="162">
        <v>967.3</v>
      </c>
      <c r="H58" s="162">
        <v>983.76</v>
      </c>
      <c r="I58" s="163">
        <v>1168.5999999999999</v>
      </c>
      <c r="J58" s="162">
        <v>687.34</v>
      </c>
      <c r="K58" s="162">
        <v>1571.43</v>
      </c>
      <c r="L58" s="162">
        <v>1294.5999999999999</v>
      </c>
      <c r="M58" s="162">
        <v>1634.56</v>
      </c>
      <c r="N58" s="162">
        <v>1624.88</v>
      </c>
      <c r="O58" s="162">
        <v>1272.46</v>
      </c>
      <c r="P58" s="162">
        <v>1252.8900000000001</v>
      </c>
      <c r="Q58" s="162">
        <v>446.85</v>
      </c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2.75" customHeight="1">
      <c r="A59" s="5">
        <v>57</v>
      </c>
      <c r="B59" s="162">
        <v>630.79999999999995</v>
      </c>
      <c r="C59" s="162">
        <v>707.48</v>
      </c>
      <c r="D59" s="162">
        <v>483.26</v>
      </c>
      <c r="E59" s="162">
        <v>927.9</v>
      </c>
      <c r="F59" s="165">
        <v>1822.41</v>
      </c>
      <c r="G59" s="162">
        <v>974.24</v>
      </c>
      <c r="H59" s="162">
        <v>995.96</v>
      </c>
      <c r="I59" s="163">
        <v>1169.01</v>
      </c>
      <c r="J59" s="162">
        <v>690.04</v>
      </c>
      <c r="K59" s="162">
        <v>1591.3</v>
      </c>
      <c r="L59" s="162">
        <v>1310.91</v>
      </c>
      <c r="M59" s="162">
        <v>1634.96</v>
      </c>
      <c r="N59" s="162">
        <v>1625.26</v>
      </c>
      <c r="O59" s="162">
        <v>1272.71</v>
      </c>
      <c r="P59" s="162">
        <v>1257.8900000000001</v>
      </c>
      <c r="Q59" s="162">
        <v>455</v>
      </c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2.75" customHeight="1">
      <c r="A60" s="5">
        <v>58</v>
      </c>
      <c r="B60" s="162">
        <v>636.78</v>
      </c>
      <c r="C60" s="162">
        <v>715.17</v>
      </c>
      <c r="D60" s="162">
        <v>483.62</v>
      </c>
      <c r="E60" s="162">
        <v>958.69</v>
      </c>
      <c r="F60" s="165">
        <v>1823.06</v>
      </c>
      <c r="G60" s="162">
        <v>981.16</v>
      </c>
      <c r="H60" s="162">
        <v>1008.17</v>
      </c>
      <c r="I60" s="163">
        <v>1169.4100000000001</v>
      </c>
      <c r="J60" s="162">
        <v>692.73</v>
      </c>
      <c r="K60" s="162">
        <v>1611.16</v>
      </c>
      <c r="L60" s="162">
        <v>1327.22</v>
      </c>
      <c r="M60" s="162">
        <v>1635.37</v>
      </c>
      <c r="N60" s="162">
        <v>1625.64</v>
      </c>
      <c r="O60" s="162">
        <v>1272.96</v>
      </c>
      <c r="P60" s="162">
        <v>1262.8900000000001</v>
      </c>
      <c r="Q60" s="162">
        <v>462.6</v>
      </c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2.75" customHeight="1">
      <c r="A61" s="5">
        <v>59</v>
      </c>
      <c r="B61" s="162">
        <v>640.37</v>
      </c>
      <c r="C61" s="162">
        <v>715.99</v>
      </c>
      <c r="D61" s="162">
        <v>483.91</v>
      </c>
      <c r="E61" s="162">
        <v>961.82</v>
      </c>
      <c r="F61" s="165">
        <v>1825.78</v>
      </c>
      <c r="G61" s="162">
        <v>981.86</v>
      </c>
      <c r="H61" s="162">
        <v>1030.52</v>
      </c>
      <c r="I61" s="163">
        <v>1169.68</v>
      </c>
      <c r="J61" s="162">
        <v>699.1</v>
      </c>
      <c r="K61" s="162">
        <v>1613.21</v>
      </c>
      <c r="L61" s="162">
        <v>1328.86</v>
      </c>
      <c r="M61" s="162">
        <v>1635.81</v>
      </c>
      <c r="N61" s="162">
        <v>1625.93</v>
      </c>
      <c r="O61" s="162">
        <v>1273.21</v>
      </c>
      <c r="P61" s="162">
        <v>1264.78</v>
      </c>
      <c r="Q61" s="162">
        <v>468.9</v>
      </c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2.75" customHeight="1">
      <c r="A62" s="5">
        <v>60</v>
      </c>
      <c r="B62" s="166">
        <v>641.47</v>
      </c>
      <c r="C62" s="166">
        <v>717.7</v>
      </c>
      <c r="D62" s="166">
        <v>484.24</v>
      </c>
      <c r="E62" s="166">
        <v>962.17</v>
      </c>
      <c r="F62" s="168">
        <v>1880.01</v>
      </c>
      <c r="G62" s="166">
        <v>982.15</v>
      </c>
      <c r="H62" s="166">
        <v>1038.06</v>
      </c>
      <c r="I62" s="167">
        <v>1169.97</v>
      </c>
      <c r="J62" s="166">
        <v>705.57</v>
      </c>
      <c r="K62" s="166">
        <v>1614.5</v>
      </c>
      <c r="L62" s="166">
        <v>1329.18</v>
      </c>
      <c r="M62" s="166">
        <v>1636.51</v>
      </c>
      <c r="N62" s="166">
        <v>1626.23</v>
      </c>
      <c r="O62" s="166">
        <v>1273.46</v>
      </c>
      <c r="P62" s="166">
        <v>1265.0899999999999</v>
      </c>
      <c r="Q62" s="166">
        <v>474.55</v>
      </c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2.75" customHeight="1">
      <c r="A63" s="5">
        <v>61</v>
      </c>
      <c r="B63" s="169">
        <v>663.15</v>
      </c>
      <c r="C63" s="169">
        <v>751.83</v>
      </c>
      <c r="D63" s="174">
        <v>490.01</v>
      </c>
      <c r="E63" s="174">
        <v>962.63</v>
      </c>
      <c r="F63" s="175">
        <v>1901.15</v>
      </c>
      <c r="G63" s="174">
        <v>982.44</v>
      </c>
      <c r="H63" s="174">
        <v>1045.97</v>
      </c>
      <c r="I63" s="176">
        <v>1173.1600000000001</v>
      </c>
      <c r="J63" s="170">
        <v>713.18</v>
      </c>
      <c r="K63" s="170">
        <v>1640.17</v>
      </c>
      <c r="L63" s="170">
        <v>1329.47</v>
      </c>
      <c r="M63" s="170">
        <v>1650.03</v>
      </c>
      <c r="N63" s="170">
        <v>1629.1</v>
      </c>
      <c r="O63" s="170">
        <v>1273.71</v>
      </c>
      <c r="P63" s="170">
        <v>1268.3699999999999</v>
      </c>
      <c r="Q63" s="170">
        <v>483.05</v>
      </c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2.75" customHeight="1">
      <c r="A64" s="5">
        <v>62</v>
      </c>
      <c r="B64" s="173">
        <v>670.57</v>
      </c>
      <c r="C64" s="173">
        <v>763.44</v>
      </c>
      <c r="D64" s="174">
        <v>503.37</v>
      </c>
      <c r="E64" s="174">
        <v>962.97</v>
      </c>
      <c r="F64" s="175">
        <v>1939.13</v>
      </c>
      <c r="G64" s="174">
        <v>982.81</v>
      </c>
      <c r="H64" s="174">
        <v>1046.78</v>
      </c>
      <c r="I64" s="176">
        <v>1176.07</v>
      </c>
      <c r="J64" s="174">
        <v>720.82</v>
      </c>
      <c r="K64" s="174">
        <v>1642.76</v>
      </c>
      <c r="L64" s="174">
        <v>1330.01</v>
      </c>
      <c r="M64" s="174">
        <v>1651.41</v>
      </c>
      <c r="N64" s="174">
        <v>1686.1</v>
      </c>
      <c r="O64" s="174">
        <v>1273.96</v>
      </c>
      <c r="P64" s="174">
        <v>1333.71</v>
      </c>
      <c r="Q64" s="174">
        <v>498.8</v>
      </c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2.75" customHeight="1">
      <c r="A65" s="5">
        <v>63</v>
      </c>
      <c r="B65" s="173">
        <v>690.81</v>
      </c>
      <c r="C65" s="173">
        <v>770.59</v>
      </c>
      <c r="D65" s="174">
        <v>512.29</v>
      </c>
      <c r="E65" s="174">
        <v>963.31</v>
      </c>
      <c r="F65" s="175">
        <v>1942.93</v>
      </c>
      <c r="G65" s="174">
        <v>983.11</v>
      </c>
      <c r="H65" s="175">
        <v>1047.1199999999999</v>
      </c>
      <c r="I65" s="176">
        <v>1233.57</v>
      </c>
      <c r="J65" s="174">
        <v>733.62</v>
      </c>
      <c r="K65" s="174">
        <v>1648.24</v>
      </c>
      <c r="L65" s="174">
        <v>1330.34</v>
      </c>
      <c r="M65" s="174">
        <v>1651.74</v>
      </c>
      <c r="N65" s="174">
        <v>1691.81</v>
      </c>
      <c r="O65" s="174">
        <v>1274.21</v>
      </c>
      <c r="P65" s="174">
        <v>1340.25</v>
      </c>
      <c r="Q65" s="174">
        <v>507.25</v>
      </c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2.75" customHeight="1">
      <c r="A66" s="5">
        <v>64</v>
      </c>
      <c r="B66" s="173">
        <v>698.44</v>
      </c>
      <c r="C66" s="173">
        <v>771.33</v>
      </c>
      <c r="D66" s="174">
        <v>513.19000000000005</v>
      </c>
      <c r="E66" s="174">
        <v>963.66</v>
      </c>
      <c r="F66" s="175">
        <v>1943.31</v>
      </c>
      <c r="G66" s="174">
        <v>986.81</v>
      </c>
      <c r="H66" s="175">
        <v>1048.5999999999999</v>
      </c>
      <c r="I66" s="176">
        <v>1239.33</v>
      </c>
      <c r="J66" s="174">
        <v>743.9</v>
      </c>
      <c r="K66" s="174">
        <v>1653.92</v>
      </c>
      <c r="L66" s="174">
        <v>1330.63</v>
      </c>
      <c r="M66" s="174">
        <v>1653.07</v>
      </c>
      <c r="N66" s="174">
        <v>1692.4</v>
      </c>
      <c r="O66" s="174">
        <v>1274.46</v>
      </c>
      <c r="P66" s="174">
        <v>1355.54</v>
      </c>
      <c r="Q66" s="174">
        <v>507.6</v>
      </c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2.75" customHeight="1">
      <c r="A67" s="5">
        <v>65</v>
      </c>
      <c r="B67" s="177">
        <v>705.93</v>
      </c>
      <c r="C67" s="177">
        <v>772.17</v>
      </c>
      <c r="D67" s="178">
        <v>513.80999999999995</v>
      </c>
      <c r="E67" s="178">
        <v>964.21</v>
      </c>
      <c r="F67" s="179">
        <v>1943.56</v>
      </c>
      <c r="G67" s="178">
        <v>1060.6400000000001</v>
      </c>
      <c r="H67" s="179">
        <v>1077.8399999999999</v>
      </c>
      <c r="I67" s="180">
        <v>1248.83</v>
      </c>
      <c r="J67" s="178">
        <v>744.93</v>
      </c>
      <c r="K67" s="178">
        <v>1659.65</v>
      </c>
      <c r="L67" s="178">
        <v>1331</v>
      </c>
      <c r="M67" s="178">
        <v>1677.92</v>
      </c>
      <c r="N67" s="178">
        <v>1696.31</v>
      </c>
      <c r="O67" s="178">
        <v>1274.71</v>
      </c>
      <c r="P67" s="178">
        <v>1357.07</v>
      </c>
      <c r="Q67" s="178">
        <v>516.45000000000005</v>
      </c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2.75" customHeight="1">
      <c r="A68" s="5">
        <v>66</v>
      </c>
      <c r="B68" s="159">
        <v>706.92</v>
      </c>
      <c r="C68" s="159">
        <v>778.85</v>
      </c>
      <c r="D68" s="162">
        <v>526.11</v>
      </c>
      <c r="E68" s="162">
        <v>964.58</v>
      </c>
      <c r="F68" s="165">
        <v>1943.81</v>
      </c>
      <c r="G68" s="162">
        <v>1068.04</v>
      </c>
      <c r="H68" s="165">
        <v>1085.79</v>
      </c>
      <c r="I68" s="163">
        <v>1279.58</v>
      </c>
      <c r="J68" s="162">
        <v>758.22</v>
      </c>
      <c r="K68" s="162">
        <v>1665.37</v>
      </c>
      <c r="L68" s="162">
        <v>1333.12</v>
      </c>
      <c r="M68" s="162">
        <v>1686.35</v>
      </c>
      <c r="N68" s="162">
        <v>1774.5</v>
      </c>
      <c r="O68" s="162">
        <v>1274.96</v>
      </c>
      <c r="P68" s="162">
        <v>1358.68</v>
      </c>
      <c r="Q68" s="162">
        <v>525.1</v>
      </c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2.75" customHeight="1">
      <c r="A69" s="5">
        <v>67</v>
      </c>
      <c r="B69" s="162">
        <v>707.31</v>
      </c>
      <c r="C69" s="162">
        <v>791.73</v>
      </c>
      <c r="D69" s="162">
        <v>528.53</v>
      </c>
      <c r="E69" s="162">
        <v>966.57</v>
      </c>
      <c r="F69" s="165">
        <v>1944.06</v>
      </c>
      <c r="G69" s="162">
        <v>1068.79</v>
      </c>
      <c r="H69" s="165">
        <v>1093.74</v>
      </c>
      <c r="I69" s="163">
        <v>1282.6600000000001</v>
      </c>
      <c r="J69" s="162">
        <v>759.55</v>
      </c>
      <c r="K69" s="162">
        <v>1671.12</v>
      </c>
      <c r="L69" s="162">
        <v>1375.29</v>
      </c>
      <c r="M69" s="162">
        <v>1690.74</v>
      </c>
      <c r="N69" s="162">
        <v>1782.32</v>
      </c>
      <c r="O69" s="162">
        <v>1275.21</v>
      </c>
      <c r="P69" s="162">
        <v>1359.17</v>
      </c>
      <c r="Q69" s="162">
        <v>527.15</v>
      </c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2.75" customHeight="1">
      <c r="A70" s="5">
        <v>68</v>
      </c>
      <c r="B70" s="162">
        <v>714.89</v>
      </c>
      <c r="C70" s="162">
        <v>793.05</v>
      </c>
      <c r="D70" s="162">
        <v>529.98</v>
      </c>
      <c r="E70" s="162">
        <v>1005.37</v>
      </c>
      <c r="F70" s="165">
        <v>1944.31</v>
      </c>
      <c r="G70" s="162">
        <v>1077.98</v>
      </c>
      <c r="H70" s="165">
        <v>1101.6600000000001</v>
      </c>
      <c r="I70" s="163">
        <v>1282.97</v>
      </c>
      <c r="J70" s="162">
        <v>773.49</v>
      </c>
      <c r="K70" s="162">
        <v>1676.87</v>
      </c>
      <c r="L70" s="162">
        <v>1379.52</v>
      </c>
      <c r="M70" s="162">
        <v>1759.43</v>
      </c>
      <c r="N70" s="162">
        <v>1783.11</v>
      </c>
      <c r="O70" s="162">
        <v>1275.46</v>
      </c>
      <c r="P70" s="162">
        <v>1361.25</v>
      </c>
      <c r="Q70" s="162">
        <v>540.85</v>
      </c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2.75" customHeight="1">
      <c r="A71" s="5">
        <v>69</v>
      </c>
      <c r="B71" s="162">
        <v>715.65</v>
      </c>
      <c r="C71" s="162">
        <v>801.91</v>
      </c>
      <c r="D71" s="162">
        <v>530.27</v>
      </c>
      <c r="E71" s="162">
        <v>1009.26</v>
      </c>
      <c r="F71" s="165">
        <v>1944.56</v>
      </c>
      <c r="G71" s="162">
        <v>1078.9000000000001</v>
      </c>
      <c r="H71" s="165">
        <v>1109.6600000000001</v>
      </c>
      <c r="I71" s="163">
        <v>1283.22</v>
      </c>
      <c r="J71" s="162">
        <v>774.9</v>
      </c>
      <c r="K71" s="162">
        <v>1680.14</v>
      </c>
      <c r="L71" s="162">
        <v>1386.7</v>
      </c>
      <c r="M71" s="162">
        <v>1766.3</v>
      </c>
      <c r="N71" s="162">
        <v>1783.4</v>
      </c>
      <c r="O71" s="162">
        <v>1275.71</v>
      </c>
      <c r="P71" s="162">
        <v>1402.75</v>
      </c>
      <c r="Q71" s="162">
        <v>548.79999999999995</v>
      </c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2.75" customHeight="1">
      <c r="A72" s="5">
        <v>70</v>
      </c>
      <c r="B72" s="166">
        <v>717.18</v>
      </c>
      <c r="C72" s="166">
        <v>802.8</v>
      </c>
      <c r="D72" s="166">
        <v>531.03</v>
      </c>
      <c r="E72" s="166">
        <v>1026.77</v>
      </c>
      <c r="F72" s="168">
        <v>1944.81</v>
      </c>
      <c r="G72" s="166">
        <v>1080.18</v>
      </c>
      <c r="H72" s="168">
        <v>1117.6199999999999</v>
      </c>
      <c r="I72" s="167">
        <v>1283.47</v>
      </c>
      <c r="J72" s="166">
        <v>781.06</v>
      </c>
      <c r="K72" s="166">
        <v>1680.47</v>
      </c>
      <c r="L72" s="166">
        <v>1387.42</v>
      </c>
      <c r="M72" s="166">
        <v>1766.99</v>
      </c>
      <c r="N72" s="166">
        <v>1784.67</v>
      </c>
      <c r="O72" s="166">
        <v>1275.96</v>
      </c>
      <c r="P72" s="166">
        <v>1464.09</v>
      </c>
      <c r="Q72" s="166">
        <v>555.45000000000005</v>
      </c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2.75" customHeight="1">
      <c r="A73" s="5">
        <v>71</v>
      </c>
      <c r="B73" s="157">
        <v>724.73</v>
      </c>
      <c r="C73" s="157">
        <v>803.17</v>
      </c>
      <c r="D73" s="157">
        <v>540.6</v>
      </c>
      <c r="E73" s="157">
        <v>1028.53</v>
      </c>
      <c r="F73" s="157">
        <v>1945.7</v>
      </c>
      <c r="G73" s="157">
        <v>1103.46</v>
      </c>
      <c r="H73" s="157">
        <v>1119.71</v>
      </c>
      <c r="I73" s="158">
        <v>1284.06</v>
      </c>
      <c r="J73" s="157">
        <v>782.64</v>
      </c>
      <c r="K73" s="157">
        <v>1681.24</v>
      </c>
      <c r="L73" s="157">
        <v>1388.07</v>
      </c>
      <c r="M73" s="157">
        <v>1767.8</v>
      </c>
      <c r="N73" s="157">
        <v>1792.32</v>
      </c>
      <c r="O73" s="157">
        <v>1276.55</v>
      </c>
      <c r="P73" s="157">
        <v>1470.23</v>
      </c>
      <c r="Q73" s="157">
        <v>556.95000000000005</v>
      </c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2.75" customHeight="1">
      <c r="A74" s="5">
        <v>72</v>
      </c>
      <c r="B74" s="159">
        <v>732.01</v>
      </c>
      <c r="C74" s="159">
        <v>810.51</v>
      </c>
      <c r="D74" s="160">
        <v>546.54999999999995</v>
      </c>
      <c r="E74" s="160">
        <v>1038.05</v>
      </c>
      <c r="F74" s="160">
        <v>1963.47</v>
      </c>
      <c r="G74" s="160">
        <v>1118.3699999999999</v>
      </c>
      <c r="H74" s="160">
        <v>1131.3900000000001</v>
      </c>
      <c r="I74" s="160">
        <v>1295.79</v>
      </c>
      <c r="J74" s="160">
        <v>814.06</v>
      </c>
      <c r="K74" s="160">
        <v>1696.6</v>
      </c>
      <c r="L74" s="160">
        <v>1400.94</v>
      </c>
      <c r="M74" s="160">
        <v>1783.95</v>
      </c>
      <c r="N74" s="160">
        <v>1809.31</v>
      </c>
      <c r="O74" s="160">
        <v>1288.3499999999999</v>
      </c>
      <c r="P74" s="160">
        <v>1484.16</v>
      </c>
      <c r="Q74" s="160">
        <v>558.20000000000005</v>
      </c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2.75" customHeight="1">
      <c r="A75" s="5">
        <v>73</v>
      </c>
      <c r="B75" s="162">
        <v>751.29</v>
      </c>
      <c r="C75" s="162">
        <v>811.25</v>
      </c>
      <c r="D75" s="163">
        <v>547.15</v>
      </c>
      <c r="E75" s="163">
        <v>1087.6500000000001</v>
      </c>
      <c r="F75" s="163">
        <v>1965.25</v>
      </c>
      <c r="G75" s="163">
        <v>1121.79</v>
      </c>
      <c r="H75" s="162">
        <v>1139.3399999999999</v>
      </c>
      <c r="I75" s="164">
        <v>1333.11</v>
      </c>
      <c r="J75" s="162">
        <v>817.21</v>
      </c>
      <c r="K75" s="162">
        <v>1702.3</v>
      </c>
      <c r="L75" s="162">
        <v>1402.23</v>
      </c>
      <c r="M75" s="162">
        <v>1785.57</v>
      </c>
      <c r="N75" s="162">
        <v>1811.01</v>
      </c>
      <c r="O75" s="162">
        <v>1289.53</v>
      </c>
      <c r="P75" s="162">
        <v>1485.56</v>
      </c>
      <c r="Q75" s="162">
        <v>564.1</v>
      </c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2.75" customHeight="1">
      <c r="A76" s="5">
        <v>74</v>
      </c>
      <c r="B76" s="162">
        <v>753.22</v>
      </c>
      <c r="C76" s="162">
        <v>811.5</v>
      </c>
      <c r="D76" s="163">
        <v>547.76</v>
      </c>
      <c r="E76" s="162">
        <v>1092.6199999999999</v>
      </c>
      <c r="F76" s="164">
        <v>1965.68</v>
      </c>
      <c r="G76" s="163">
        <v>1190.01</v>
      </c>
      <c r="H76" s="163">
        <v>1147.25</v>
      </c>
      <c r="I76" s="163">
        <v>1336.85</v>
      </c>
      <c r="J76" s="163">
        <v>817.54</v>
      </c>
      <c r="K76" s="163">
        <v>1708.02</v>
      </c>
      <c r="L76" s="163">
        <v>1402.52</v>
      </c>
      <c r="M76" s="163">
        <v>1785.95</v>
      </c>
      <c r="N76" s="163">
        <v>1811.32</v>
      </c>
      <c r="O76" s="163">
        <v>1289.8499999999999</v>
      </c>
      <c r="P76" s="163">
        <v>1491.64</v>
      </c>
      <c r="Q76" s="163">
        <v>603.95000000000005</v>
      </c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2.75" customHeight="1">
      <c r="A77" s="5">
        <v>75</v>
      </c>
      <c r="B77" s="166">
        <v>770.39</v>
      </c>
      <c r="C77" s="166">
        <v>811.75</v>
      </c>
      <c r="D77" s="167">
        <v>559.6</v>
      </c>
      <c r="E77" s="163">
        <v>1093.1199999999999</v>
      </c>
      <c r="F77" s="163">
        <v>1974.12</v>
      </c>
      <c r="G77" s="163">
        <v>1196.8599999999999</v>
      </c>
      <c r="H77" s="163">
        <v>1148.06</v>
      </c>
      <c r="I77" s="167">
        <v>1337.23</v>
      </c>
      <c r="J77" s="163">
        <v>818.95</v>
      </c>
      <c r="K77" s="163">
        <v>1713.76</v>
      </c>
      <c r="L77" s="163">
        <v>1404.88</v>
      </c>
      <c r="M77" s="163">
        <v>1786.32</v>
      </c>
      <c r="N77" s="163">
        <v>1811.59</v>
      </c>
      <c r="O77" s="163">
        <v>1290.18</v>
      </c>
      <c r="P77" s="163">
        <v>1564.83</v>
      </c>
      <c r="Q77" s="163">
        <v>604</v>
      </c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2.75" customHeight="1">
      <c r="A78" s="5">
        <v>76</v>
      </c>
      <c r="B78" s="169">
        <v>777.5</v>
      </c>
      <c r="C78" s="169">
        <v>812</v>
      </c>
      <c r="D78" s="170">
        <v>573.35</v>
      </c>
      <c r="E78" s="170">
        <v>1093.47</v>
      </c>
      <c r="F78" s="171">
        <v>1975.03</v>
      </c>
      <c r="G78" s="170">
        <v>1209.33</v>
      </c>
      <c r="H78" s="170">
        <v>1163.1600000000001</v>
      </c>
      <c r="I78" s="172">
        <v>1337.55</v>
      </c>
      <c r="J78" s="170">
        <v>846.33</v>
      </c>
      <c r="K78" s="170">
        <v>1719.47</v>
      </c>
      <c r="L78" s="170">
        <v>1451.23</v>
      </c>
      <c r="M78" s="170">
        <v>1786.65</v>
      </c>
      <c r="N78" s="170">
        <v>1811.88</v>
      </c>
      <c r="O78" s="170">
        <v>1290.5</v>
      </c>
      <c r="P78" s="170">
        <v>1572.15</v>
      </c>
      <c r="Q78" s="170">
        <v>604.1</v>
      </c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2.75" customHeight="1">
      <c r="A79" s="5">
        <v>77</v>
      </c>
      <c r="B79" s="173">
        <v>778.22</v>
      </c>
      <c r="C79" s="173">
        <v>812.25</v>
      </c>
      <c r="D79" s="174">
        <v>574.73</v>
      </c>
      <c r="E79" s="174">
        <v>1094.29</v>
      </c>
      <c r="F79" s="175">
        <v>1975.32</v>
      </c>
      <c r="G79" s="174">
        <v>1218.94</v>
      </c>
      <c r="H79" s="174">
        <v>1171.06</v>
      </c>
      <c r="I79" s="176">
        <v>1337.84</v>
      </c>
      <c r="J79" s="174">
        <v>849.08</v>
      </c>
      <c r="K79" s="174">
        <v>1725.2</v>
      </c>
      <c r="L79" s="174">
        <v>1455.88</v>
      </c>
      <c r="M79" s="174">
        <v>1786.99</v>
      </c>
      <c r="N79" s="174">
        <v>1812.18</v>
      </c>
      <c r="O79" s="174">
        <v>1290.83</v>
      </c>
      <c r="P79" s="174">
        <v>1572.89</v>
      </c>
      <c r="Q79" s="174">
        <v>604.15</v>
      </c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2.75" customHeight="1">
      <c r="A80" s="5">
        <v>78</v>
      </c>
      <c r="B80" s="173">
        <v>778.5</v>
      </c>
      <c r="C80" s="173">
        <v>812.5</v>
      </c>
      <c r="D80" s="174">
        <v>579.97</v>
      </c>
      <c r="E80" s="174">
        <v>1094.6400000000001</v>
      </c>
      <c r="F80" s="175">
        <v>1975.59</v>
      </c>
      <c r="G80" s="174">
        <v>1228.5899999999999</v>
      </c>
      <c r="H80" s="174">
        <v>1179.01</v>
      </c>
      <c r="I80" s="176">
        <v>1338.14</v>
      </c>
      <c r="J80" s="174">
        <v>852.37</v>
      </c>
      <c r="K80" s="174">
        <v>1729.8</v>
      </c>
      <c r="L80" s="174">
        <v>1456.35</v>
      </c>
      <c r="M80" s="174">
        <v>1791.71</v>
      </c>
      <c r="N80" s="174">
        <v>1812.54</v>
      </c>
      <c r="O80" s="174">
        <v>1291.1300000000001</v>
      </c>
      <c r="P80" s="174">
        <v>1573.18</v>
      </c>
      <c r="Q80" s="174">
        <v>604.20000000000005</v>
      </c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2.75" customHeight="1">
      <c r="A81" s="5">
        <v>79</v>
      </c>
      <c r="B81" s="173">
        <v>778.75</v>
      </c>
      <c r="C81" s="173">
        <v>812.75</v>
      </c>
      <c r="D81" s="174">
        <v>588.44000000000005</v>
      </c>
      <c r="E81" s="174">
        <v>1094.99</v>
      </c>
      <c r="F81" s="175">
        <v>1975.88</v>
      </c>
      <c r="G81" s="174">
        <v>1231.97</v>
      </c>
      <c r="H81" s="174">
        <v>1186.95</v>
      </c>
      <c r="I81" s="176">
        <v>1338.42</v>
      </c>
      <c r="J81" s="174">
        <v>852.7</v>
      </c>
      <c r="K81" s="174">
        <v>1730.28</v>
      </c>
      <c r="L81" s="174">
        <v>1456.68</v>
      </c>
      <c r="M81" s="174">
        <v>1885.82</v>
      </c>
      <c r="N81" s="174">
        <v>1819.66</v>
      </c>
      <c r="O81" s="174">
        <v>1291.44</v>
      </c>
      <c r="P81" s="174">
        <v>1573.46</v>
      </c>
      <c r="Q81" s="174">
        <v>624.1</v>
      </c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2.75" customHeight="1">
      <c r="A82" s="5">
        <v>80</v>
      </c>
      <c r="B82" s="173">
        <v>779</v>
      </c>
      <c r="C82" s="177">
        <v>813</v>
      </c>
      <c r="D82" s="178">
        <v>589.29</v>
      </c>
      <c r="E82" s="178">
        <v>1095.3399999999999</v>
      </c>
      <c r="F82" s="179">
        <v>1976.15</v>
      </c>
      <c r="G82" s="178">
        <v>1232.31</v>
      </c>
      <c r="H82" s="178">
        <v>1187.76</v>
      </c>
      <c r="I82" s="180">
        <v>1338.73</v>
      </c>
      <c r="J82" s="178">
        <v>853.04</v>
      </c>
      <c r="K82" s="178">
        <v>1730.59</v>
      </c>
      <c r="L82" s="178">
        <v>1457.03</v>
      </c>
      <c r="M82" s="178">
        <v>1895.25</v>
      </c>
      <c r="N82" s="178">
        <v>1961.92</v>
      </c>
      <c r="O82" s="178">
        <v>1291.77</v>
      </c>
      <c r="P82" s="178">
        <v>1573.75</v>
      </c>
      <c r="Q82" s="178">
        <v>624.20000000000005</v>
      </c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2.75" customHeight="1">
      <c r="A83" s="5">
        <v>81</v>
      </c>
      <c r="B83" s="159">
        <v>779.25</v>
      </c>
      <c r="C83" s="162">
        <v>813.25</v>
      </c>
      <c r="D83" s="162">
        <v>589.58000000000004</v>
      </c>
      <c r="E83" s="162">
        <v>1096.1400000000001</v>
      </c>
      <c r="F83" s="165">
        <v>1976.44</v>
      </c>
      <c r="G83" s="162">
        <v>1232.6600000000001</v>
      </c>
      <c r="H83" s="162">
        <v>1195.27</v>
      </c>
      <c r="I83" s="163">
        <v>1339.03</v>
      </c>
      <c r="J83" s="162">
        <v>859.27</v>
      </c>
      <c r="K83" s="162">
        <v>1730.89</v>
      </c>
      <c r="L83" s="162">
        <v>1457.37</v>
      </c>
      <c r="M83" s="162">
        <v>1896.22</v>
      </c>
      <c r="N83" s="162">
        <v>1976.8</v>
      </c>
      <c r="O83" s="162">
        <v>1292.0899999999999</v>
      </c>
      <c r="P83" s="162">
        <v>1574.02</v>
      </c>
      <c r="Q83" s="162">
        <v>625.15</v>
      </c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2.75" customHeight="1">
      <c r="A84" s="5">
        <v>82</v>
      </c>
      <c r="B84" s="162">
        <v>779.5</v>
      </c>
      <c r="C84" s="162">
        <v>813.5</v>
      </c>
      <c r="D84" s="162">
        <v>590.09</v>
      </c>
      <c r="E84" s="162">
        <v>1112.08</v>
      </c>
      <c r="F84" s="165">
        <v>1976.71</v>
      </c>
      <c r="G84" s="162">
        <v>1232.95</v>
      </c>
      <c r="H84" s="162">
        <v>1196.05</v>
      </c>
      <c r="I84" s="163">
        <v>1339.33</v>
      </c>
      <c r="J84" s="162">
        <v>875.6</v>
      </c>
      <c r="K84" s="162">
        <v>1731.2</v>
      </c>
      <c r="L84" s="162">
        <v>1457.7</v>
      </c>
      <c r="M84" s="162">
        <v>1896.79</v>
      </c>
      <c r="N84" s="162">
        <v>1978.29</v>
      </c>
      <c r="O84" s="162">
        <v>1292.42</v>
      </c>
      <c r="P84" s="162">
        <v>1574.31</v>
      </c>
      <c r="Q84" s="162">
        <v>652.70000000000005</v>
      </c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2.75" customHeight="1">
      <c r="A85" s="5">
        <v>83</v>
      </c>
      <c r="B85" s="162">
        <v>779.75</v>
      </c>
      <c r="C85" s="162">
        <v>813.75</v>
      </c>
      <c r="D85" s="162">
        <v>600.21</v>
      </c>
      <c r="E85" s="162">
        <v>1113.7</v>
      </c>
      <c r="F85" s="165">
        <v>1977.12</v>
      </c>
      <c r="G85" s="162">
        <v>1233.23</v>
      </c>
      <c r="H85" s="162">
        <v>1197.52</v>
      </c>
      <c r="I85" s="163">
        <v>1339.63</v>
      </c>
      <c r="J85" s="162">
        <v>877.24</v>
      </c>
      <c r="K85" s="162">
        <v>1731.48</v>
      </c>
      <c r="L85" s="162">
        <v>1457.98</v>
      </c>
      <c r="M85" s="162">
        <v>1897.16</v>
      </c>
      <c r="N85" s="162">
        <v>1978.58</v>
      </c>
      <c r="O85" s="162">
        <v>1292.74</v>
      </c>
      <c r="P85" s="162">
        <v>1574.59</v>
      </c>
      <c r="Q85" s="162">
        <v>657.6</v>
      </c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2.75" customHeight="1">
      <c r="A86" s="5">
        <v>84</v>
      </c>
      <c r="B86" s="162">
        <v>780</v>
      </c>
      <c r="C86" s="162">
        <v>814</v>
      </c>
      <c r="D86" s="162">
        <v>601.23</v>
      </c>
      <c r="E86" s="162">
        <v>1115.3900000000001</v>
      </c>
      <c r="F86" s="165">
        <v>1977.42</v>
      </c>
      <c r="G86" s="162">
        <v>1233.52</v>
      </c>
      <c r="H86" s="162">
        <v>1226.6500000000001</v>
      </c>
      <c r="I86" s="163">
        <v>1339.91</v>
      </c>
      <c r="J86" s="162">
        <v>877.81</v>
      </c>
      <c r="K86" s="162">
        <v>1731.79</v>
      </c>
      <c r="L86" s="162">
        <v>1458.39</v>
      </c>
      <c r="M86" s="162">
        <v>1897.52</v>
      </c>
      <c r="N86" s="162">
        <v>1978.95</v>
      </c>
      <c r="O86" s="162">
        <v>1293.07</v>
      </c>
      <c r="P86" s="162">
        <v>1574.87</v>
      </c>
      <c r="Q86" s="162">
        <v>657.75</v>
      </c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2.75" customHeight="1">
      <c r="A87" s="5">
        <v>85</v>
      </c>
      <c r="B87" s="166">
        <v>780.25</v>
      </c>
      <c r="C87" s="166">
        <v>814.25</v>
      </c>
      <c r="D87" s="166">
        <v>617.32000000000005</v>
      </c>
      <c r="E87" s="166">
        <v>1125.32</v>
      </c>
      <c r="F87" s="168">
        <v>1977.72</v>
      </c>
      <c r="G87" s="166">
        <v>1234.04</v>
      </c>
      <c r="H87" s="166">
        <v>1234.5999999999999</v>
      </c>
      <c r="I87" s="167">
        <v>1340.22</v>
      </c>
      <c r="J87" s="166">
        <v>889.1</v>
      </c>
      <c r="K87" s="166">
        <v>1732.1</v>
      </c>
      <c r="L87" s="166">
        <v>1458.72</v>
      </c>
      <c r="M87" s="166">
        <v>1897.91</v>
      </c>
      <c r="N87" s="166">
        <v>1979.28</v>
      </c>
      <c r="O87" s="166">
        <v>1293.3900000000001</v>
      </c>
      <c r="P87" s="166">
        <v>1577.57</v>
      </c>
      <c r="Q87" s="166">
        <v>659.55</v>
      </c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3.5" customHeight="1">
      <c r="A88" s="5">
        <v>86</v>
      </c>
      <c r="B88" s="60">
        <v>780.5</v>
      </c>
      <c r="C88" s="60">
        <v>814.5</v>
      </c>
      <c r="D88" s="60">
        <v>623.64</v>
      </c>
      <c r="E88" s="60">
        <v>1126.32</v>
      </c>
      <c r="F88" s="60">
        <v>1978.19</v>
      </c>
      <c r="G88" s="60">
        <v>1244.44</v>
      </c>
      <c r="H88" s="60">
        <v>1242.5</v>
      </c>
      <c r="I88" s="60">
        <v>1340.52</v>
      </c>
      <c r="J88" s="60">
        <v>890.24</v>
      </c>
      <c r="K88" s="60">
        <v>1732.4</v>
      </c>
      <c r="L88" s="60">
        <v>1459.06</v>
      </c>
      <c r="M88" s="60">
        <v>1898.19</v>
      </c>
      <c r="N88" s="60">
        <v>1983.85</v>
      </c>
      <c r="O88" s="60">
        <v>1293.71</v>
      </c>
      <c r="P88" s="60">
        <v>1630.97</v>
      </c>
      <c r="Q88" s="60">
        <v>659.7</v>
      </c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2.75" customHeight="1">
      <c r="A89" s="5">
        <v>87</v>
      </c>
      <c r="B89" s="60">
        <v>780.75</v>
      </c>
      <c r="C89" s="60">
        <v>814.75</v>
      </c>
      <c r="D89" s="60">
        <v>637.24</v>
      </c>
      <c r="E89" s="60">
        <v>1129.06</v>
      </c>
      <c r="F89" s="60">
        <v>1987.47</v>
      </c>
      <c r="G89" s="60">
        <v>1248.57</v>
      </c>
      <c r="H89" s="60">
        <v>1246.06</v>
      </c>
      <c r="I89" s="60">
        <v>1340.82</v>
      </c>
      <c r="J89" s="60">
        <v>890.83</v>
      </c>
      <c r="K89" s="60">
        <v>1732.71</v>
      </c>
      <c r="L89" s="60">
        <v>1459.4</v>
      </c>
      <c r="M89" s="60">
        <v>1898.48</v>
      </c>
      <c r="N89" s="60">
        <v>2075.14</v>
      </c>
      <c r="O89" s="60">
        <v>1294.03</v>
      </c>
      <c r="P89" s="60">
        <v>1636.32</v>
      </c>
      <c r="Q89" s="60">
        <v>670.65</v>
      </c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2.75" customHeight="1">
      <c r="A90" s="5">
        <v>88</v>
      </c>
      <c r="B90" s="60">
        <v>781</v>
      </c>
      <c r="C90" s="60">
        <v>815</v>
      </c>
      <c r="D90" s="60">
        <v>638.61</v>
      </c>
      <c r="E90" s="60">
        <v>1129.3499999999999</v>
      </c>
      <c r="F90" s="60">
        <v>2111.9499999999998</v>
      </c>
      <c r="G90" s="60">
        <v>1249.18</v>
      </c>
      <c r="H90" s="60">
        <v>1246.43</v>
      </c>
      <c r="I90" s="60">
        <v>1341.12</v>
      </c>
      <c r="J90" s="60">
        <v>902.63</v>
      </c>
      <c r="K90" s="60">
        <v>1733.01</v>
      </c>
      <c r="L90" s="60">
        <v>1460.14</v>
      </c>
      <c r="M90" s="60">
        <v>1898.96</v>
      </c>
      <c r="N90" s="60">
        <v>2084.27</v>
      </c>
      <c r="O90" s="60">
        <v>1296.19</v>
      </c>
      <c r="P90" s="60">
        <v>1636.87</v>
      </c>
      <c r="Q90" s="60">
        <v>679.05</v>
      </c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2.75" customHeight="1">
      <c r="A91" s="5">
        <v>89</v>
      </c>
      <c r="B91" s="60">
        <v>781.25</v>
      </c>
      <c r="C91" s="60">
        <v>815.25</v>
      </c>
      <c r="D91" s="60">
        <v>638.91</v>
      </c>
      <c r="E91" s="60">
        <v>1129.8399999999999</v>
      </c>
      <c r="F91" s="60">
        <v>2233.9499999999998</v>
      </c>
      <c r="G91" s="60">
        <v>1249.46</v>
      </c>
      <c r="H91" s="60">
        <v>1246.78</v>
      </c>
      <c r="I91" s="60">
        <v>1341.42</v>
      </c>
      <c r="J91" s="60">
        <v>922.68</v>
      </c>
      <c r="K91" s="60">
        <v>1733.3</v>
      </c>
      <c r="L91" s="60">
        <v>1474.52</v>
      </c>
      <c r="M91" s="60">
        <v>1899.3</v>
      </c>
      <c r="N91" s="60">
        <v>2085.19</v>
      </c>
      <c r="O91" s="60">
        <v>1330.92</v>
      </c>
      <c r="P91" s="60">
        <v>1637.14</v>
      </c>
      <c r="Q91" s="60">
        <v>679.65</v>
      </c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2.75" customHeight="1">
      <c r="A92" s="5">
        <v>90</v>
      </c>
      <c r="B92" s="60">
        <v>781.5</v>
      </c>
      <c r="C92" s="60">
        <v>815.5</v>
      </c>
      <c r="D92" s="60">
        <v>639.22</v>
      </c>
      <c r="E92" s="60">
        <v>1138.8399999999999</v>
      </c>
      <c r="F92" s="60">
        <v>2246.16</v>
      </c>
      <c r="G92" s="60">
        <v>1249.74</v>
      </c>
      <c r="H92" s="60">
        <v>1247.69</v>
      </c>
      <c r="I92" s="60">
        <v>1341.71</v>
      </c>
      <c r="J92" s="60">
        <v>924.7</v>
      </c>
      <c r="K92" s="60">
        <v>1733.61</v>
      </c>
      <c r="L92" s="60">
        <v>1480.61</v>
      </c>
      <c r="M92" s="60">
        <v>1899.75</v>
      </c>
      <c r="N92" s="60">
        <v>2090.67</v>
      </c>
      <c r="O92" s="60">
        <v>1334.4</v>
      </c>
      <c r="P92" s="60">
        <v>1637.43</v>
      </c>
      <c r="Q92" s="60">
        <v>689.8</v>
      </c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2.75" customHeight="1">
      <c r="A93" s="5">
        <v>91</v>
      </c>
      <c r="B93" s="60">
        <v>781.75</v>
      </c>
      <c r="C93" s="60">
        <v>815.75</v>
      </c>
      <c r="D93" s="60">
        <v>639.5</v>
      </c>
      <c r="E93" s="60">
        <v>1139.75</v>
      </c>
      <c r="F93" s="60">
        <v>2247.4</v>
      </c>
      <c r="G93" s="60">
        <v>1250.03</v>
      </c>
      <c r="H93" s="60">
        <v>1265.1600000000001</v>
      </c>
      <c r="I93" s="60">
        <v>1342.01</v>
      </c>
      <c r="J93" s="60">
        <v>926.31</v>
      </c>
      <c r="K93" s="60">
        <v>1733.91</v>
      </c>
      <c r="L93" s="60">
        <v>1483.39</v>
      </c>
      <c r="M93" s="60">
        <v>1900.11</v>
      </c>
      <c r="N93" s="60">
        <v>2096.65</v>
      </c>
      <c r="O93" s="60">
        <v>1334.75</v>
      </c>
      <c r="P93" s="60">
        <v>1637.71</v>
      </c>
      <c r="Q93" s="60">
        <v>690.35</v>
      </c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2.75" customHeight="1">
      <c r="A94" s="5">
        <v>92</v>
      </c>
      <c r="B94" s="60">
        <v>782</v>
      </c>
      <c r="C94" s="60">
        <v>816</v>
      </c>
      <c r="D94" s="60">
        <v>639.91</v>
      </c>
      <c r="E94" s="60">
        <v>1140</v>
      </c>
      <c r="F94" s="60">
        <v>2247.6799999999998</v>
      </c>
      <c r="G94" s="60">
        <v>1250.32</v>
      </c>
      <c r="H94" s="60">
        <v>1266.9100000000001</v>
      </c>
      <c r="I94" s="60">
        <v>1342.32</v>
      </c>
      <c r="J94" s="60">
        <v>935.44</v>
      </c>
      <c r="K94" s="60">
        <v>1734.22</v>
      </c>
      <c r="L94" s="60">
        <v>1486.06</v>
      </c>
      <c r="M94" s="60">
        <v>1900.41</v>
      </c>
      <c r="N94" s="60">
        <v>2216.12</v>
      </c>
      <c r="O94" s="60">
        <v>1335</v>
      </c>
      <c r="P94" s="60">
        <v>1637.99</v>
      </c>
      <c r="Q94" s="60">
        <v>696.5</v>
      </c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2.75" customHeight="1">
      <c r="A95" s="5">
        <v>93</v>
      </c>
      <c r="B95" s="60">
        <v>782.25</v>
      </c>
      <c r="C95" s="60">
        <v>816.25</v>
      </c>
      <c r="D95" s="60">
        <v>640.34</v>
      </c>
      <c r="E95" s="60">
        <v>1140.25</v>
      </c>
      <c r="F95" s="60">
        <v>2247.96</v>
      </c>
      <c r="G95" s="60">
        <v>1250.5899999999999</v>
      </c>
      <c r="H95" s="60">
        <v>1267.25</v>
      </c>
      <c r="I95" s="60">
        <v>1342.6</v>
      </c>
      <c r="J95" s="60">
        <v>936.37</v>
      </c>
      <c r="K95" s="60">
        <v>1734.52</v>
      </c>
      <c r="L95" s="60">
        <v>1539.42</v>
      </c>
      <c r="M95" s="60">
        <v>1900.85</v>
      </c>
      <c r="N95" s="60">
        <v>2228.65</v>
      </c>
      <c r="O95" s="60">
        <v>1335.25</v>
      </c>
      <c r="P95" s="60">
        <v>1638.27</v>
      </c>
      <c r="Q95" s="60">
        <v>696.75</v>
      </c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2.75" customHeight="1">
      <c r="A96" s="5">
        <v>94</v>
      </c>
      <c r="B96" s="60">
        <v>782.5</v>
      </c>
      <c r="C96" s="60">
        <v>816.5</v>
      </c>
      <c r="D96" s="60">
        <v>642.54</v>
      </c>
      <c r="E96" s="60">
        <v>1140.5</v>
      </c>
      <c r="F96" s="60">
        <v>2248.23</v>
      </c>
      <c r="G96" s="60">
        <v>1250.8800000000001</v>
      </c>
      <c r="H96" s="60">
        <v>1267.56</v>
      </c>
      <c r="I96" s="60">
        <v>1342.91</v>
      </c>
      <c r="J96" s="60">
        <v>954.79</v>
      </c>
      <c r="K96" s="60">
        <v>1734.82</v>
      </c>
      <c r="L96" s="60">
        <v>1544.76</v>
      </c>
      <c r="M96" s="60">
        <v>1901.22</v>
      </c>
      <c r="N96" s="60">
        <v>2229.91</v>
      </c>
      <c r="O96" s="60">
        <v>1335.5</v>
      </c>
      <c r="P96" s="60">
        <v>1638.55</v>
      </c>
      <c r="Q96" s="60">
        <v>720.3</v>
      </c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2.75" customHeight="1">
      <c r="A97" s="5">
        <v>95</v>
      </c>
      <c r="B97" s="60">
        <v>782.75</v>
      </c>
      <c r="C97" s="60">
        <v>816.75</v>
      </c>
      <c r="D97" s="60">
        <v>686.44</v>
      </c>
      <c r="E97" s="60">
        <v>1140.75</v>
      </c>
      <c r="F97" s="60">
        <v>2251.08</v>
      </c>
      <c r="G97" s="60">
        <v>1251.18</v>
      </c>
      <c r="H97" s="60">
        <v>1267.8900000000001</v>
      </c>
      <c r="I97" s="60">
        <v>1343.2</v>
      </c>
      <c r="J97" s="60">
        <v>956.75</v>
      </c>
      <c r="K97" s="60">
        <v>1735.12</v>
      </c>
      <c r="L97" s="60">
        <v>1545.31</v>
      </c>
      <c r="M97" s="60">
        <v>1901.59</v>
      </c>
      <c r="N97" s="60">
        <v>2230.25</v>
      </c>
      <c r="O97" s="60">
        <v>1335.75</v>
      </c>
      <c r="P97" s="60">
        <v>1640.84</v>
      </c>
      <c r="Q97" s="60">
        <v>720.5</v>
      </c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2.75" customHeight="1">
      <c r="A98" s="5">
        <v>96</v>
      </c>
      <c r="B98" s="60">
        <v>783</v>
      </c>
      <c r="C98" s="60">
        <v>817</v>
      </c>
      <c r="D98" s="60">
        <v>690.84</v>
      </c>
      <c r="E98" s="60">
        <v>1141</v>
      </c>
      <c r="F98" s="60">
        <v>2307.94</v>
      </c>
      <c r="G98" s="60">
        <v>1257.07</v>
      </c>
      <c r="H98" s="60">
        <v>1268.21</v>
      </c>
      <c r="I98" s="60">
        <v>1343.5</v>
      </c>
      <c r="J98" s="60">
        <v>965.15</v>
      </c>
      <c r="K98" s="60">
        <v>1735.42</v>
      </c>
      <c r="L98" s="60">
        <v>1545.65</v>
      </c>
      <c r="M98" s="60">
        <v>1901.91</v>
      </c>
      <c r="N98" s="60">
        <v>2230.54</v>
      </c>
      <c r="O98" s="60">
        <v>1336</v>
      </c>
      <c r="P98" s="60">
        <v>1686.58</v>
      </c>
      <c r="Q98" s="60">
        <v>723.85</v>
      </c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2.75" customHeight="1">
      <c r="A99" s="5">
        <v>97</v>
      </c>
      <c r="B99" s="60">
        <v>783.25</v>
      </c>
      <c r="C99" s="60">
        <v>817.25</v>
      </c>
      <c r="D99" s="60">
        <v>691.34</v>
      </c>
      <c r="E99" s="60">
        <v>1141.25</v>
      </c>
      <c r="F99" s="60">
        <v>2313.63</v>
      </c>
      <c r="G99" s="60">
        <v>1291.01</v>
      </c>
      <c r="H99" s="60">
        <v>1268.54</v>
      </c>
      <c r="I99" s="60">
        <v>1343.79</v>
      </c>
      <c r="J99" s="60">
        <v>966</v>
      </c>
      <c r="K99" s="60">
        <v>1735.7</v>
      </c>
      <c r="L99" s="60">
        <v>1545.98</v>
      </c>
      <c r="M99" s="60">
        <v>1902.2</v>
      </c>
      <c r="N99" s="60">
        <v>2230.89</v>
      </c>
      <c r="O99" s="60">
        <v>1336.25</v>
      </c>
      <c r="P99" s="60">
        <v>1692.01</v>
      </c>
      <c r="Q99" s="60">
        <v>724.5</v>
      </c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2.75" customHeight="1">
      <c r="A100" s="5">
        <v>98</v>
      </c>
      <c r="B100" s="60">
        <v>783.5</v>
      </c>
      <c r="C100" s="60">
        <v>817.5</v>
      </c>
      <c r="D100" s="60">
        <v>691.63</v>
      </c>
      <c r="E100" s="60">
        <v>1141.5</v>
      </c>
      <c r="F100" s="60">
        <v>2314.1999999999998</v>
      </c>
      <c r="G100" s="60">
        <v>1294.4100000000001</v>
      </c>
      <c r="H100" s="60">
        <v>1268.8699999999999</v>
      </c>
      <c r="I100" s="60">
        <v>1344.06</v>
      </c>
      <c r="J100" s="60">
        <v>966.41</v>
      </c>
      <c r="K100" s="60">
        <v>1735.99</v>
      </c>
      <c r="L100" s="60">
        <v>1546.33</v>
      </c>
      <c r="M100" s="60">
        <v>1902.79</v>
      </c>
      <c r="N100" s="60">
        <v>2237.63</v>
      </c>
      <c r="O100" s="60">
        <v>1336.5</v>
      </c>
      <c r="P100" s="60">
        <v>1695.77</v>
      </c>
      <c r="Q100" s="60">
        <v>724.7</v>
      </c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2.75" customHeight="1">
      <c r="A101" s="5">
        <v>99</v>
      </c>
      <c r="B101" s="60">
        <v>783.75</v>
      </c>
      <c r="C101" s="60">
        <v>817.75</v>
      </c>
      <c r="D101" s="60">
        <v>696.07</v>
      </c>
      <c r="E101" s="60">
        <v>1141.75</v>
      </c>
      <c r="F101" s="60">
        <v>2316.1</v>
      </c>
      <c r="G101" s="60">
        <v>1296.57</v>
      </c>
      <c r="H101" s="60">
        <v>1269.93</v>
      </c>
      <c r="I101" s="60">
        <v>1344.35</v>
      </c>
      <c r="J101" s="60">
        <v>974.47</v>
      </c>
      <c r="K101" s="60">
        <v>1736.33</v>
      </c>
      <c r="L101" s="60">
        <v>1549.52</v>
      </c>
      <c r="M101" s="60">
        <v>1914.45</v>
      </c>
      <c r="N101" s="60">
        <v>2238.31</v>
      </c>
      <c r="O101" s="60">
        <v>1336.75</v>
      </c>
      <c r="P101" s="60">
        <v>1719.96</v>
      </c>
      <c r="Q101" s="60">
        <v>725.25</v>
      </c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2.75" customHeight="1">
      <c r="A102" s="60">
        <v>100</v>
      </c>
      <c r="B102" s="60">
        <v>784</v>
      </c>
      <c r="C102" s="60">
        <v>818</v>
      </c>
      <c r="D102" s="60">
        <v>758</v>
      </c>
      <c r="E102" s="60">
        <v>1142</v>
      </c>
      <c r="F102" s="60">
        <v>2353</v>
      </c>
      <c r="G102" s="60">
        <v>1338</v>
      </c>
      <c r="H102" s="60">
        <v>1279</v>
      </c>
      <c r="I102" s="60">
        <v>1348</v>
      </c>
      <c r="J102" s="60">
        <v>1127</v>
      </c>
      <c r="K102" s="60">
        <v>1742</v>
      </c>
      <c r="L102" s="60">
        <v>1588</v>
      </c>
      <c r="M102" s="60">
        <v>2103</v>
      </c>
      <c r="N102" s="60">
        <v>2248</v>
      </c>
      <c r="O102" s="60">
        <v>1337</v>
      </c>
      <c r="P102" s="60">
        <v>1735</v>
      </c>
      <c r="Q102" s="60">
        <v>784</v>
      </c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2.75" customHeight="1">
      <c r="A103" s="60" t="s">
        <v>82</v>
      </c>
      <c r="B103" s="60">
        <v>7.84</v>
      </c>
      <c r="C103" s="60">
        <v>8.18</v>
      </c>
      <c r="D103" s="60">
        <v>7.58</v>
      </c>
      <c r="E103" s="60">
        <v>11.42</v>
      </c>
      <c r="F103" s="60">
        <v>23.53</v>
      </c>
      <c r="G103" s="60">
        <v>13.38</v>
      </c>
      <c r="H103" s="60">
        <v>12.79</v>
      </c>
      <c r="I103" s="60">
        <v>13.48</v>
      </c>
      <c r="J103" s="60">
        <v>11.27</v>
      </c>
      <c r="K103" s="60">
        <v>17.420000000000002</v>
      </c>
      <c r="L103" s="60">
        <v>15.88</v>
      </c>
      <c r="M103" s="60">
        <v>21.03</v>
      </c>
      <c r="N103" s="60">
        <v>22.48</v>
      </c>
      <c r="O103" s="60">
        <v>13.37</v>
      </c>
      <c r="P103" s="60">
        <v>17.350000000000001</v>
      </c>
      <c r="Q103" s="60">
        <v>7.84</v>
      </c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2.75" customHeight="1">
      <c r="A104" s="60" t="s">
        <v>65</v>
      </c>
      <c r="B104" s="181">
        <v>91.539999999999992</v>
      </c>
      <c r="C104" s="181">
        <v>98.34</v>
      </c>
      <c r="D104" s="181">
        <v>81.050000000000011</v>
      </c>
      <c r="E104" s="181">
        <v>106.32</v>
      </c>
      <c r="F104" s="181">
        <v>107.13</v>
      </c>
      <c r="G104" s="181">
        <v>105.63</v>
      </c>
      <c r="H104" s="181">
        <v>98.610000000000014</v>
      </c>
      <c r="I104" s="181">
        <v>104.44</v>
      </c>
      <c r="J104" s="181">
        <v>83.3</v>
      </c>
      <c r="K104" s="181">
        <v>122.13</v>
      </c>
      <c r="L104" s="181">
        <v>108.47</v>
      </c>
      <c r="M104" s="181">
        <v>149.79000000000002</v>
      </c>
      <c r="N104" s="181">
        <v>104.73</v>
      </c>
      <c r="O104" s="181">
        <v>112.63999999999999</v>
      </c>
      <c r="P104" s="181">
        <v>113.81</v>
      </c>
      <c r="Q104" s="181">
        <v>91.54</v>
      </c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2.75" customHeight="1">
      <c r="A105" s="60" t="s">
        <v>66</v>
      </c>
      <c r="B105" s="182">
        <f t="shared" ref="B105:P105" si="0">B3-B104</f>
        <v>26.860000000000014</v>
      </c>
      <c r="C105" s="182">
        <f t="shared" si="0"/>
        <v>28.86999999999999</v>
      </c>
      <c r="D105" s="182">
        <f t="shared" si="0"/>
        <v>25.429999999999993</v>
      </c>
      <c r="E105" s="182">
        <f t="shared" si="0"/>
        <v>32.78</v>
      </c>
      <c r="F105" s="182">
        <f t="shared" si="0"/>
        <v>32.789999999999992</v>
      </c>
      <c r="G105" s="182">
        <f t="shared" si="0"/>
        <v>32.56</v>
      </c>
      <c r="H105" s="182">
        <f t="shared" si="0"/>
        <v>30.399999999999977</v>
      </c>
      <c r="I105" s="182">
        <f t="shared" si="0"/>
        <v>30.710000000000008</v>
      </c>
      <c r="J105" s="182">
        <f t="shared" si="0"/>
        <v>25.840000000000003</v>
      </c>
      <c r="K105" s="182">
        <f t="shared" si="0"/>
        <v>38.550000000000011</v>
      </c>
      <c r="L105" s="182">
        <f t="shared" si="0"/>
        <v>33.52000000000001</v>
      </c>
      <c r="M105" s="182">
        <f t="shared" si="0"/>
        <v>44.499999999999972</v>
      </c>
      <c r="N105" s="182">
        <f t="shared" si="0"/>
        <v>31.429999999999993</v>
      </c>
      <c r="O105" s="182">
        <f t="shared" si="0"/>
        <v>34.900000000000006</v>
      </c>
      <c r="P105" s="182">
        <f t="shared" si="0"/>
        <v>34.03</v>
      </c>
      <c r="Q105" s="182">
        <v>26.86</v>
      </c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2.7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2.7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2.7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2.7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2.7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2.7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2.7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2.7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2.7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2.7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2.7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2.7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2.7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2.7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2.7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2.7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2.7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2.7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2.7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2.7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2.7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2.7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2.7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2.7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2.7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2.7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2.7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2.7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2.7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2.7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2.7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2.7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2.7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2.7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2.7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2.7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2.7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2.7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2.7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2.7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2.7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2.7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2.7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2.7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2.7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2.7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2.7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2.7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2.7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2.7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2.7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2.7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2.7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2.7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2.7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2.7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2.7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2.7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2.7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2.7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2.7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2.7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2.7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2.7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2.7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2.7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2.7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2.7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2.7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2.7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2.7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2.7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2.7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2.7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2.7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2.7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2.7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2.7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2.7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2.7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2.7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2.7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2.7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2.7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2.7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2.7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2.7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2.7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2.7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2.7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2.7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2.7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2.7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2.7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2.7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2.7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2.7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2.7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2.7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2.7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2.7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2.7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2.7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2.7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2.7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2.7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2.7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2.7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2.7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2.7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2.7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2.7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2.7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2.7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2.7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2.7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2.7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2.7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2.7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2.7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2.7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2.7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2.7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2.7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2.7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2.7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2.7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2.7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2.7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2.7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2.7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2.7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2.7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2.7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2.7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2.7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2.7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2.7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2.7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2.7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2.7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2.7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2.7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2.7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2.7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2.7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2.7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2.7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2.7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2.7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2.7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2.7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2.7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2.7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2.7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2.7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2.7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2.7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2.7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2.7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2.7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2.7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2.7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2.7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2.7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2.7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2.7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2.7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2.7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2.7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2.7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2.7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2.7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2.7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2.7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2.7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2.7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2.7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2.7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2.7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2.7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2.7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2.7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2.7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2.7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2.7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2.7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2.7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2.7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2.7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2.7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2.7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2.7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2.7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2.7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2.7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2.7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2.7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2.7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2.7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2.7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2.7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2.7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2.7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2.7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2.7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2.7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2.7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2.7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2.7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2.7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2.7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2.7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2.7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2.7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2.7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2.7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2.7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2.7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2.7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2.7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2.7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2.7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2.7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2.7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2.7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2.7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2.7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2.7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2.7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2.7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2.7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2.7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2.7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2.7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2.7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2.7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2.7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2.7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2.7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2.7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2.7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2.7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2.7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2.7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2.7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2.7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2.7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2.7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2.7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2.7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2.7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2.7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2.7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2.7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2.7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2.7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2.7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2.7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2.7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2.7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2.7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2.7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2.7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2.7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2.7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2.7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2.7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2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2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2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2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2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2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2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2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2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2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2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2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2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2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2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2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2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2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2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2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2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2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2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2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2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2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2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2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2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2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2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2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2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2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2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2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2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2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2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2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2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2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2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2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2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2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2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2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2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2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2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2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2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2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2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2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2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2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2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2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2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2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2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2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2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2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2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2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2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2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2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2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2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2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2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2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2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2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2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2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2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2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2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2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2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2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2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2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2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2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2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2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2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2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2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2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2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2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2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2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2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2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2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2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2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2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2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2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2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2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2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2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2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2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2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2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2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2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2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2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2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2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2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2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2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2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2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2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2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2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2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2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2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2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2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2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2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2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2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2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2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2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2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2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2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2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2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2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2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2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2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2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2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2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2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2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2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2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2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2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2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2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2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2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2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2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2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2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2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2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2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2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2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2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2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2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2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2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2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2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2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2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2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2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2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2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2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2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2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2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2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2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2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2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2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2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2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2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2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2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2.7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2.7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2.7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2.7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2.7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2.7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2.7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2.7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2.7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2.7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2.7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2.7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2.7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2.7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2.7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2.7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2.7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2.7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2.7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2.7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2.7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2.7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2.7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2.7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2.7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2.7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2.7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2.7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2.7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2.7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2.7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2.7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2.7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2.7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2.7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2.7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2.7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2.7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2.7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2.7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2.7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2.7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2.7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2.7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2.7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2.7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2.7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2.7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2.7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2.7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2.7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2.7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2.7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2.7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2.7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2.7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2.7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2.7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2.7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2.7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2.7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2.7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2.7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2.7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2.7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2.7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2.7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2.7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2.7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2.7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2.7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2.7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2.7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2.7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2.7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2.7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2.7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2.7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2.7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2.7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2.7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2.7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2.7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2.7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2.7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2.7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2.7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2.7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2.7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2.7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2.7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2.7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2.7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2.7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2.7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2.7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2.7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2.7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2.7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2.7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2.7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2.7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2.7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2.7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2.7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2.7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2.7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2.7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2.7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2.7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2.7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2.7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2.7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2.7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2.7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2.7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2.7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2.7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2.7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2.7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2.7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2.7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2.7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2.7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2.7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2.7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2.7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2.7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2.7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2.7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2.7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2.7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2.7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2.7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2.7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2.7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2.7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2.7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2.7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2.7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2.7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2.7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2.7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2.7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2.7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2.7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2.7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2.7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2.7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2.7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2.7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2.7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2.7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2.7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2.7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2.7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2.7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2.7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2.7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2.7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2.7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2.7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2.7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2.7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2.7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2.7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2.7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2.7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2.7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2.7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2.7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2.7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2.7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2.7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2.7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2.7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2.7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2.7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2.7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2.7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2.7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2.7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2.7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2.7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2.7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2.7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2.7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2.7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2.7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2.7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2.7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2.7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2.7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2.7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2.7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2.7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2.7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2.7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2.7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2.7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2.7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2.7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2.7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2.7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2.7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2.7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2.7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2.7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2.7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2.7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2.7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2.7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2.7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2.7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2.7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2.7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2.7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2.7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2.7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2.7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2.7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2.7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2.7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2.7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2.7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2.7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2.7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2.7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2.7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2.7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2.7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2.7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2.7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2.7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2.7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2.7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2.7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2.7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2.7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2.7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2.7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2.7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2.7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2.7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2.7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2.7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2.7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2.7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2.7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2.7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2.7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2.7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2.7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2.7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2.7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2.7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2.7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2.7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2.7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2.7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2.7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2.7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2.7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2.7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2.7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2.7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2.7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2.7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2.7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2.7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2.7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2.7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2.7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2.7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2.7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2.7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2.7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2.7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2.7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2.7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2.7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2.7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2.7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2.7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2.7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2.7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2.7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2.7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2.7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2.7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2.7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2.7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2.7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2.7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2.7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2.7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2.7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2.7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2.7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2.7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2.7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2.7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2.7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2.7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2.7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2.7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2.7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2.7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2.7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2.7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2.7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2.7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2.7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2.7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2.7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2.7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2.7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2.7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2.7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2.7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2.7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2.7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2.7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2.7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2.7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2.7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2.7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2.7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2.7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2.7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2.7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2.7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2.7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2.7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2.7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2.7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2.7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2.7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2.7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2.7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2.7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2.75" customHeight="1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2.75" customHeight="1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2.75" customHeight="1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2.75" customHeight="1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2.75" customHeight="1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2.75" customHeight="1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2.75" customHeight="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2.75" customHeight="1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2.75" customHeight="1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2.75" customHeight="1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2.75" customHeight="1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2.75" customHeight="1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2.75" customHeight="1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2.75" customHeight="1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2.75" customHeight="1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2.75" customHeight="1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2.75" customHeight="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2.75" customHeight="1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2.75" customHeight="1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2.75" customHeight="1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2.75" customHeight="1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2.75" customHeight="1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2.75" customHeight="1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2.75" customHeight="1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2.75" customHeight="1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2.75" customHeight="1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2.75" customHeight="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2.75" customHeight="1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2.75" customHeight="1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2.75" customHeight="1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2.75" customHeight="1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2.75" customHeight="1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2.75" customHeight="1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2.75" customHeight="1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2.75" customHeight="1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2.75" customHeight="1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2.75" customHeight="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2.75" customHeight="1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2.75" customHeight="1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</sheetData>
  <pageMargins left="0.75" right="0.75" top="0.51" bottom="0.56999999999999995" header="0" footer="0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13</vt:i4>
      </vt:variant>
    </vt:vector>
  </HeadingPairs>
  <TitlesOfParts>
    <vt:vector size="44" baseType="lpstr">
      <vt:lpstr>1Day AM Base</vt:lpstr>
      <vt:lpstr>1Day Base</vt:lpstr>
      <vt:lpstr>2Day Base</vt:lpstr>
      <vt:lpstr>3Day Base</vt:lpstr>
      <vt:lpstr>Ground Base</vt:lpstr>
      <vt:lpstr>USPS_Pri_Int_Base</vt:lpstr>
      <vt:lpstr>F Intl Con Plus Base</vt:lpstr>
      <vt:lpstr>USPS Base</vt:lpstr>
      <vt:lpstr>Intl Economy Base</vt:lpstr>
      <vt:lpstr>Intl Priority</vt:lpstr>
      <vt:lpstr>FedEx Overnight Priority</vt:lpstr>
      <vt:lpstr>FedEx Standard Overnight</vt:lpstr>
      <vt:lpstr>FedEx 2Day</vt:lpstr>
      <vt:lpstr>FedEx 3Day</vt:lpstr>
      <vt:lpstr>FedEx Ground Economy</vt:lpstr>
      <vt:lpstr>FedEx Ground Commercial</vt:lpstr>
      <vt:lpstr>FedEx Ground Home Delivery</vt:lpstr>
      <vt:lpstr>Ground Econ and Inov Base</vt:lpstr>
      <vt:lpstr>DHL</vt:lpstr>
      <vt:lpstr>USPS Priority</vt:lpstr>
      <vt:lpstr>USPS Ground Advantage</vt:lpstr>
      <vt:lpstr>DHL Parcel Ground</vt:lpstr>
      <vt:lpstr>DHL Parcel Expedited</vt:lpstr>
      <vt:lpstr>DHL Parcel Expedited Max</vt:lpstr>
      <vt:lpstr>USPS Media Mail</vt:lpstr>
      <vt:lpstr>FedEx International Priority</vt:lpstr>
      <vt:lpstr>FedEx International Economy</vt:lpstr>
      <vt:lpstr>FedEx Intl Connect Plus</vt:lpstr>
      <vt:lpstr>USPS First Class Intl</vt:lpstr>
      <vt:lpstr>USPS_Pri_Intl</vt:lpstr>
      <vt:lpstr>Rating_Settings</vt:lpstr>
      <vt:lpstr>DHL_FS</vt:lpstr>
      <vt:lpstr>Express_Intl_Residential_Fee</vt:lpstr>
      <vt:lpstr>ExpressFuelSurcharge</vt:lpstr>
      <vt:lpstr>ExpressIntResFeeWithFS</vt:lpstr>
      <vt:lpstr>ExpressResidentialFee</vt:lpstr>
      <vt:lpstr>ExpressResWithFS</vt:lpstr>
      <vt:lpstr>FedEx_Markup</vt:lpstr>
      <vt:lpstr>GroundFuelSurcharge</vt:lpstr>
      <vt:lpstr>GroundResidentialFee</vt:lpstr>
      <vt:lpstr>GroundResWithFS</vt:lpstr>
      <vt:lpstr>International_Fuel_Surcharge</vt:lpstr>
      <vt:lpstr>PostalMarkup</vt:lpstr>
      <vt:lpstr>SurePostFuelSurcharge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Cazier Bryce (QHF8HZD)</dc:creator>
  <cp:lastModifiedBy>Mitchell Hall</cp:lastModifiedBy>
  <dcterms:created xsi:type="dcterms:W3CDTF">2017-10-11T14:26:03Z</dcterms:created>
  <dcterms:modified xsi:type="dcterms:W3CDTF">2026-07-07T15:13:19Z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0x010100E77B61A18B94C547BDC000DD4A603907</vt:lpwstr>
  </property>
</Properties>
</file>